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C:\REBRANDING\"/>
    </mc:Choice>
  </mc:AlternateContent>
  <xr:revisionPtr revIDLastSave="0" documentId="8_{0E41AEF5-3C44-4A50-B76A-76D82B657A25}" xr6:coauthVersionLast="47" xr6:coauthVersionMax="47" xr10:uidLastSave="{00000000-0000-0000-0000-000000000000}"/>
  <workbookProtection workbookAlgorithmName="SHA-512" workbookHashValue="hkqpckQfIkAEAdOMBiiOKX/Sc/SA7bz9WAPigXxx+gPNtfVu6+dQ53c2054yQH1nQYmnUhw2xWoToLbG6zmpGw==" workbookSaltValue="4Dyw6tN4t5iwgKI++v6AGw==" workbookSpinCount="100000" lockStructure="1"/>
  <bookViews>
    <workbookView xWindow="28680" yWindow="-120" windowWidth="29040" windowHeight="15840" activeTab="1" xr2:uid="{00000000-000D-0000-FFFF-FFFF00000000}"/>
  </bookViews>
  <sheets>
    <sheet name="Terms-con" sheetId="4" r:id="rId1"/>
    <sheet name="CONTENTS" sheetId="60" r:id="rId2"/>
    <sheet name="Registration" sheetId="58" r:id="rId3"/>
    <sheet name="Subrates" sheetId="146" r:id="rId4"/>
    <sheet name="TOV" sheetId="101" r:id="rId5"/>
    <sheet name="Summary" sheetId="56" r:id="rId6"/>
    <sheet name="1. Eligible Mining Activities" sheetId="126" r:id="rId7"/>
    <sheet name="2. Exploration" sheetId="65" r:id="rId8"/>
    <sheet name="3. Infrastructure" sheetId="61" r:id="rId9"/>
    <sheet name="4. Process Equipment" sheetId="133" r:id="rId10"/>
    <sheet name="5. Water Storage" sheetId="86" r:id="rId11"/>
    <sheet name="6. Water Treatment" sheetId="159" r:id="rId12"/>
    <sheet name="7. Overburden Dumps Piles" sheetId="109" r:id="rId13"/>
    <sheet name="8. Heap Leach Pads" sheetId="161" r:id="rId14"/>
    <sheet name="9. Tailings Storage Facilities" sheetId="162" r:id="rId15"/>
    <sheet name="10. Pits" sheetId="113" r:id="rId16"/>
    <sheet name="11.Underground Mines" sheetId="157" r:id="rId17"/>
    <sheet name="12. Ports" sheetId="169" r:id="rId18"/>
    <sheet name="13. Investigation Contamination" sheetId="160" r:id="rId19"/>
    <sheet name="14. General Land Rehabilitation" sheetId="100" r:id="rId20"/>
    <sheet name="15. Mobilisation and User" sheetId="136" r:id="rId21"/>
    <sheet name="User Input Sheet" sheetId="137" r:id="rId22"/>
    <sheet name="Qty Summary" sheetId="165" r:id="rId23"/>
    <sheet name="Waste Register" sheetId="149" r:id="rId24"/>
    <sheet name="Capping Alerts" sheetId="154" r:id="rId25"/>
    <sheet name="Lists" sheetId="64" r:id="rId26"/>
  </sheets>
  <definedNames>
    <definedName name="_10._PITS">'10. Pits'!$C$2</definedName>
    <definedName name="_11_UNDERGROUND_MINES">'11.Underground Mines'!$C$2</definedName>
    <definedName name="_12._PORTS">'12. Ports'!$C$2</definedName>
    <definedName name="_13._INVESTIGATION_CONTAMINATION_SCRAP_LEVY">'13. Investigation Contamination'!$C$2</definedName>
    <definedName name="_14._GENERAL_LAND_REHABILITATION">'14. General Land Rehabilitation'!$C$2</definedName>
    <definedName name="_15._MOBILISATION___DEMOBILISATION_AND_ADDITIONAL_USER_ITEMS">'15. Mobilisation and User'!$C$2</definedName>
    <definedName name="_2._EXPLORATION">'2. Exploration'!$C$2</definedName>
    <definedName name="_3._INFRASTRUCTURE">'3. Infrastructure'!$C$2</definedName>
    <definedName name="_4._PROCESS_AND_HEAVY_EQUIPMENT">'4. Process Equipment'!$C$2</definedName>
    <definedName name="_5._WATER_STORAGE">'5. Water Storage'!$C$2</definedName>
    <definedName name="_6._WATER_TREATMENT_AND_PUMPING">'6. Water Treatment'!$C$2</definedName>
    <definedName name="_7._WASTE_ROCK_DUMPS__OVERBURDEN_DUMPS__SPOIL_PILES_AND_STOCKPILES">'7. Overburden Dumps Piles'!$C$2</definedName>
    <definedName name="_8._HEAP_LEACH_PADS">'8. Heap Leach Pads'!$C$2</definedName>
    <definedName name="_9._TAILING_STORAGE_FACILITIES__REJECTS__SLIMES__SLIMES_STORAGE_FACILITIES">'9. Tailings Storage Facilities'!$C$2</definedName>
    <definedName name="_xlnm._FilterDatabase" localSheetId="22" hidden="1">'Qty Summary'!$D$7:$D$201</definedName>
    <definedName name="_xlnm._FilterDatabase" localSheetId="5" hidden="1">Summary!$H$1:$H$125</definedName>
    <definedName name="_xlnm._FilterDatabase" localSheetId="4" hidden="1">TOV!#REF!</definedName>
    <definedName name="Access_Roads___Tracks__User_defined_by_area">'3. Infrastructure'!$C$101</definedName>
    <definedName name="Access_Roads___Tracks__User_defined_by_length">'3. Infrastructure'!$C$68</definedName>
    <definedName name="Activity_1">#REF!</definedName>
    <definedName name="Activity_10">#REF!</definedName>
    <definedName name="Activity_11">#REF!</definedName>
    <definedName name="Activity_12">#REF!</definedName>
    <definedName name="Activity_13">#REF!</definedName>
    <definedName name="Activity_14">#REF!</definedName>
    <definedName name="Activity_15">#REF!</definedName>
    <definedName name="Activity_16">#REF!</definedName>
    <definedName name="Activity_17">#REF!</definedName>
    <definedName name="Activity_18a">#REF!</definedName>
    <definedName name="Activity_18b">#REF!</definedName>
    <definedName name="Activity_18c">#REF!</definedName>
    <definedName name="Activity_19">#REF!</definedName>
    <definedName name="Activity_2">#REF!</definedName>
    <definedName name="Activity_20">#REF!</definedName>
    <definedName name="Activity_21">#REF!</definedName>
    <definedName name="Activity_22">#REF!</definedName>
    <definedName name="Activity_23a">#REF!</definedName>
    <definedName name="Activity_23b">#REF!</definedName>
    <definedName name="Activity_23c">#REF!</definedName>
    <definedName name="Activity_23d">#REF!</definedName>
    <definedName name="Activity_23e">#REF!</definedName>
    <definedName name="Activity_23f">#REF!</definedName>
    <definedName name="Activity_23g">#REF!</definedName>
    <definedName name="Activity_23h">#REF!</definedName>
    <definedName name="Activity_23i">#REF!</definedName>
    <definedName name="Activity_24">#REF!</definedName>
    <definedName name="Activity_25">#REF!</definedName>
    <definedName name="Activity_26">#REF!</definedName>
    <definedName name="Activity_27">#REF!</definedName>
    <definedName name="Activity_28">#REF!</definedName>
    <definedName name="Activity_29">#REF!</definedName>
    <definedName name="Activity_3">#REF!</definedName>
    <definedName name="Activity_30">#REF!</definedName>
    <definedName name="Activity_31">#REF!</definedName>
    <definedName name="Activity_32">#REF!</definedName>
    <definedName name="Activity_33">#REF!</definedName>
    <definedName name="Activity_34">#REF!</definedName>
    <definedName name="Activity_35">#REF!</definedName>
    <definedName name="Activity_36">#REF!</definedName>
    <definedName name="Activity_37">#REF!</definedName>
    <definedName name="Activity_38">#REF!</definedName>
    <definedName name="Activity_39">#REF!</definedName>
    <definedName name="Activity_4">#REF!</definedName>
    <definedName name="Activity_40">#REF!</definedName>
    <definedName name="Activity_41">#REF!</definedName>
    <definedName name="Activity_42">#REF!</definedName>
    <definedName name="Activity_43">#REF!</definedName>
    <definedName name="Activity_44">#REF!</definedName>
    <definedName name="Activity_45">#REF!</definedName>
    <definedName name="Activity_46">#REF!</definedName>
    <definedName name="Activity_47">#REF!</definedName>
    <definedName name="Activity_48">#REF!</definedName>
    <definedName name="Activity_49">#REF!</definedName>
    <definedName name="Activity_5">#REF!</definedName>
    <definedName name="Activity_50">#REF!</definedName>
    <definedName name="Activity_51">#REF!</definedName>
    <definedName name="Activity_52">#REF!</definedName>
    <definedName name="Activity_53">#REF!</definedName>
    <definedName name="Activity_54">#REF!</definedName>
    <definedName name="Activity_55">#REF!</definedName>
    <definedName name="Activity_56">#REF!</definedName>
    <definedName name="Activity_57">#REF!</definedName>
    <definedName name="Activity_58">#REF!</definedName>
    <definedName name="Activity_59">#REF!</definedName>
    <definedName name="Activity_60">#REF!</definedName>
    <definedName name="Activity_6a">#REF!</definedName>
    <definedName name="Activity_6b">#REF!</definedName>
    <definedName name="Activity_7a">#REF!</definedName>
    <definedName name="Activity_7b">#REF!</definedName>
    <definedName name="Activity_7c">#REF!</definedName>
    <definedName name="Activity_8a">#REF!</definedName>
    <definedName name="Activity_8b">#REF!</definedName>
    <definedName name="Amend_distance_values">#REF!</definedName>
    <definedName name="Amend_subrates_table">Subrates!$B$175:$D$182</definedName>
    <definedName name="Amend_TOV">TOV!$C$567:$G$574</definedName>
    <definedName name="Amendments">Lists!$B$18:$B$26</definedName>
    <definedName name="Arid_list">Lists!$B$31</definedName>
    <definedName name="Backfill_Open_Pit_with_Waste_Rock">'10. Pits'!$C$140</definedName>
    <definedName name="Backhoes_etc_range_equip">#REF!</definedName>
    <definedName name="Benches_and_High_Wall_Drill_and_Blast_and_Doze_to_Make_Safe">'10. Pits'!$C$75</definedName>
    <definedName name="Berm_Con_Method">Lists!$B$42:$B$43</definedName>
    <definedName name="Building_list">Lists!$B$190:$B$195</definedName>
    <definedName name="Building_wall">Lists!$B$184:$B$187</definedName>
    <definedName name="Buildings_Acts_Hor_List">#REF!</definedName>
    <definedName name="Buildings_gm_thickness_mm">#REF!</definedName>
    <definedName name="Camps_gm_thickness_mm">#REF!</definedName>
    <definedName name="Camps_list">Lists!$B$86:$B$115</definedName>
    <definedName name="Camps_load_haul_values">#REF!</definedName>
    <definedName name="Cap_risk_cat_tailings">Lists!$B$34:$B$39</definedName>
    <definedName name="Cap_Risk_Category">Lists!$B$34:$B$38</definedName>
    <definedName name="Capping">Lists!$B$15</definedName>
    <definedName name="CAPPING_ALERTS">'Capping Alerts'!$C$2</definedName>
    <definedName name="Clay_purchase">Subrates!$C$149</definedName>
    <definedName name="Concrete">#REF!</definedName>
    <definedName name="Concrete_disposal_facility">#REF!</definedName>
    <definedName name="Concrete_dispose_distance_range">#REF!</definedName>
    <definedName name="concrete_footing_depth">#REF!</definedName>
    <definedName name="Concrete_pad">Lists!$B$79:$B$80</definedName>
    <definedName name="Construction_Debris_Disposal_Gate_Fee">Subrates!$E$197</definedName>
    <definedName name="Contam_haul_values">#REF!</definedName>
    <definedName name="Contaminants_and_waste">Lists!$B$578:$B$587</definedName>
    <definedName name="CONTENTS_LINK">CONTENTS!$B$2</definedName>
    <definedName name="Cranes_and_Lifts_Equip_Range">#REF!</definedName>
    <definedName name="Cut_cladding_m2perh">#REF!</definedName>
    <definedName name="Cut_liner_m2perh">#REF!</definedName>
    <definedName name="Cut_pipe_mperh">#REF!</definedName>
    <definedName name="Cut_steel_plate_m2perh">#REF!</definedName>
    <definedName name="Dam_liner">Lists!$B$306:$B$307</definedName>
    <definedName name="Dam_Process_nme">Lists!$B$310</definedName>
    <definedName name="Dam_Raw_nme">Lists!$B$311</definedName>
    <definedName name="Dam_size">Lists!$C$319:$C$333</definedName>
    <definedName name="Dam_type">Lists!$B$310:$B$312</definedName>
    <definedName name="Dam_unlined_nme">Lists!$B$307</definedName>
    <definedName name="Dam_values_TOV">TOV!$E$300:$G$434</definedName>
    <definedName name="Dams_Evap_Nme">Lists!$B$312</definedName>
    <definedName name="Dams_linerX_raw_def">'5. Water Storage'!$M$65</definedName>
    <definedName name="Dams_List">Lists!$B$319:$B$453</definedName>
    <definedName name="Dams_list_area">Lists!$B$455:$B$468</definedName>
    <definedName name="Dams_Reg_Non_Reg">Lists!$B$315:$B$316</definedName>
    <definedName name="dams_sed_process_defs">'5. Water Storage'!$X$65</definedName>
    <definedName name="Dams_values_activities">#REF!</definedName>
    <definedName name="Default_Building_Slab_Thickness">#REF!</definedName>
    <definedName name="Default_Buried_Pipe">#REF!</definedName>
    <definedName name="Default_Camp_Asphalt_Thickness">#REF!</definedName>
    <definedName name="Default_Camp_Gravel_Thickness">#REF!</definedName>
    <definedName name="Default_Concrete_Ring_Thickness">#REF!</definedName>
    <definedName name="Default_Concrete_Ring_Width">#REF!</definedName>
    <definedName name="Default_Concrete_Surface_Cover">#REF!</definedName>
    <definedName name="Default_Growth_Media">'3. Infrastructure'!$S$67</definedName>
    <definedName name="Default_HaulRoad_Cover">'3. Infrastructure'!$I$213</definedName>
    <definedName name="Default_Perm_Camp_Concrete_Thickness">#REF!</definedName>
    <definedName name="Default_Steel_Plate_Thickness">#REF!</definedName>
    <definedName name="Default_Track_Cover">'3. Infrastructure'!$I$100</definedName>
    <definedName name="Density_sludge">#REF!</definedName>
    <definedName name="Dewatering_values_subs">Subrates!$B$158:$C$159</definedName>
    <definedName name="Distance_between_tensioning_poles">#REF!</definedName>
    <definedName name="Distance_camps_modules_defs">#REF!</definedName>
    <definedName name="Dozer_productivity_dozers">#REF!</definedName>
    <definedName name="Dozer_productivity_lengths">#REF!</definedName>
    <definedName name="Dozer_productivity_values">#REF!</definedName>
    <definedName name="Dozer_Push_Length">Subrates!$B$56:$B$69</definedName>
    <definedName name="Dozer_Push_Values">Subrates!$C$56:$H$69</definedName>
    <definedName name="Dozer_rip_speed_kmperh">#REF!</definedName>
    <definedName name="Dozer_Slope">Subrates!$B$77:$B$82</definedName>
    <definedName name="Dozer_Slope_Values">Subrates!$C$77:$H$82</definedName>
    <definedName name="DozerD10_blade_m">#REF!</definedName>
    <definedName name="DozerD10_ripper_m">#REF!</definedName>
    <definedName name="DozerD11_blade_m">#REF!</definedName>
    <definedName name="DozerD11_ripper_m">#REF!</definedName>
    <definedName name="DozerD6_ripper_m">#REF!</definedName>
    <definedName name="DozerD7_ripper_m">#REF!</definedName>
    <definedName name="DozerD8_ripper_m">#REF!</definedName>
    <definedName name="DozerD9_blade_m">#REF!</definedName>
    <definedName name="DozerD9_ripper_m">#REF!</definedName>
    <definedName name="Dozers">Subrates!$C$55:$H$55</definedName>
    <definedName name="Dozers_and_graders_range_Equip">#REF!</definedName>
    <definedName name="Dozers_small">Subrates!$C$55:$E$55</definedName>
    <definedName name="Earthen">Lists!$B$67</definedName>
    <definedName name="Electricity_price_perkWh">#REF!</definedName>
    <definedName name="ELIGIBLE_MINING_ACTIVITIES">'1. Eligible Mining Activities'!$C$2</definedName>
    <definedName name="Equip_totalcost_ref">#REF!</definedName>
    <definedName name="Evaporation_Pond">TOV!$B$313:$B$319</definedName>
    <definedName name="Excavator_capacity_797F">#REF!</definedName>
    <definedName name="Excavator_capacity_Cat6090_hyd_shovel_m3">#REF!</definedName>
    <definedName name="Excavator_capacity_Cat7495_electric_shovel_m3">#REF!</definedName>
    <definedName name="Excavator_concrete_break_remove_Cat380_m3perh">#REF!</definedName>
    <definedName name="Excavators_and_attachments_range_Equip">#REF!</definedName>
    <definedName name="Flush">Lists!$B$202:$B$204</definedName>
    <definedName name="GM_global_def_thickness">#REF!</definedName>
    <definedName name="Haul_def_rep_con">#REF!</definedName>
    <definedName name="Haul_road_remove_rock_default">#REF!</definedName>
    <definedName name="HLP_Capping_values">'8. Heap Leach Pads'!$P$6:$T$13</definedName>
    <definedName name="Hopper_Tank">Lists!$B$477</definedName>
    <definedName name="Horizontal_Tank">Lists!$B$473</definedName>
    <definedName name="hours_per_day">#REF!</definedName>
    <definedName name="Inf_Buildings">'3. Infrastructure'!$C$381</definedName>
    <definedName name="Inf_Camps">'3. Infrastructure'!$C$332</definedName>
    <definedName name="Inf_Concrete_and_Bitumen_Hardstand">'3. Infrastructure'!$C$431</definedName>
    <definedName name="Inf_fencing">'3. Infrastructure'!$C$491</definedName>
    <definedName name="Inf_Landfills">'3. Infrastructure'!$C$461</definedName>
    <definedName name="Inf_Lattice_Structures">'3. Infrastructure'!$C$405</definedName>
    <definedName name="Inf_Link_Borrow_Pits">'3. Infrastructure'!$C$281</definedName>
    <definedName name="Inf_link_haul_user">'3. Infrastructure'!$C$162</definedName>
    <definedName name="Inf_Link_Laydown">'3. Infrastructure'!$C$243</definedName>
    <definedName name="Inf_Link_Mine_Haul_Roads__Defaults_by_area">'3. Infrastructure'!$C$190</definedName>
    <definedName name="Inf_Link_Mine_Haul_Roads__Defs_by_length">'3. Infrastructure'!$C$139</definedName>
    <definedName name="Inf_link_overpass">'3. Infrastructure'!$C$128</definedName>
    <definedName name="Inf_Link_Pipelines">'3. Infrastructure'!$C$315</definedName>
    <definedName name="Inf_link_Tks_User">'3. Infrastructure'!$C$68</definedName>
    <definedName name="Inf_Link_Top">'3. Infrastructure'!$C$8</definedName>
    <definedName name="Inf_link_trk_def_area">'3. Infrastructure'!$C$46</definedName>
    <definedName name="Inf_link_trk_defs_len">'3. Infrastructure'!$C$19</definedName>
    <definedName name="Inf_Power_Distribution">'3. Infrastructure'!$C$415</definedName>
    <definedName name="Inf_Rail_Infrastructure">'3. Infrastructure'!$C$448</definedName>
    <definedName name="Inf_Rehabilitation">'3. Infrastructure'!$C$481</definedName>
    <definedName name="Inf_Sewage_Treatment_Plants">'3. Infrastructure'!$C$471</definedName>
    <definedName name="Inf_Small_Ancillary">'3. Infrastructure'!$C$503</definedName>
    <definedName name="Inf_Tanks">'3. Infrastructure'!$C$523</definedName>
    <definedName name="Infrastructure">Lists!$B$51:$B$55</definedName>
    <definedName name="Laydown_rock_thick_def">#REF!</definedName>
    <definedName name="Laydown_Yards__User_Defined">'3. Infrastructure'!$C$264</definedName>
    <definedName name="Length_of_concrete_panels">#REF!</definedName>
    <definedName name="Lined">Lists!$B$498</definedName>
    <definedName name="Liner_roll_def">#REF!</definedName>
    <definedName name="Liquid_waste_distance_range">#REF!</definedName>
    <definedName name="Liquid_waste_facility">#REF!</definedName>
    <definedName name="LISTS">Lists!$B$2</definedName>
    <definedName name="Load_and_Haul">Subrates!$B$10:$B$20</definedName>
    <definedName name="Load_and_Haul_Values">Subrates!$C$10:$H$20</definedName>
    <definedName name="Load_Haul_Fleet_size">Subrates!$C$9:$H$9</definedName>
    <definedName name="Load_haul_fleet_sm1ml">Subrates!$C$22:$C$24</definedName>
    <definedName name="Load_haul_sed">Subrates!$D$22:$D$24</definedName>
    <definedName name="Loaders_range_Equip">#REF!</definedName>
    <definedName name="Local">Lists!$B$11</definedName>
    <definedName name="Long_distance">Subrates!$B$128:$B$144</definedName>
    <definedName name="long_distance_haul">#REF!</definedName>
    <definedName name="Long_distance_nme">Lists!$B$12</definedName>
    <definedName name="Long_distance_subs_metre">Subrates!$C$126</definedName>
    <definedName name="Long_distance_subs_table">Subrates!$B$127:$D$145</definedName>
    <definedName name="Long_distance_subs_tonnes">Subrates!$D$126</definedName>
    <definedName name="Long_distance_values_subs">Subrates!$B$128:$I$145</definedName>
    <definedName name="LongHaul">Lists!$B$11:$B$12</definedName>
    <definedName name="Low_Wall">'10. Pits'!$C$107</definedName>
    <definedName name="Marine_Facilities">'12. Ports'!$D$39</definedName>
    <definedName name="Mass_of_capture_cable">#REF!</definedName>
    <definedName name="Mass_of_reinforcing_cable">#REF!</definedName>
    <definedName name="Mine_haul_default_width">'3. Infrastructure'!$E$161</definedName>
    <definedName name="Mine_Haul_Roads___Tracks__User_defined_by_area">'3. Infrastructure'!$C$214</definedName>
    <definedName name="Mine_Haul_Roads__User_defined_by_length">'3. Infrastructure'!$C$162</definedName>
    <definedName name="Module_long_distance_values">#REF!</definedName>
    <definedName name="Native_list">Lists!$B$30</definedName>
    <definedName name="No_replace_list">Lists!$B$73</definedName>
    <definedName name="ODP_Capping_values">'7. Overburden Dumps Piles'!$R$6:$V$13</definedName>
    <definedName name="Oil_gate_fee">Subrates!$C$204</definedName>
    <definedName name="Oily_water_gate_fee">Subrates!$C$205</definedName>
    <definedName name="one_to_five">Lists!$G$46:$G$49</definedName>
    <definedName name="Open_Pit_Ramp_Backfill">'10. Pits'!$C$172</definedName>
    <definedName name="Pasture_list">Lists!$B$29</definedName>
    <definedName name="Permanent_Camp">Lists!$B$607</definedName>
    <definedName name="Pipe">Lists!$B$198:$B$200</definedName>
    <definedName name="Pipe_above_list">Lists!$B$215:$B$218</definedName>
    <definedName name="Pipe_full_list">Lists!$B$215:$B$222</definedName>
    <definedName name="pipe_gm_defs">'3. Infrastructure'!$K$314</definedName>
    <definedName name="Pipe_values_activities">#REF!</definedName>
    <definedName name="Pipeline_content">Lists!$B$210:$B$212</definedName>
    <definedName name="Pits_start">'10. Pits'!$E$12</definedName>
    <definedName name="Poles_distance_range">#REF!</definedName>
    <definedName name="Port_Quantities__for_user">'12. Ports'!$C$57</definedName>
    <definedName name="Ports_lists">Lists!$B$598:$B$604</definedName>
    <definedName name="Ports_top">'12. Ports'!$B$9</definedName>
    <definedName name="Power_Gen">Lists!$B$82:$B$83</definedName>
    <definedName name="Power_towers">TOV!$B$191:$B$193</definedName>
    <definedName name="Powerpoles_gm_thickness_mm">#REF!</definedName>
    <definedName name="_xlnm.Print_Area" localSheetId="18">'13. Investigation Contamination'!$B$3:$M$25</definedName>
    <definedName name="_xlnm.Print_Area" localSheetId="19">'14. General Land Rehabilitation'!$B$6:$O$44</definedName>
    <definedName name="_xlnm.Print_Area" localSheetId="22">'Qty Summary'!$B$1:$E$201</definedName>
    <definedName name="_xlnm.Print_Area" localSheetId="2">Registration!$B$1:$F$30</definedName>
    <definedName name="_xlnm.Print_Area" localSheetId="5">Summary!$B$1:$I$125</definedName>
    <definedName name="_xlnm.Print_Area" localSheetId="0">'Terms-con'!$A$1:$BD$56</definedName>
    <definedName name="_xlnm.Print_Area" localSheetId="4">TOV!$C$2:$H$598</definedName>
    <definedName name="_xlnm.Print_Titles" localSheetId="22">'Qty Summary'!$1:$2</definedName>
    <definedName name="_xlnm.Print_Titles" localSheetId="5">Summary!$1:$2</definedName>
    <definedName name="process_equip_values_in_activities">#REF!</definedName>
    <definedName name="Process_gm_thickness_mm">#REF!</definedName>
    <definedName name="Pumps">#REF!</definedName>
    <definedName name="QUANTITY_SUMMARY">'Qty Summary'!$C$2</definedName>
    <definedName name="Raw_Water_Pond">TOV!$B$306:$B$312</definedName>
    <definedName name="REGISTRATION">Registration!$B$2</definedName>
    <definedName name="Remove_contam_only">Lists!$B$74</definedName>
    <definedName name="Replace_rock_list">Lists!$B$75</definedName>
    <definedName name="Rock_def_remove">#REF!</definedName>
    <definedName name="Rock_def_replace">#REF!</definedName>
    <definedName name="Safety_Bund__Fencing__Signs">'10. Pits'!$C$41</definedName>
    <definedName name="Salt_gate_fee">Subrates!$E$200</definedName>
    <definedName name="Seed_arid_TOV_description">" "</definedName>
    <definedName name="Seed_arid_TOV_scope">" "</definedName>
    <definedName name="Seed_native_rate">Subrates!$C$154</definedName>
    <definedName name="Seed_pasture_rate">Subrates!$C$153</definedName>
    <definedName name="Seed_pasture_TOV_description">" "</definedName>
    <definedName name="Seed_pasture_TOV_scope">" "</definedName>
    <definedName name="Seed_type">Lists!$B$29:$B$31</definedName>
    <definedName name="Shafts">Lists!$B$46:$B$48</definedName>
    <definedName name="Sludge_gate_fee">Subrates!$E$201</definedName>
    <definedName name="Small_Equipment_Range_Equip">#REF!</definedName>
    <definedName name="SmallInfra_gm_thickness_mm">#REF!</definedName>
    <definedName name="Soil_load_rate_m3perh">#REF!</definedName>
    <definedName name="specific_mass_cables_def">#REF!</definedName>
    <definedName name="specific_mass_columns_def">#REF!</definedName>
    <definedName name="specific_mass_cross_def">#REF!</definedName>
    <definedName name="Steel">#REF!</definedName>
    <definedName name="Steel_distance_range">#REF!</definedName>
    <definedName name="Steel_gate_fee">Subrates!$E$198</definedName>
    <definedName name="Steel_metal_dispose_facility">#REF!</definedName>
    <definedName name="Steel_multiplier">#REF!</definedName>
    <definedName name="Steel_Tank">Lists!$B$481</definedName>
    <definedName name="Storage___portable_buildings___mobile_units">#REF!</definedName>
    <definedName name="Structures_gm_thickness_mm">#REF!</definedName>
    <definedName name="SUBRATES">Subrates!$B$2</definedName>
    <definedName name="Subrates_Table_1">Subrates!$B$7</definedName>
    <definedName name="Subrates_Table_10">Subrates!$B$147</definedName>
    <definedName name="Subrates_Table_12">Subrates!$B$156</definedName>
    <definedName name="Subrates_Table_13">Subrates!$B$162</definedName>
    <definedName name="Subrates_Table_14">Subrates!$B$156</definedName>
    <definedName name="Subrates_Table_2">Subrates!$B$53</definedName>
    <definedName name="Subrates_Table_3">Subrates!$B$74</definedName>
    <definedName name="Subrates_Table_4">Subrates!$B$86</definedName>
    <definedName name="Subrates_Table_5">Subrates!$B$91</definedName>
    <definedName name="Subrates_Table_6">Subrates!$B$102</definedName>
    <definedName name="Subrates_Table_7">Subrates!$B$114</definedName>
    <definedName name="Subrates_Table_8">Subrates!$B$120</definedName>
    <definedName name="Subrates_Table_9">Subrates!$B$124</definedName>
    <definedName name="SUMMARY" localSheetId="22">'Qty Summary'!$C$2</definedName>
    <definedName name="SUMMARY">Summary!$C$2</definedName>
    <definedName name="Surface">Lists!$B$67:$B$70</definedName>
    <definedName name="Surface_replace">Lists!$B$73:$B$76</definedName>
    <definedName name="TABLE_OF_VALUES">TOV!$D$3</definedName>
    <definedName name="Tailings_Storage_Facilities__Defaults">'9. Tailings Storage Facilities'!$C$17</definedName>
    <definedName name="Tailings_Storage_Facilities__User_Defined">'9. Tailings Storage Facilities'!$C$50</definedName>
    <definedName name="Tank_Act_Hor_List">#REF!</definedName>
    <definedName name="Tank_base">Lists!$B$490:$B$494</definedName>
    <definedName name="Tank_contain">Lists!$B$502:$B$503</definedName>
    <definedName name="Tank_liner">Lists!$B$498:$B$499</definedName>
    <definedName name="Tank_list">Lists!$B$515:$B$555</definedName>
    <definedName name="Tank_panel_nme">Lists!$B$476</definedName>
    <definedName name="Tank_top">Lists!$B$486:$B$487</definedName>
    <definedName name="Tank_type">Lists!$B$472:$B$478</definedName>
    <definedName name="Tank_values_TOV">TOV!$E$219:$G$259</definedName>
    <definedName name="Tank_Vertical_nme">Lists!$B$472</definedName>
    <definedName name="Tank_wall">Lists!$B$481:$B$483</definedName>
    <definedName name="Tanks_Activities_Values">#REF!</definedName>
    <definedName name="Tanks_geo_spmass_def">#REF!</definedName>
    <definedName name="Tanks_liner_spmass_def">#REF!</definedName>
    <definedName name="Temporary_Camp">Lists!$B$608</definedName>
    <definedName name="TERMS_AND_CONDITIONS_OF_USE">'Terms-con'!$G$7</definedName>
    <definedName name="Top_Infrastructure">'3. Infrastructure'!$B$6</definedName>
    <definedName name="Top_pits">'10. Pits'!$B$11</definedName>
    <definedName name="TOV_1">TOV!$C$7</definedName>
    <definedName name="TOV_10">TOV!$C$482</definedName>
    <definedName name="TOV_11">TOV!$C$490</definedName>
    <definedName name="TOV_12">TOV!$C$508</definedName>
    <definedName name="TOV_13">TOV!$C$516</definedName>
    <definedName name="TOV_14">TOV!$C$535</definedName>
    <definedName name="TOV_15">TOV!$C$586</definedName>
    <definedName name="TOV_2">TOV!$C$40</definedName>
    <definedName name="TOV_3">TOV!$C$84</definedName>
    <definedName name="TOV_4">TOV!$C$260</definedName>
    <definedName name="TOV_5">TOV!$C$297</definedName>
    <definedName name="TOV_6">TOV!$C$449</definedName>
    <definedName name="TOV_7">TOV!$C$463</definedName>
    <definedName name="TOV_8">TOV!$C$469</definedName>
    <definedName name="TOV_9">TOV!$C$475</definedName>
    <definedName name="TOV_Rate_Ref">TOV!$F$1</definedName>
    <definedName name="TOV_unit_ref">TOV!$G$1</definedName>
    <definedName name="TOVNum_Native">TOV!$C$576</definedName>
    <definedName name="TOVNum_Pasture">TOV!$C$575</definedName>
    <definedName name="Track_width_default">'3. Infrastructure'!$E$67</definedName>
    <definedName name="TRACKS_LOOKUP_FOR_TOV">#REF!</definedName>
    <definedName name="Truck_loaded_speed_kmh">#REF!</definedName>
    <definedName name="Truck_semi_capacity_m3">#REF!</definedName>
    <definedName name="Truck_semi_mass_t">#REF!</definedName>
    <definedName name="truck_tanker_capacity_L">#REF!</definedName>
    <definedName name="truck_tanker_load_rate_Lph">#REF!</definedName>
    <definedName name="truck_unloaded_speed_kmh">#REF!</definedName>
    <definedName name="Trucks_range_Equip">#REF!</definedName>
    <definedName name="TSF_Capping_values">'9. Tailings Storage Facilities'!$P$6:$T$14</definedName>
    <definedName name="Unlined_Pond">TOV!$B$313:$B$319</definedName>
    <definedName name="User">'9. Tailings Storage Facilities'!$B$17</definedName>
    <definedName name="Vegetation">Lists!$B$29:$B$30</definedName>
    <definedName name="Vehicles_and_Support_Equipment_Range_Equip">#REF!</definedName>
    <definedName name="Volume_of_concrete_panels">#REF!</definedName>
    <definedName name="WASTE_LEVY_REGISTER">'Waste Register'!$C$2</definedName>
    <definedName name="Waste_Rock_Dumps__Defaults">'7. Overburden Dumps Piles'!$C$16</definedName>
    <definedName name="Wood_gate_fee">Subrates!$E$199</definedName>
    <definedName name="Y_N">Lists!$D$4:$D$5</definedName>
    <definedName name="Yes">Lists!$C$4</definedName>
    <definedName name="Yes_No">Lists!$C$4:$C$5</definedName>
    <definedName name="Z_0AE2836B_FA65_425D_AC52_58822BA66A0D_.wvu.Cols" localSheetId="4" hidden="1">TOV!#REF!</definedName>
    <definedName name="Z_0AE2836B_FA65_425D_AC52_58822BA66A0D_.wvu.PrintArea" localSheetId="4" hidden="1">TOV!$C$2:$H$598</definedName>
    <definedName name="Z_0AE2836B_FA65_425D_AC52_58822BA66A0D_.wvu.Rows" localSheetId="4" hidden="1">TOV!$600:$65826,TOV!#REF!</definedName>
    <definedName name="Z_2FACC61F_0CCB_4F9A_9FC4_FB98AB602DA6_.wvu.Cols" localSheetId="22" hidden="1">'Qty Summary'!$C:$DH</definedName>
    <definedName name="Z_2FACC61F_0CCB_4F9A_9FC4_FB98AB602DA6_.wvu.Cols" localSheetId="2" hidden="1">Registration!$G:$IK</definedName>
    <definedName name="Z_2FACC61F_0CCB_4F9A_9FC4_FB98AB602DA6_.wvu.Cols" localSheetId="5" hidden="1">Summary!$C:$ER</definedName>
    <definedName name="Z_2FACC61F_0CCB_4F9A_9FC4_FB98AB602DA6_.wvu.Rows" localSheetId="22" hidden="1">'Qty Summary'!$202:$65619</definedName>
    <definedName name="Z_2FACC61F_0CCB_4F9A_9FC4_FB98AB602DA6_.wvu.Rows" localSheetId="2" hidden="1">Registration!$31:$65451</definedName>
    <definedName name="Z_2FACC61F_0CCB_4F9A_9FC4_FB98AB602DA6_.wvu.Rows" localSheetId="5" hidden="1">Summary!$125:$65553</definedName>
    <definedName name="Z_41A8ADCC_2507_4752_A3EE_F762BBC19AE1_.wvu.Cols" localSheetId="22" hidden="1">'Qty Summary'!$C:$DH</definedName>
    <definedName name="Z_41A8ADCC_2507_4752_A3EE_F762BBC19AE1_.wvu.Cols" localSheetId="2" hidden="1">Registration!$G:$IK</definedName>
    <definedName name="Z_41A8ADCC_2507_4752_A3EE_F762BBC19AE1_.wvu.Cols" localSheetId="5" hidden="1">Summary!$C:$ER</definedName>
    <definedName name="Z_41A8ADCC_2507_4752_A3EE_F762BBC19AE1_.wvu.Rows" localSheetId="22" hidden="1">'Qty Summary'!$202:$65619</definedName>
    <definedName name="Z_41A8ADCC_2507_4752_A3EE_F762BBC19AE1_.wvu.Rows" localSheetId="2" hidden="1">Registration!$31:$65451</definedName>
    <definedName name="Z_41A8ADCC_2507_4752_A3EE_F762BBC19AE1_.wvu.Rows" localSheetId="5" hidden="1">Summary!$125:$65553</definedName>
    <definedName name="Z_4CDCC75F_9EF8_4C61_98C8_402ABB879AE7_.wvu.Cols" localSheetId="22" hidden="1">'Qty Summary'!$C:$DH</definedName>
    <definedName name="Z_4CDCC75F_9EF8_4C61_98C8_402ABB879AE7_.wvu.Cols" localSheetId="2" hidden="1">Registration!$G:$IK</definedName>
    <definedName name="Z_4CDCC75F_9EF8_4C61_98C8_402ABB879AE7_.wvu.Cols" localSheetId="5" hidden="1">Summary!$C:$ER</definedName>
    <definedName name="Z_4CDCC75F_9EF8_4C61_98C8_402ABB879AE7_.wvu.Rows" localSheetId="22" hidden="1">'Qty Summary'!$202:$65619</definedName>
    <definedName name="Z_4CDCC75F_9EF8_4C61_98C8_402ABB879AE7_.wvu.Rows" localSheetId="2" hidden="1">Registration!$31:$65451</definedName>
    <definedName name="Z_4CDCC75F_9EF8_4C61_98C8_402ABB879AE7_.wvu.Rows" localSheetId="5" hidden="1">Summary!$125:$65553</definedName>
    <definedName name="Z_61CD6FD2_F6DE_422C_B544_3D388865927F_.wvu.Cols" localSheetId="22" hidden="1">'Qty Summary'!$C:$DH</definedName>
    <definedName name="Z_61CD6FD2_F6DE_422C_B544_3D388865927F_.wvu.Cols" localSheetId="2" hidden="1">Registration!$G:$IK</definedName>
    <definedName name="Z_61CD6FD2_F6DE_422C_B544_3D388865927F_.wvu.Cols" localSheetId="5" hidden="1">Summary!$C:$ER</definedName>
    <definedName name="Z_61CD6FD2_F6DE_422C_B544_3D388865927F_.wvu.Rows" localSheetId="22" hidden="1">'Qty Summary'!$202:$65619</definedName>
    <definedName name="Z_61CD6FD2_F6DE_422C_B544_3D388865927F_.wvu.Rows" localSheetId="2" hidden="1">Registration!$31:$65451</definedName>
    <definedName name="Z_61CD6FD2_F6DE_422C_B544_3D388865927F_.wvu.Rows" localSheetId="5" hidden="1">Summary!$125:$65553</definedName>
    <definedName name="Z_B9B8C2DC_3363_4EAD_9396_44349DABBC4D_.wvu.Cols" localSheetId="22" hidden="1">'Qty Summary'!$C:$DH</definedName>
    <definedName name="Z_B9B8C2DC_3363_4EAD_9396_44349DABBC4D_.wvu.Cols" localSheetId="2" hidden="1">Registration!$G:$IK</definedName>
    <definedName name="Z_B9B8C2DC_3363_4EAD_9396_44349DABBC4D_.wvu.Cols" localSheetId="5" hidden="1">Summary!$C:$ER</definedName>
    <definedName name="Z_B9B8C2DC_3363_4EAD_9396_44349DABBC4D_.wvu.Rows" localSheetId="22" hidden="1">'Qty Summary'!$202:$65619</definedName>
    <definedName name="Z_B9B8C2DC_3363_4EAD_9396_44349DABBC4D_.wvu.Rows" localSheetId="2" hidden="1">Registration!$31:$65451</definedName>
    <definedName name="Z_B9B8C2DC_3363_4EAD_9396_44349DABBC4D_.wvu.Rows" localSheetId="5" hidden="1">Summary!$125:$65553</definedName>
    <definedName name="Zero_to_five">Lists!$F$46:$F$49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73" i="160" l="1"/>
  <c r="K72" i="160"/>
  <c r="K71" i="160"/>
  <c r="K70" i="160"/>
  <c r="K69" i="160"/>
  <c r="K68" i="160"/>
  <c r="K67" i="160"/>
  <c r="K66" i="160"/>
  <c r="K65" i="160"/>
  <c r="H80" i="160"/>
  <c r="DK52" i="161" l="1"/>
  <c r="M80" i="113"/>
  <c r="M81" i="113"/>
  <c r="M82" i="113"/>
  <c r="M83" i="113"/>
  <c r="M84" i="113"/>
  <c r="M85" i="113"/>
  <c r="M86" i="113"/>
  <c r="M87" i="113"/>
  <c r="M88" i="113"/>
  <c r="M89" i="113"/>
  <c r="M90" i="113"/>
  <c r="M91" i="113"/>
  <c r="M92" i="113"/>
  <c r="M93" i="113"/>
  <c r="M94" i="113"/>
  <c r="M95" i="113"/>
  <c r="M96" i="113"/>
  <c r="M97" i="113"/>
  <c r="M98" i="113"/>
  <c r="CT52" i="161"/>
  <c r="CW52" i="161" s="1"/>
  <c r="Z54" i="169"/>
  <c r="F45" i="149" s="1"/>
  <c r="H45" i="149" s="1"/>
  <c r="H318" i="61"/>
  <c r="E193" i="165"/>
  <c r="D193" i="165"/>
  <c r="B193" i="165"/>
  <c r="E39" i="159"/>
  <c r="B82" i="165" s="1"/>
  <c r="D65" i="165"/>
  <c r="D66" i="165"/>
  <c r="D64" i="165"/>
  <c r="D63" i="165"/>
  <c r="D62" i="165"/>
  <c r="D57" i="165"/>
  <c r="D58" i="165"/>
  <c r="D59" i="165"/>
  <c r="D60" i="165"/>
  <c r="D56" i="165"/>
  <c r="E55" i="165"/>
  <c r="B55" i="165"/>
  <c r="E54" i="165"/>
  <c r="B54" i="165"/>
  <c r="E52" i="165"/>
  <c r="B53" i="165"/>
  <c r="B52" i="165"/>
  <c r="D49" i="165"/>
  <c r="D50" i="165"/>
  <c r="D51" i="165"/>
  <c r="D48" i="165"/>
  <c r="D47" i="165"/>
  <c r="D46" i="165"/>
  <c r="D45" i="165"/>
  <c r="D41" i="165"/>
  <c r="D42" i="165"/>
  <c r="D43" i="165"/>
  <c r="D44" i="165"/>
  <c r="D40" i="165"/>
  <c r="B39" i="165"/>
  <c r="B38" i="165"/>
  <c r="E34" i="165"/>
  <c r="B34" i="165"/>
  <c r="E33" i="165"/>
  <c r="B33" i="165"/>
  <c r="B23" i="165"/>
  <c r="E20" i="165"/>
  <c r="B20" i="165"/>
  <c r="AC268" i="61"/>
  <c r="AC269" i="61"/>
  <c r="AC270" i="61"/>
  <c r="AC271" i="61"/>
  <c r="AC272" i="61"/>
  <c r="AC273" i="61"/>
  <c r="AC274" i="61"/>
  <c r="AC275" i="61"/>
  <c r="AC276" i="61"/>
  <c r="AC267" i="61"/>
  <c r="AC266" i="61"/>
  <c r="N218" i="61"/>
  <c r="N219" i="61"/>
  <c r="N220" i="61"/>
  <c r="N221" i="61"/>
  <c r="N222" i="61"/>
  <c r="N223" i="61"/>
  <c r="N224" i="61"/>
  <c r="N225" i="61"/>
  <c r="N226" i="61"/>
  <c r="N227" i="61"/>
  <c r="N228" i="61"/>
  <c r="N229" i="61"/>
  <c r="N230" i="61"/>
  <c r="N231" i="61"/>
  <c r="N232" i="61"/>
  <c r="N233" i="61"/>
  <c r="N234" i="61"/>
  <c r="N235" i="61"/>
  <c r="N236" i="61"/>
  <c r="N217" i="61"/>
  <c r="O166" i="61"/>
  <c r="O167" i="61"/>
  <c r="O168" i="61"/>
  <c r="O169" i="61"/>
  <c r="O170" i="61"/>
  <c r="O171" i="61"/>
  <c r="O172" i="61"/>
  <c r="O173" i="61"/>
  <c r="O174" i="61"/>
  <c r="O175" i="61"/>
  <c r="O176" i="61"/>
  <c r="O177" i="61"/>
  <c r="O178" i="61"/>
  <c r="O179" i="61"/>
  <c r="O180" i="61"/>
  <c r="O181" i="61"/>
  <c r="O182" i="61"/>
  <c r="O183" i="61"/>
  <c r="O184" i="61"/>
  <c r="O165" i="61"/>
  <c r="K166" i="61"/>
  <c r="K167" i="61"/>
  <c r="K168" i="61"/>
  <c r="K169" i="61"/>
  <c r="K170" i="61"/>
  <c r="K171" i="61"/>
  <c r="K172" i="61"/>
  <c r="K173" i="61"/>
  <c r="K174" i="61"/>
  <c r="K175" i="61"/>
  <c r="K176" i="61"/>
  <c r="K177" i="61"/>
  <c r="K178" i="61"/>
  <c r="K179" i="61"/>
  <c r="K180" i="61"/>
  <c r="K181" i="61"/>
  <c r="K182" i="61"/>
  <c r="K183" i="61"/>
  <c r="K184" i="61"/>
  <c r="K165" i="61"/>
  <c r="T105" i="61"/>
  <c r="T104" i="61"/>
  <c r="N105" i="61"/>
  <c r="N106" i="61"/>
  <c r="N107" i="61"/>
  <c r="N108" i="61"/>
  <c r="N109" i="61"/>
  <c r="N110" i="61"/>
  <c r="N111" i="61"/>
  <c r="N112" i="61"/>
  <c r="N113" i="61"/>
  <c r="N114" i="61"/>
  <c r="N115" i="61"/>
  <c r="N116" i="61"/>
  <c r="N117" i="61"/>
  <c r="N118" i="61"/>
  <c r="N119" i="61"/>
  <c r="N120" i="61"/>
  <c r="N121" i="61"/>
  <c r="N122" i="61"/>
  <c r="N123" i="61"/>
  <c r="N104" i="61"/>
  <c r="J105" i="61"/>
  <c r="J106" i="61"/>
  <c r="J107" i="61"/>
  <c r="J108" i="61"/>
  <c r="J109" i="61"/>
  <c r="J110" i="61"/>
  <c r="J111" i="61"/>
  <c r="J112" i="61"/>
  <c r="J113" i="61"/>
  <c r="J114" i="61"/>
  <c r="J115" i="61"/>
  <c r="J116" i="61"/>
  <c r="J117" i="61"/>
  <c r="J118" i="61"/>
  <c r="J119" i="61"/>
  <c r="J120" i="61"/>
  <c r="J121" i="61"/>
  <c r="J122" i="61"/>
  <c r="J123" i="61"/>
  <c r="J104" i="61"/>
  <c r="U71" i="61"/>
  <c r="O72" i="61"/>
  <c r="O73" i="61"/>
  <c r="O74" i="61"/>
  <c r="O75" i="61"/>
  <c r="O76" i="61"/>
  <c r="O77" i="61"/>
  <c r="O78" i="61"/>
  <c r="O79" i="61"/>
  <c r="O80" i="61"/>
  <c r="O81" i="61"/>
  <c r="O82" i="61"/>
  <c r="O83" i="61"/>
  <c r="O84" i="61"/>
  <c r="O85" i="61"/>
  <c r="O86" i="61"/>
  <c r="O87" i="61"/>
  <c r="O88" i="61"/>
  <c r="O89" i="61"/>
  <c r="O90" i="61"/>
  <c r="O71" i="61"/>
  <c r="K72" i="61"/>
  <c r="K73" i="61"/>
  <c r="K74" i="61"/>
  <c r="K75" i="61"/>
  <c r="K76" i="61"/>
  <c r="K77" i="61"/>
  <c r="K78" i="61"/>
  <c r="K79" i="61"/>
  <c r="K80" i="61"/>
  <c r="K81" i="61"/>
  <c r="K82" i="61"/>
  <c r="K83" i="61"/>
  <c r="K84" i="61"/>
  <c r="K85" i="61"/>
  <c r="K86" i="61"/>
  <c r="K87" i="61"/>
  <c r="K88" i="61"/>
  <c r="K89" i="61"/>
  <c r="K90" i="61"/>
  <c r="K71" i="61"/>
  <c r="L53" i="159"/>
  <c r="AS110" i="109"/>
  <c r="AS111" i="109"/>
  <c r="AS112" i="109"/>
  <c r="AS113" i="109"/>
  <c r="AS114" i="109"/>
  <c r="AS115" i="109"/>
  <c r="AS116" i="109"/>
  <c r="AS117" i="109"/>
  <c r="AS118" i="109"/>
  <c r="AS119" i="109"/>
  <c r="R111" i="109"/>
  <c r="R112" i="109"/>
  <c r="R113" i="109"/>
  <c r="R114" i="109"/>
  <c r="R115" i="109"/>
  <c r="R116" i="109"/>
  <c r="R117" i="109"/>
  <c r="R118" i="109"/>
  <c r="R119" i="109"/>
  <c r="R110" i="109"/>
  <c r="BH82" i="109"/>
  <c r="BH83" i="109"/>
  <c r="BH84" i="109"/>
  <c r="BH85" i="109"/>
  <c r="BH86" i="109"/>
  <c r="BH87" i="109"/>
  <c r="BH88" i="109"/>
  <c r="BH89" i="109"/>
  <c r="BH90" i="109"/>
  <c r="BH91" i="109"/>
  <c r="BH92" i="109"/>
  <c r="BH93" i="109"/>
  <c r="BH94" i="109"/>
  <c r="BH95" i="109"/>
  <c r="BH96" i="109"/>
  <c r="BH97" i="109"/>
  <c r="BH81" i="109"/>
  <c r="BI81" i="109" s="1"/>
  <c r="I27" i="154"/>
  <c r="I28" i="154"/>
  <c r="I29" i="154"/>
  <c r="I30" i="154"/>
  <c r="I31" i="154"/>
  <c r="I32" i="154"/>
  <c r="I33" i="154"/>
  <c r="I34" i="154"/>
  <c r="I35" i="154"/>
  <c r="I36" i="154"/>
  <c r="I37" i="154"/>
  <c r="I38" i="154"/>
  <c r="I39" i="154"/>
  <c r="I40" i="154"/>
  <c r="I41" i="154"/>
  <c r="I42" i="154"/>
  <c r="I43" i="154"/>
  <c r="CW53" i="109"/>
  <c r="CW54" i="109"/>
  <c r="CW55" i="109"/>
  <c r="CW56" i="109"/>
  <c r="CW57" i="109"/>
  <c r="CW58" i="109"/>
  <c r="CW59" i="109"/>
  <c r="CW60" i="109"/>
  <c r="CW61" i="109"/>
  <c r="CW62" i="109"/>
  <c r="CW63" i="109"/>
  <c r="CW64" i="109"/>
  <c r="CW65" i="109"/>
  <c r="CW66" i="109"/>
  <c r="CW67" i="109"/>
  <c r="CW68" i="109"/>
  <c r="CW52" i="109"/>
  <c r="CS53" i="109"/>
  <c r="CS54" i="109"/>
  <c r="CS55" i="109"/>
  <c r="CS56" i="109"/>
  <c r="CS57" i="109"/>
  <c r="CS58" i="109"/>
  <c r="CS59" i="109"/>
  <c r="CS60" i="109"/>
  <c r="CS61" i="109"/>
  <c r="CS62" i="109"/>
  <c r="CS63" i="109"/>
  <c r="CT63" i="109" s="1"/>
  <c r="DA63" i="109" s="1"/>
  <c r="CS64" i="109"/>
  <c r="CS65" i="109"/>
  <c r="CS66" i="109"/>
  <c r="CS67" i="109"/>
  <c r="CS68" i="109"/>
  <c r="CS52" i="109"/>
  <c r="CT52" i="109" s="1"/>
  <c r="DA52" i="109" s="1"/>
  <c r="ED45" i="161"/>
  <c r="DD53" i="161"/>
  <c r="DD54" i="161"/>
  <c r="DD55" i="161"/>
  <c r="DD56" i="161"/>
  <c r="DD57" i="161"/>
  <c r="DD58" i="161"/>
  <c r="DD59" i="161"/>
  <c r="DD60" i="161"/>
  <c r="DD61" i="161"/>
  <c r="DD62" i="161"/>
  <c r="DD63" i="161"/>
  <c r="DD64" i="161"/>
  <c r="DD65" i="161"/>
  <c r="DD66" i="161"/>
  <c r="DD67" i="161"/>
  <c r="DD68" i="161"/>
  <c r="DD52" i="161"/>
  <c r="CZ53" i="161"/>
  <c r="CZ54" i="161"/>
  <c r="CZ55" i="161"/>
  <c r="CZ56" i="161"/>
  <c r="CZ57" i="161"/>
  <c r="CZ58" i="161"/>
  <c r="CZ59" i="161"/>
  <c r="CZ60" i="161"/>
  <c r="CZ61" i="161"/>
  <c r="CZ62" i="161"/>
  <c r="CZ63" i="161"/>
  <c r="CZ64" i="161"/>
  <c r="CZ65" i="161"/>
  <c r="CZ66" i="161"/>
  <c r="CZ67" i="161"/>
  <c r="CZ68" i="161"/>
  <c r="CZ52" i="161"/>
  <c r="J61" i="154"/>
  <c r="J62" i="154"/>
  <c r="J63" i="154"/>
  <c r="J64" i="154"/>
  <c r="J65" i="154"/>
  <c r="J66" i="154"/>
  <c r="J67" i="154"/>
  <c r="J68" i="154"/>
  <c r="J69" i="154"/>
  <c r="J70" i="154"/>
  <c r="J71" i="154"/>
  <c r="J72" i="154"/>
  <c r="J73" i="154"/>
  <c r="J74" i="154"/>
  <c r="J75" i="154"/>
  <c r="CW54" i="161"/>
  <c r="CW55" i="161"/>
  <c r="CW56" i="161"/>
  <c r="CW57" i="161"/>
  <c r="CW58" i="161"/>
  <c r="CW59" i="161"/>
  <c r="CW60" i="161"/>
  <c r="CW61" i="161"/>
  <c r="CW62" i="161"/>
  <c r="CW63" i="161"/>
  <c r="CW64" i="161"/>
  <c r="CW65" i="161"/>
  <c r="CW66" i="161"/>
  <c r="CW67" i="161"/>
  <c r="CW68" i="161"/>
  <c r="CT53" i="161"/>
  <c r="J60" i="154" s="1"/>
  <c r="CT54" i="161"/>
  <c r="CT55" i="161"/>
  <c r="CT56" i="161"/>
  <c r="CT57" i="161"/>
  <c r="CT58" i="161"/>
  <c r="CT59" i="161"/>
  <c r="CT60" i="161"/>
  <c r="CT61" i="161"/>
  <c r="CT62" i="161"/>
  <c r="CT63" i="161"/>
  <c r="CT64" i="161"/>
  <c r="CT65" i="161"/>
  <c r="CT66" i="161"/>
  <c r="CT67" i="161"/>
  <c r="CT68" i="161"/>
  <c r="W53" i="161"/>
  <c r="D60" i="154"/>
  <c r="W54" i="161"/>
  <c r="D61" i="154"/>
  <c r="W55" i="161"/>
  <c r="D62" i="154"/>
  <c r="W56" i="161"/>
  <c r="D63" i="154"/>
  <c r="W57" i="161"/>
  <c r="D64" i="154"/>
  <c r="W58" i="161"/>
  <c r="D65" i="154"/>
  <c r="W59" i="161"/>
  <c r="D66" i="154"/>
  <c r="W60" i="161"/>
  <c r="D67" i="154"/>
  <c r="W61" i="161"/>
  <c r="D68" i="154"/>
  <c r="W62" i="161"/>
  <c r="D69" i="154"/>
  <c r="W63" i="161"/>
  <c r="D70" i="154"/>
  <c r="W64" i="161"/>
  <c r="D71" i="154"/>
  <c r="W65" i="161"/>
  <c r="D72" i="154"/>
  <c r="W66" i="161"/>
  <c r="D73" i="154"/>
  <c r="W67" i="161"/>
  <c r="D74" i="154"/>
  <c r="W68" i="161"/>
  <c r="D75" i="154"/>
  <c r="W52" i="161"/>
  <c r="Y52" i="161" s="1"/>
  <c r="AA52" i="161" s="1"/>
  <c r="P52" i="161"/>
  <c r="EC43" i="161"/>
  <c r="EU44" i="162"/>
  <c r="DQ54" i="162"/>
  <c r="DQ55" i="162"/>
  <c r="DQ56" i="162"/>
  <c r="DQ57" i="162"/>
  <c r="DQ58" i="162"/>
  <c r="DQ59" i="162"/>
  <c r="DQ60" i="162"/>
  <c r="DQ61" i="162"/>
  <c r="DQ62" i="162"/>
  <c r="DQ63" i="162"/>
  <c r="DQ64" i="162"/>
  <c r="DQ65" i="162"/>
  <c r="DQ66" i="162"/>
  <c r="DQ67" i="162"/>
  <c r="DQ68" i="162"/>
  <c r="DQ69" i="162"/>
  <c r="DQ53" i="162"/>
  <c r="DM54" i="162"/>
  <c r="DM55" i="162"/>
  <c r="DM56" i="162"/>
  <c r="DM57" i="162"/>
  <c r="DM58" i="162"/>
  <c r="DM59" i="162"/>
  <c r="DM60" i="162"/>
  <c r="DM61" i="162"/>
  <c r="DM62" i="162"/>
  <c r="DM63" i="162"/>
  <c r="DM64" i="162"/>
  <c r="DM65" i="162"/>
  <c r="DM66" i="162"/>
  <c r="DM67" i="162"/>
  <c r="DM68" i="162"/>
  <c r="DM69" i="162"/>
  <c r="DM53" i="162"/>
  <c r="CB54" i="162"/>
  <c r="CB55" i="162"/>
  <c r="CB56" i="162"/>
  <c r="CB57" i="162"/>
  <c r="CB58" i="162"/>
  <c r="CB59" i="162"/>
  <c r="CB60" i="162"/>
  <c r="CB61" i="162"/>
  <c r="CB62" i="162"/>
  <c r="CB63" i="162"/>
  <c r="CB64" i="162"/>
  <c r="CB65" i="162"/>
  <c r="CB66" i="162"/>
  <c r="CB67" i="162"/>
  <c r="CB68" i="162"/>
  <c r="CB69" i="162"/>
  <c r="CB53" i="162"/>
  <c r="BX53" i="162"/>
  <c r="BW53" i="162"/>
  <c r="BM54" i="162"/>
  <c r="BM55" i="162"/>
  <c r="BM56" i="162"/>
  <c r="BM57" i="162"/>
  <c r="BM58" i="162"/>
  <c r="BM59" i="162"/>
  <c r="BM60" i="162"/>
  <c r="BM61" i="162"/>
  <c r="BM62" i="162"/>
  <c r="BM63" i="162"/>
  <c r="BM64" i="162"/>
  <c r="BM65" i="162"/>
  <c r="BM66" i="162"/>
  <c r="BM67" i="162"/>
  <c r="BM68" i="162"/>
  <c r="BM69" i="162"/>
  <c r="BM53" i="162"/>
  <c r="AU54" i="162"/>
  <c r="AU55" i="162"/>
  <c r="AU56" i="162"/>
  <c r="AU57" i="162"/>
  <c r="AU58" i="162"/>
  <c r="AU59" i="162"/>
  <c r="AU60" i="162"/>
  <c r="AU61" i="162"/>
  <c r="AU62" i="162"/>
  <c r="AU63" i="162"/>
  <c r="AU64" i="162"/>
  <c r="AU65" i="162"/>
  <c r="AU66" i="162"/>
  <c r="AU67" i="162"/>
  <c r="AU68" i="162"/>
  <c r="AU69" i="162"/>
  <c r="AU53" i="162"/>
  <c r="N54" i="162"/>
  <c r="E80" i="154"/>
  <c r="N55" i="162"/>
  <c r="E81" i="154"/>
  <c r="N56" i="162"/>
  <c r="E82" i="154"/>
  <c r="N57" i="162"/>
  <c r="E83" i="154"/>
  <c r="N58" i="162"/>
  <c r="E84" i="154"/>
  <c r="N59" i="162"/>
  <c r="E85" i="154"/>
  <c r="N60" i="162"/>
  <c r="E86" i="154"/>
  <c r="N61" i="162"/>
  <c r="E87" i="154"/>
  <c r="N62" i="162"/>
  <c r="E88" i="154"/>
  <c r="N63" i="162"/>
  <c r="E89" i="154"/>
  <c r="N64" i="162"/>
  <c r="E90" i="154"/>
  <c r="N65" i="162"/>
  <c r="E91" i="154"/>
  <c r="N66" i="162"/>
  <c r="E92" i="154"/>
  <c r="N67" i="162"/>
  <c r="E93" i="154"/>
  <c r="N68" i="162"/>
  <c r="E94" i="154"/>
  <c r="N69" i="162"/>
  <c r="E95" i="154"/>
  <c r="N53" i="162"/>
  <c r="E79" i="154"/>
  <c r="H54" i="162"/>
  <c r="J54" i="162"/>
  <c r="H55" i="162"/>
  <c r="D81" i="154"/>
  <c r="H56" i="162"/>
  <c r="D82" i="154"/>
  <c r="H57" i="162"/>
  <c r="D83" i="154"/>
  <c r="H58" i="162"/>
  <c r="D84" i="154"/>
  <c r="H59" i="162"/>
  <c r="J59" i="162"/>
  <c r="H60" i="162"/>
  <c r="D86" i="154"/>
  <c r="H61" i="162"/>
  <c r="J61" i="162"/>
  <c r="H62" i="162"/>
  <c r="J62" i="162"/>
  <c r="H63" i="162"/>
  <c r="D89" i="154"/>
  <c r="H64" i="162"/>
  <c r="D90" i="154"/>
  <c r="H65" i="162"/>
  <c r="J65" i="162"/>
  <c r="H66" i="162"/>
  <c r="D92" i="154"/>
  <c r="H67" i="162"/>
  <c r="J67" i="162"/>
  <c r="H68" i="162"/>
  <c r="D94" i="154"/>
  <c r="H69" i="162"/>
  <c r="J69" i="162"/>
  <c r="H53" i="162"/>
  <c r="J53" i="162"/>
  <c r="EP44" i="162"/>
  <c r="Q71" i="162"/>
  <c r="Y68" i="161"/>
  <c r="Y60" i="161"/>
  <c r="Y67" i="161"/>
  <c r="Y59" i="161"/>
  <c r="Y65" i="161"/>
  <c r="Y57" i="161"/>
  <c r="Y66" i="161"/>
  <c r="Y58" i="161"/>
  <c r="Y64" i="161"/>
  <c r="Y56" i="161"/>
  <c r="Y63" i="161"/>
  <c r="Y55" i="161"/>
  <c r="Y62" i="161"/>
  <c r="Y54" i="161"/>
  <c r="Y61" i="161"/>
  <c r="Y53" i="161"/>
  <c r="D87" i="154"/>
  <c r="D95" i="154"/>
  <c r="J58" i="162"/>
  <c r="J55" i="162"/>
  <c r="D80" i="154"/>
  <c r="J66" i="162"/>
  <c r="D93" i="154"/>
  <c r="P69" i="162"/>
  <c r="P61" i="162"/>
  <c r="P68" i="162"/>
  <c r="P60" i="162"/>
  <c r="P67" i="162"/>
  <c r="P59" i="162"/>
  <c r="D88" i="154"/>
  <c r="J63" i="162"/>
  <c r="P66" i="162"/>
  <c r="P58" i="162"/>
  <c r="D85" i="154"/>
  <c r="P65" i="162"/>
  <c r="P57" i="162"/>
  <c r="P64" i="162"/>
  <c r="P56" i="162"/>
  <c r="P63" i="162"/>
  <c r="P55" i="162"/>
  <c r="P62" i="162"/>
  <c r="P54" i="162"/>
  <c r="P53" i="162"/>
  <c r="D79" i="154"/>
  <c r="J68" i="162"/>
  <c r="J60" i="162"/>
  <c r="J57" i="162"/>
  <c r="J64" i="162"/>
  <c r="J56" i="162"/>
  <c r="D91" i="154"/>
  <c r="CI41" i="169"/>
  <c r="CH41" i="169"/>
  <c r="T38" i="169"/>
  <c r="U42" i="169"/>
  <c r="AL50" i="109"/>
  <c r="W53" i="109"/>
  <c r="Y53" i="109"/>
  <c r="W54" i="109"/>
  <c r="Y54" i="109"/>
  <c r="W55" i="109"/>
  <c r="Y55" i="109"/>
  <c r="W56" i="109"/>
  <c r="Y56" i="109"/>
  <c r="W57" i="109"/>
  <c r="Y57" i="109"/>
  <c r="W58" i="109"/>
  <c r="Y58" i="109"/>
  <c r="W59" i="109"/>
  <c r="Y59" i="109"/>
  <c r="W60" i="109"/>
  <c r="Y60" i="109"/>
  <c r="W61" i="109"/>
  <c r="Y61" i="109"/>
  <c r="W62" i="109"/>
  <c r="Y62" i="109"/>
  <c r="W63" i="109"/>
  <c r="Y63" i="109"/>
  <c r="W64" i="109"/>
  <c r="Y64" i="109"/>
  <c r="W65" i="109"/>
  <c r="Y65" i="109"/>
  <c r="W66" i="109"/>
  <c r="Y66" i="109"/>
  <c r="W67" i="109"/>
  <c r="Y67" i="109"/>
  <c r="W68" i="109"/>
  <c r="Y68" i="109"/>
  <c r="W52" i="109"/>
  <c r="D8" i="154"/>
  <c r="U145" i="113"/>
  <c r="U146" i="113"/>
  <c r="U147" i="113"/>
  <c r="U148" i="113"/>
  <c r="U149" i="113"/>
  <c r="U150" i="113"/>
  <c r="U151" i="113"/>
  <c r="U152" i="113"/>
  <c r="U153" i="113"/>
  <c r="U154" i="113"/>
  <c r="U155" i="113"/>
  <c r="U156" i="113"/>
  <c r="U157" i="113"/>
  <c r="U158" i="113"/>
  <c r="U159" i="113"/>
  <c r="U160" i="113"/>
  <c r="U161" i="113"/>
  <c r="U162" i="113"/>
  <c r="U163" i="113"/>
  <c r="U144" i="113"/>
  <c r="AN166" i="61"/>
  <c r="AN167" i="61"/>
  <c r="AN168" i="61"/>
  <c r="AN169" i="61"/>
  <c r="AN170" i="61"/>
  <c r="AN171" i="61"/>
  <c r="AN172" i="61"/>
  <c r="AN173" i="61"/>
  <c r="AN174" i="61"/>
  <c r="AN175" i="61"/>
  <c r="AN176" i="61"/>
  <c r="AN177" i="61"/>
  <c r="AN178" i="61"/>
  <c r="AN179" i="61"/>
  <c r="AN180" i="61"/>
  <c r="AN181" i="61"/>
  <c r="AN182" i="61"/>
  <c r="AN183" i="61"/>
  <c r="AN184" i="61"/>
  <c r="AM166" i="61"/>
  <c r="AM167" i="61"/>
  <c r="AM168" i="61"/>
  <c r="AM169" i="61"/>
  <c r="AM170" i="61"/>
  <c r="AM171" i="61"/>
  <c r="AM172" i="61"/>
  <c r="AM173" i="61"/>
  <c r="AM174" i="61"/>
  <c r="AM175" i="61"/>
  <c r="AM176" i="61"/>
  <c r="AM177" i="61"/>
  <c r="AM178" i="61"/>
  <c r="AM179" i="61"/>
  <c r="AM180" i="61"/>
  <c r="AM181" i="61"/>
  <c r="AM182" i="61"/>
  <c r="AM183" i="61"/>
  <c r="AM184" i="61"/>
  <c r="Z319" i="61"/>
  <c r="Z320" i="61"/>
  <c r="Z321" i="61"/>
  <c r="Z322" i="61"/>
  <c r="Z323" i="61"/>
  <c r="Z324" i="61"/>
  <c r="Z325" i="61"/>
  <c r="Z326" i="61"/>
  <c r="Z327" i="61"/>
  <c r="Z318" i="61"/>
  <c r="AD268" i="61"/>
  <c r="AD269" i="61"/>
  <c r="AD270" i="61"/>
  <c r="AD271" i="61"/>
  <c r="AD272" i="61"/>
  <c r="AD273" i="61"/>
  <c r="AD274" i="61"/>
  <c r="AD275" i="61"/>
  <c r="AD276" i="61"/>
  <c r="AD267" i="61"/>
  <c r="AN218" i="61"/>
  <c r="AN219" i="61"/>
  <c r="AN220" i="61"/>
  <c r="AN221" i="61"/>
  <c r="AN222" i="61"/>
  <c r="AN223" i="61"/>
  <c r="AN224" i="61"/>
  <c r="AN225" i="61"/>
  <c r="AN226" i="61"/>
  <c r="AN227" i="61"/>
  <c r="AN228" i="61"/>
  <c r="AN229" i="61"/>
  <c r="AN230" i="61"/>
  <c r="AN231" i="61"/>
  <c r="AN232" i="61"/>
  <c r="AN233" i="61"/>
  <c r="AN234" i="61"/>
  <c r="AN235" i="61"/>
  <c r="AN236" i="61"/>
  <c r="AN217" i="61"/>
  <c r="AK218" i="61"/>
  <c r="AL218" i="61"/>
  <c r="AK219" i="61"/>
  <c r="AL219" i="61"/>
  <c r="AK220" i="61"/>
  <c r="AL220" i="61"/>
  <c r="AK221" i="61"/>
  <c r="AL221" i="61"/>
  <c r="AK222" i="61"/>
  <c r="AL222" i="61"/>
  <c r="AK223" i="61"/>
  <c r="AL223" i="61"/>
  <c r="AK224" i="61"/>
  <c r="AL224" i="61"/>
  <c r="AK225" i="61"/>
  <c r="AL225" i="61"/>
  <c r="AK226" i="61"/>
  <c r="AL226" i="61"/>
  <c r="AK227" i="61"/>
  <c r="AL227" i="61"/>
  <c r="AK228" i="61"/>
  <c r="AL228" i="61"/>
  <c r="AK229" i="61"/>
  <c r="AL229" i="61"/>
  <c r="AK230" i="61"/>
  <c r="AL230" i="61"/>
  <c r="AK231" i="61"/>
  <c r="AL231" i="61"/>
  <c r="AK232" i="61"/>
  <c r="AL232" i="61"/>
  <c r="AK233" i="61"/>
  <c r="AL233" i="61"/>
  <c r="AK234" i="61"/>
  <c r="AL234" i="61"/>
  <c r="AK235" i="61"/>
  <c r="AL235" i="61"/>
  <c r="AK236" i="61"/>
  <c r="AL236" i="61"/>
  <c r="AL217" i="61"/>
  <c r="AK217" i="61"/>
  <c r="AP166" i="61"/>
  <c r="AP167" i="61"/>
  <c r="AP168" i="61"/>
  <c r="AP169" i="61"/>
  <c r="AP170" i="61"/>
  <c r="AP171" i="61"/>
  <c r="AP172" i="61"/>
  <c r="AP173" i="61"/>
  <c r="AP174" i="61"/>
  <c r="AP175" i="61"/>
  <c r="AP176" i="61"/>
  <c r="AP177" i="61"/>
  <c r="AP178" i="61"/>
  <c r="AP179" i="61"/>
  <c r="AP180" i="61"/>
  <c r="AP181" i="61"/>
  <c r="AP182" i="61"/>
  <c r="AP183" i="61"/>
  <c r="AP184" i="61"/>
  <c r="AP165" i="61"/>
  <c r="AN165" i="61"/>
  <c r="AM165" i="61"/>
  <c r="AL105" i="61"/>
  <c r="AM105" i="61"/>
  <c r="AN105" i="61"/>
  <c r="AL106" i="61"/>
  <c r="AM106" i="61"/>
  <c r="AN106" i="61"/>
  <c r="AL107" i="61"/>
  <c r="AM107" i="61"/>
  <c r="AN107" i="61"/>
  <c r="AL108" i="61"/>
  <c r="AM108" i="61"/>
  <c r="AN108" i="61"/>
  <c r="AL109" i="61"/>
  <c r="AM109" i="61"/>
  <c r="AN109" i="61"/>
  <c r="AL110" i="61"/>
  <c r="AM110" i="61"/>
  <c r="AN110" i="61"/>
  <c r="AL111" i="61"/>
  <c r="AM111" i="61"/>
  <c r="AN111" i="61"/>
  <c r="AL112" i="61"/>
  <c r="AM112" i="61"/>
  <c r="AN112" i="61"/>
  <c r="AL113" i="61"/>
  <c r="AM113" i="61"/>
  <c r="AN113" i="61"/>
  <c r="AL114" i="61"/>
  <c r="AM114" i="61"/>
  <c r="AN114" i="61"/>
  <c r="AL115" i="61"/>
  <c r="AM115" i="61"/>
  <c r="AN115" i="61"/>
  <c r="AL116" i="61"/>
  <c r="AM116" i="61"/>
  <c r="AN116" i="61"/>
  <c r="AL117" i="61"/>
  <c r="AM117" i="61"/>
  <c r="AN117" i="61"/>
  <c r="AL118" i="61"/>
  <c r="AM118" i="61"/>
  <c r="AN118" i="61"/>
  <c r="AL119" i="61"/>
  <c r="AM119" i="61"/>
  <c r="AN119" i="61"/>
  <c r="AL120" i="61"/>
  <c r="AM120" i="61"/>
  <c r="AN120" i="61"/>
  <c r="AL121" i="61"/>
  <c r="AM121" i="61"/>
  <c r="AN121" i="61"/>
  <c r="AL122" i="61"/>
  <c r="AM122" i="61"/>
  <c r="AN122" i="61"/>
  <c r="AL123" i="61"/>
  <c r="AM123" i="61"/>
  <c r="AN123" i="61"/>
  <c r="AN104" i="61"/>
  <c r="AM104" i="61"/>
  <c r="AL104" i="61"/>
  <c r="AN72" i="61"/>
  <c r="AO72" i="61"/>
  <c r="AN73" i="61"/>
  <c r="AO73" i="61"/>
  <c r="AN74" i="61"/>
  <c r="AO74" i="61"/>
  <c r="AN75" i="61"/>
  <c r="AO75" i="61"/>
  <c r="AN76" i="61"/>
  <c r="AO76" i="61"/>
  <c r="AN77" i="61"/>
  <c r="AO77" i="61"/>
  <c r="AN78" i="61"/>
  <c r="AO78" i="61"/>
  <c r="AN79" i="61"/>
  <c r="AO79" i="61"/>
  <c r="AN80" i="61"/>
  <c r="AO80" i="61"/>
  <c r="AN81" i="61"/>
  <c r="AO81" i="61"/>
  <c r="AN82" i="61"/>
  <c r="AO82" i="61"/>
  <c r="AN83" i="61"/>
  <c r="AO83" i="61"/>
  <c r="AN84" i="61"/>
  <c r="AO84" i="61"/>
  <c r="AN85" i="61"/>
  <c r="AO85" i="61"/>
  <c r="AN86" i="61"/>
  <c r="AO86" i="61"/>
  <c r="AN87" i="61"/>
  <c r="AO87" i="61"/>
  <c r="AN88" i="61"/>
  <c r="AO88" i="61"/>
  <c r="AN89" i="61"/>
  <c r="AO89" i="61"/>
  <c r="AN90" i="61"/>
  <c r="AO90" i="61"/>
  <c r="AN71" i="61"/>
  <c r="AO71" i="61"/>
  <c r="AM72" i="61"/>
  <c r="AM73" i="61"/>
  <c r="AM74" i="61"/>
  <c r="AM75" i="61"/>
  <c r="AM76" i="61"/>
  <c r="AM77" i="61"/>
  <c r="AM78" i="61"/>
  <c r="AM79" i="61"/>
  <c r="AM80" i="61"/>
  <c r="AM81" i="61"/>
  <c r="AM82" i="61"/>
  <c r="AM83" i="61"/>
  <c r="AM84" i="61"/>
  <c r="AM85" i="61"/>
  <c r="AM86" i="61"/>
  <c r="AM87" i="61"/>
  <c r="AM88" i="61"/>
  <c r="AM89" i="61"/>
  <c r="AM90" i="61"/>
  <c r="AM71" i="61"/>
  <c r="BB70" i="86"/>
  <c r="BB71" i="86"/>
  <c r="BB72" i="86"/>
  <c r="BB73" i="86"/>
  <c r="BB74" i="86"/>
  <c r="BB75" i="86"/>
  <c r="BB76" i="86"/>
  <c r="BB77" i="86"/>
  <c r="BB78" i="86"/>
  <c r="BB79" i="86"/>
  <c r="BB80" i="86"/>
  <c r="BB81" i="86"/>
  <c r="BB82" i="86"/>
  <c r="BB83" i="86"/>
  <c r="BB84" i="86"/>
  <c r="BB85" i="86"/>
  <c r="BB86" i="86"/>
  <c r="BB87" i="86"/>
  <c r="BB88" i="86"/>
  <c r="BB89" i="86"/>
  <c r="BB90" i="86"/>
  <c r="BB91" i="86"/>
  <c r="BB92" i="86"/>
  <c r="BB93" i="86"/>
  <c r="BB94" i="86"/>
  <c r="BB95" i="86"/>
  <c r="BB96" i="86"/>
  <c r="BB97" i="86"/>
  <c r="BB98" i="86"/>
  <c r="BB69" i="86"/>
  <c r="AX70" i="86"/>
  <c r="AX71" i="86"/>
  <c r="AX72" i="86"/>
  <c r="AX73" i="86"/>
  <c r="AX74" i="86"/>
  <c r="AX75" i="86"/>
  <c r="AX76" i="86"/>
  <c r="AX77" i="86"/>
  <c r="AX78" i="86"/>
  <c r="AX79" i="86"/>
  <c r="AX80" i="86"/>
  <c r="AX81" i="86"/>
  <c r="AX82" i="86"/>
  <c r="AX83" i="86"/>
  <c r="AX84" i="86"/>
  <c r="AX85" i="86"/>
  <c r="AX86" i="86"/>
  <c r="AX87" i="86"/>
  <c r="AX88" i="86"/>
  <c r="AX89" i="86"/>
  <c r="AX90" i="86"/>
  <c r="AX91" i="86"/>
  <c r="AX92" i="86"/>
  <c r="AX93" i="86"/>
  <c r="AX94" i="86"/>
  <c r="AX95" i="86"/>
  <c r="AX96" i="86"/>
  <c r="AX97" i="86"/>
  <c r="AX98" i="86"/>
  <c r="AX69" i="86"/>
  <c r="AJ82" i="109"/>
  <c r="AJ83" i="109"/>
  <c r="AJ84" i="109"/>
  <c r="AJ85" i="109"/>
  <c r="AJ86" i="109"/>
  <c r="AJ87" i="109"/>
  <c r="AJ88" i="109"/>
  <c r="AJ89" i="109"/>
  <c r="AJ90" i="109"/>
  <c r="AJ91" i="109"/>
  <c r="AJ92" i="109"/>
  <c r="AJ93" i="109"/>
  <c r="AJ94" i="109"/>
  <c r="AJ95" i="109"/>
  <c r="AJ96" i="109"/>
  <c r="AJ97" i="109"/>
  <c r="AJ81" i="109"/>
  <c r="AA82" i="109"/>
  <c r="AA83" i="109"/>
  <c r="AA84" i="109"/>
  <c r="AA85" i="109"/>
  <c r="AA86" i="109"/>
  <c r="AA87" i="109"/>
  <c r="AA88" i="109"/>
  <c r="AA89" i="109"/>
  <c r="AA90" i="109"/>
  <c r="AA91" i="109"/>
  <c r="AA92" i="109"/>
  <c r="AA93" i="109"/>
  <c r="AA94" i="109"/>
  <c r="AA95" i="109"/>
  <c r="AA96" i="109"/>
  <c r="AA97" i="109"/>
  <c r="AA81" i="109"/>
  <c r="BT53" i="109"/>
  <c r="BT54" i="109"/>
  <c r="BT55" i="109"/>
  <c r="BT56" i="109"/>
  <c r="BT57" i="109"/>
  <c r="BT58" i="109"/>
  <c r="BT59" i="109"/>
  <c r="BT60" i="109"/>
  <c r="BT61" i="109"/>
  <c r="BU61" i="109" s="1"/>
  <c r="BZ61" i="109" s="1"/>
  <c r="BT62" i="109"/>
  <c r="BT63" i="109"/>
  <c r="BT64" i="109"/>
  <c r="BT65" i="109"/>
  <c r="BT66" i="109"/>
  <c r="BT67" i="109"/>
  <c r="BT68" i="109"/>
  <c r="BU68" i="109" s="1"/>
  <c r="BT52" i="109"/>
  <c r="AP53" i="109"/>
  <c r="AP54" i="109"/>
  <c r="AP55" i="109"/>
  <c r="AP56" i="109"/>
  <c r="AP57" i="109"/>
  <c r="AP58" i="109"/>
  <c r="AP59" i="109"/>
  <c r="AP60" i="109"/>
  <c r="AP61" i="109"/>
  <c r="AP62" i="109"/>
  <c r="AP63" i="109"/>
  <c r="AP64" i="109"/>
  <c r="AP65" i="109"/>
  <c r="AP66" i="109"/>
  <c r="AP67" i="109"/>
  <c r="AP68" i="109"/>
  <c r="AP52" i="109"/>
  <c r="AD53" i="109"/>
  <c r="AD54" i="109"/>
  <c r="AD55" i="109"/>
  <c r="AD56" i="109"/>
  <c r="AD57" i="109"/>
  <c r="AD58" i="109"/>
  <c r="AD59" i="109"/>
  <c r="AD60" i="109"/>
  <c r="AD61" i="109"/>
  <c r="AD62" i="109"/>
  <c r="AD63" i="109"/>
  <c r="AD64" i="109"/>
  <c r="AD65" i="109"/>
  <c r="AD66" i="109"/>
  <c r="AD67" i="109"/>
  <c r="AD68" i="109"/>
  <c r="AE68" i="109" s="1"/>
  <c r="AD52" i="109"/>
  <c r="BT53" i="161"/>
  <c r="BT54" i="161"/>
  <c r="BT55" i="161"/>
  <c r="BT56" i="161"/>
  <c r="BT57" i="161"/>
  <c r="BT58" i="161"/>
  <c r="BT59" i="161"/>
  <c r="BT60" i="161"/>
  <c r="BT61" i="161"/>
  <c r="BT62" i="161"/>
  <c r="BT63" i="161"/>
  <c r="BT64" i="161"/>
  <c r="BT65" i="161"/>
  <c r="BT66" i="161"/>
  <c r="BT67" i="161"/>
  <c r="BT68" i="161"/>
  <c r="BT52" i="161"/>
  <c r="AP53" i="161"/>
  <c r="AP54" i="161"/>
  <c r="AP55" i="161"/>
  <c r="AP56" i="161"/>
  <c r="AP57" i="161"/>
  <c r="AP58" i="161"/>
  <c r="AP59" i="161"/>
  <c r="AP60" i="161"/>
  <c r="AP61" i="161"/>
  <c r="AP62" i="161"/>
  <c r="AP63" i="161"/>
  <c r="AP64" i="161"/>
  <c r="AP65" i="161"/>
  <c r="AP66" i="161"/>
  <c r="AP67" i="161"/>
  <c r="AP68" i="161"/>
  <c r="AP52" i="161"/>
  <c r="AD53" i="161"/>
  <c r="AD54" i="161"/>
  <c r="AD55" i="161"/>
  <c r="AD56" i="161"/>
  <c r="AD57" i="161"/>
  <c r="AD58" i="161"/>
  <c r="AD59" i="161"/>
  <c r="AD60" i="161"/>
  <c r="AD61" i="161"/>
  <c r="AD62" i="161"/>
  <c r="AD63" i="161"/>
  <c r="AD64" i="161"/>
  <c r="AD65" i="161"/>
  <c r="AD66" i="161"/>
  <c r="AD67" i="161"/>
  <c r="AD68" i="161"/>
  <c r="AD52" i="161"/>
  <c r="CK54" i="162"/>
  <c r="CK55" i="162"/>
  <c r="CK56" i="162"/>
  <c r="CK57" i="162"/>
  <c r="CK58" i="162"/>
  <c r="CK59" i="162"/>
  <c r="CK60" i="162"/>
  <c r="CK61" i="162"/>
  <c r="CK62" i="162"/>
  <c r="CK63" i="162"/>
  <c r="CK64" i="162"/>
  <c r="CK65" i="162"/>
  <c r="CK66" i="162"/>
  <c r="CK67" i="162"/>
  <c r="CK68" i="162"/>
  <c r="CK69" i="162"/>
  <c r="CK53" i="162"/>
  <c r="BE54" i="162"/>
  <c r="BE55" i="162"/>
  <c r="BE56" i="162"/>
  <c r="BE57" i="162"/>
  <c r="BE58" i="162"/>
  <c r="BE59" i="162"/>
  <c r="BE60" i="162"/>
  <c r="BE61" i="162"/>
  <c r="BE62" i="162"/>
  <c r="BE63" i="162"/>
  <c r="BE64" i="162"/>
  <c r="BE65" i="162"/>
  <c r="BE66" i="162"/>
  <c r="BE67" i="162"/>
  <c r="BE68" i="162"/>
  <c r="BE69" i="162"/>
  <c r="BE53" i="162"/>
  <c r="AM54" i="162"/>
  <c r="AM55" i="162"/>
  <c r="AM56" i="162"/>
  <c r="AM57" i="162"/>
  <c r="AM58" i="162"/>
  <c r="AM59" i="162"/>
  <c r="AM60" i="162"/>
  <c r="AM61" i="162"/>
  <c r="AM62" i="162"/>
  <c r="AM63" i="162"/>
  <c r="AM64" i="162"/>
  <c r="AM65" i="162"/>
  <c r="AM66" i="162"/>
  <c r="AM67" i="162"/>
  <c r="AM68" i="162"/>
  <c r="AM69" i="162"/>
  <c r="AM53" i="162"/>
  <c r="U54" i="162"/>
  <c r="U55" i="162"/>
  <c r="U56" i="162"/>
  <c r="U57" i="162"/>
  <c r="U58" i="162"/>
  <c r="U59" i="162"/>
  <c r="U60" i="162"/>
  <c r="U61" i="162"/>
  <c r="U62" i="162"/>
  <c r="U63" i="162"/>
  <c r="U64" i="162"/>
  <c r="U65" i="162"/>
  <c r="U66" i="162"/>
  <c r="U67" i="162"/>
  <c r="U68" i="162"/>
  <c r="U69" i="162"/>
  <c r="U53" i="162"/>
  <c r="AL175" i="113"/>
  <c r="AL177" i="113"/>
  <c r="AL178" i="113"/>
  <c r="AL179" i="113"/>
  <c r="AL180" i="113"/>
  <c r="AL181" i="113"/>
  <c r="AL182" i="113"/>
  <c r="AL183" i="113"/>
  <c r="AL184" i="113"/>
  <c r="AL185" i="113"/>
  <c r="AL186" i="113"/>
  <c r="AL187" i="113"/>
  <c r="AL188" i="113"/>
  <c r="AL189" i="113"/>
  <c r="AL190" i="113"/>
  <c r="AL191" i="113"/>
  <c r="AL192" i="113"/>
  <c r="AL193" i="113"/>
  <c r="AL194" i="113"/>
  <c r="AL195" i="113"/>
  <c r="AL176" i="113"/>
  <c r="Z177" i="113"/>
  <c r="Z178" i="113"/>
  <c r="Z179" i="113"/>
  <c r="Z180" i="113"/>
  <c r="Z181" i="113"/>
  <c r="Z182" i="113"/>
  <c r="Z183" i="113"/>
  <c r="Z184" i="113"/>
  <c r="Z185" i="113"/>
  <c r="Z186" i="113"/>
  <c r="Z187" i="113"/>
  <c r="Z188" i="113"/>
  <c r="Z189" i="113"/>
  <c r="Z190" i="113"/>
  <c r="Z191" i="113"/>
  <c r="Z192" i="113"/>
  <c r="Z193" i="113"/>
  <c r="Z194" i="113"/>
  <c r="Z195" i="113"/>
  <c r="Z176" i="113"/>
  <c r="Z175" i="113"/>
  <c r="V175" i="113"/>
  <c r="V177" i="113"/>
  <c r="V178" i="113"/>
  <c r="V179" i="113"/>
  <c r="V180" i="113"/>
  <c r="V181" i="113"/>
  <c r="V182" i="113"/>
  <c r="V183" i="113"/>
  <c r="V184" i="113"/>
  <c r="V185" i="113"/>
  <c r="V186" i="113"/>
  <c r="V187" i="113"/>
  <c r="V188" i="113"/>
  <c r="V189" i="113"/>
  <c r="V190" i="113"/>
  <c r="V191" i="113"/>
  <c r="V192" i="113"/>
  <c r="V193" i="113"/>
  <c r="V194" i="113"/>
  <c r="V195" i="113"/>
  <c r="V176" i="113"/>
  <c r="AH145" i="113"/>
  <c r="AH146" i="113"/>
  <c r="AH147" i="113"/>
  <c r="AH148" i="113"/>
  <c r="AH149" i="113"/>
  <c r="AH150" i="113"/>
  <c r="AH151" i="113"/>
  <c r="AH152" i="113"/>
  <c r="AH153" i="113"/>
  <c r="AH154" i="113"/>
  <c r="AH155" i="113"/>
  <c r="AH156" i="113"/>
  <c r="AH157" i="113"/>
  <c r="AH158" i="113"/>
  <c r="AH159" i="113"/>
  <c r="AH160" i="113"/>
  <c r="AH161" i="113"/>
  <c r="AH162" i="113"/>
  <c r="AH163" i="113"/>
  <c r="AH144" i="113"/>
  <c r="X112" i="113"/>
  <c r="X113" i="113"/>
  <c r="X114" i="113"/>
  <c r="X115" i="113"/>
  <c r="X116" i="113"/>
  <c r="X117" i="113"/>
  <c r="X118" i="113"/>
  <c r="X119" i="113"/>
  <c r="X120" i="113"/>
  <c r="X121" i="113"/>
  <c r="X122" i="113"/>
  <c r="X123" i="113"/>
  <c r="X124" i="113"/>
  <c r="X125" i="113"/>
  <c r="X126" i="113"/>
  <c r="X127" i="113"/>
  <c r="X128" i="113"/>
  <c r="X129" i="113"/>
  <c r="X130" i="113"/>
  <c r="X111" i="113"/>
  <c r="Q112" i="113"/>
  <c r="Q113" i="113"/>
  <c r="Q114" i="113"/>
  <c r="Q115" i="113"/>
  <c r="Q116" i="113"/>
  <c r="Q117" i="113"/>
  <c r="Q118" i="113"/>
  <c r="Q119" i="113"/>
  <c r="Q120" i="113"/>
  <c r="Q121" i="113"/>
  <c r="Q122" i="113"/>
  <c r="Q123" i="113"/>
  <c r="Q124" i="113"/>
  <c r="Q125" i="113"/>
  <c r="Q126" i="113"/>
  <c r="Q127" i="113"/>
  <c r="Q128" i="113"/>
  <c r="Q129" i="113"/>
  <c r="Q130" i="113"/>
  <c r="Q111" i="113"/>
  <c r="U80" i="113"/>
  <c r="U81" i="113"/>
  <c r="U82" i="113"/>
  <c r="U83" i="113"/>
  <c r="U84" i="113"/>
  <c r="U85" i="113"/>
  <c r="U86" i="113"/>
  <c r="U87" i="113"/>
  <c r="U88" i="113"/>
  <c r="U89" i="113"/>
  <c r="U90" i="113"/>
  <c r="U91" i="113"/>
  <c r="U92" i="113"/>
  <c r="U93" i="113"/>
  <c r="U94" i="113"/>
  <c r="U95" i="113"/>
  <c r="U96" i="113"/>
  <c r="U97" i="113"/>
  <c r="U98" i="113"/>
  <c r="U79" i="113"/>
  <c r="S46" i="113"/>
  <c r="S47" i="113"/>
  <c r="S48" i="113"/>
  <c r="S49" i="113"/>
  <c r="S50" i="113"/>
  <c r="S51" i="113"/>
  <c r="S52" i="113"/>
  <c r="S53" i="113"/>
  <c r="S54" i="113"/>
  <c r="S55" i="113"/>
  <c r="S56" i="113"/>
  <c r="S57" i="113"/>
  <c r="S58" i="113"/>
  <c r="S59" i="113"/>
  <c r="S60" i="113"/>
  <c r="S61" i="113"/>
  <c r="S62" i="113"/>
  <c r="S63" i="113"/>
  <c r="S64" i="113"/>
  <c r="S45" i="113"/>
  <c r="CG41" i="169"/>
  <c r="CG43" i="169"/>
  <c r="CG44" i="169"/>
  <c r="CG45" i="169"/>
  <c r="CG46" i="169"/>
  <c r="CG47" i="169"/>
  <c r="CG48" i="169"/>
  <c r="CG49" i="169"/>
  <c r="CG50" i="169"/>
  <c r="CG51" i="169"/>
  <c r="CG42" i="169"/>
  <c r="I27" i="160"/>
  <c r="H150" i="100"/>
  <c r="H151" i="100"/>
  <c r="H152" i="100"/>
  <c r="H153" i="100"/>
  <c r="H154" i="100"/>
  <c r="H155" i="100"/>
  <c r="H156" i="100"/>
  <c r="H157" i="100"/>
  <c r="H158" i="100"/>
  <c r="H149" i="100"/>
  <c r="K112" i="160"/>
  <c r="K113" i="160"/>
  <c r="K111" i="160"/>
  <c r="J59" i="160"/>
  <c r="I31" i="160"/>
  <c r="I32" i="160"/>
  <c r="I33" i="160"/>
  <c r="I34" i="160"/>
  <c r="I35" i="160"/>
  <c r="I36" i="160"/>
  <c r="I37" i="160"/>
  <c r="I38" i="160"/>
  <c r="I39" i="160"/>
  <c r="I30" i="160"/>
  <c r="G24" i="160"/>
  <c r="R49" i="100"/>
  <c r="L133" i="100"/>
  <c r="L134" i="100"/>
  <c r="L135" i="100"/>
  <c r="L136" i="100"/>
  <c r="L137" i="100"/>
  <c r="L138" i="100"/>
  <c r="L139" i="100"/>
  <c r="L140" i="100"/>
  <c r="L141" i="100"/>
  <c r="L131" i="100"/>
  <c r="L132" i="100"/>
  <c r="L154" i="100"/>
  <c r="M154" i="100" s="1"/>
  <c r="L156" i="100"/>
  <c r="M156" i="100" s="1"/>
  <c r="L150" i="100"/>
  <c r="M150" i="100" s="1"/>
  <c r="L151" i="100"/>
  <c r="M151" i="100" s="1"/>
  <c r="L152" i="100"/>
  <c r="M152" i="100" s="1"/>
  <c r="L153" i="100"/>
  <c r="M153" i="100" s="1"/>
  <c r="L155" i="100"/>
  <c r="M155" i="100" s="1"/>
  <c r="L157" i="100"/>
  <c r="M157" i="100" s="1"/>
  <c r="L158" i="100"/>
  <c r="M158" i="100" s="1"/>
  <c r="L149" i="100"/>
  <c r="M149" i="100" s="1"/>
  <c r="Y52" i="109"/>
  <c r="C43" i="86"/>
  <c r="C44" i="86"/>
  <c r="C45" i="86"/>
  <c r="C46" i="86"/>
  <c r="C47" i="86"/>
  <c r="C48" i="86"/>
  <c r="C49" i="86"/>
  <c r="C50" i="86"/>
  <c r="C51" i="86"/>
  <c r="C52" i="86"/>
  <c r="C53" i="86"/>
  <c r="C54" i="86"/>
  <c r="C55" i="86"/>
  <c r="C56" i="86"/>
  <c r="C57" i="86"/>
  <c r="C58" i="86"/>
  <c r="C59" i="86"/>
  <c r="C60" i="86"/>
  <c r="E446" i="101"/>
  <c r="E448" i="101"/>
  <c r="E440" i="101"/>
  <c r="E441" i="101"/>
  <c r="I96" i="65"/>
  <c r="I97" i="65"/>
  <c r="I98" i="65"/>
  <c r="I99" i="65"/>
  <c r="F94" i="65"/>
  <c r="F95" i="65"/>
  <c r="F83" i="65"/>
  <c r="F84" i="65"/>
  <c r="F85" i="65"/>
  <c r="F86" i="65"/>
  <c r="F87" i="65"/>
  <c r="F88" i="65"/>
  <c r="F89" i="65"/>
  <c r="F90" i="65"/>
  <c r="F91" i="65"/>
  <c r="F92" i="65"/>
  <c r="F93" i="65"/>
  <c r="E78" i="101"/>
  <c r="E79" i="101"/>
  <c r="E80" i="101"/>
  <c r="E72" i="101"/>
  <c r="E73" i="101"/>
  <c r="E83" i="160"/>
  <c r="E84" i="160"/>
  <c r="E82" i="160"/>
  <c r="E81" i="160"/>
  <c r="G81" i="160" s="1"/>
  <c r="E80" i="160"/>
  <c r="H77" i="160"/>
  <c r="H81" i="160"/>
  <c r="H82" i="160"/>
  <c r="H83" i="160"/>
  <c r="H84" i="160"/>
  <c r="H85" i="160"/>
  <c r="H86" i="160"/>
  <c r="H87" i="160"/>
  <c r="D2" i="149"/>
  <c r="G80" i="160"/>
  <c r="F80" i="160"/>
  <c r="F82" i="160"/>
  <c r="G82" i="160"/>
  <c r="Y70" i="86"/>
  <c r="Y71" i="86"/>
  <c r="Y72" i="86"/>
  <c r="Y73" i="86"/>
  <c r="Y74" i="86"/>
  <c r="Y75" i="86"/>
  <c r="Y76" i="86"/>
  <c r="Y77" i="86"/>
  <c r="Y78" i="86"/>
  <c r="Y79" i="86"/>
  <c r="Y80" i="86"/>
  <c r="Y81" i="86"/>
  <c r="Y82" i="86"/>
  <c r="Y83" i="86"/>
  <c r="Y84" i="86"/>
  <c r="Y85" i="86"/>
  <c r="Y86" i="86"/>
  <c r="Y87" i="86"/>
  <c r="Y88" i="86"/>
  <c r="Y89" i="86"/>
  <c r="Y90" i="86"/>
  <c r="Y91" i="86"/>
  <c r="Y92" i="86"/>
  <c r="Y93" i="86"/>
  <c r="Y94" i="86"/>
  <c r="Y95" i="86"/>
  <c r="Y96" i="86"/>
  <c r="Y97" i="86"/>
  <c r="Y98" i="86"/>
  <c r="Y69" i="86"/>
  <c r="BD62" i="86"/>
  <c r="BC62" i="86"/>
  <c r="BC61" i="86"/>
  <c r="BB61" i="86"/>
  <c r="Z70" i="86"/>
  <c r="AC70" i="86"/>
  <c r="Z71" i="86"/>
  <c r="AC71" i="86"/>
  <c r="Z72" i="86"/>
  <c r="AC72" i="86"/>
  <c r="Z73" i="86"/>
  <c r="AC73" i="86"/>
  <c r="Z74" i="86"/>
  <c r="AC74" i="86"/>
  <c r="Z75" i="86"/>
  <c r="AC75" i="86"/>
  <c r="Z76" i="86"/>
  <c r="AC76" i="86"/>
  <c r="Z77" i="86"/>
  <c r="AC77" i="86"/>
  <c r="Z78" i="86"/>
  <c r="AC78" i="86"/>
  <c r="Z79" i="86"/>
  <c r="AC79" i="86"/>
  <c r="Z80" i="86"/>
  <c r="AC80" i="86"/>
  <c r="Z81" i="86"/>
  <c r="AC81" i="86"/>
  <c r="Z82" i="86"/>
  <c r="AC82" i="86"/>
  <c r="Z83" i="86"/>
  <c r="AC83" i="86"/>
  <c r="Z84" i="86"/>
  <c r="AC84" i="86"/>
  <c r="Z85" i="86"/>
  <c r="AC85" i="86"/>
  <c r="Z86" i="86"/>
  <c r="AC86" i="86"/>
  <c r="Z87" i="86"/>
  <c r="AC87" i="86"/>
  <c r="Z88" i="86"/>
  <c r="AC88" i="86"/>
  <c r="Z89" i="86"/>
  <c r="AC89" i="86"/>
  <c r="Z90" i="86"/>
  <c r="AC90" i="86"/>
  <c r="Z91" i="86"/>
  <c r="AC91" i="86"/>
  <c r="Z92" i="86"/>
  <c r="AC92" i="86"/>
  <c r="Z93" i="86"/>
  <c r="AC93" i="86"/>
  <c r="Z94" i="86"/>
  <c r="AC94" i="86"/>
  <c r="Z95" i="86"/>
  <c r="AC95" i="86"/>
  <c r="Z96" i="86"/>
  <c r="AC96" i="86"/>
  <c r="Z97" i="86"/>
  <c r="AC97" i="86"/>
  <c r="Z69" i="86"/>
  <c r="AC69" i="86"/>
  <c r="AC100" i="86"/>
  <c r="AF70" i="86"/>
  <c r="AG70" i="86"/>
  <c r="AF71" i="86"/>
  <c r="AG71" i="86"/>
  <c r="AF72" i="86"/>
  <c r="AG72" i="86"/>
  <c r="AF73" i="86"/>
  <c r="AG73" i="86"/>
  <c r="AF74" i="86"/>
  <c r="AG74" i="86"/>
  <c r="AF75" i="86"/>
  <c r="AG75" i="86"/>
  <c r="AF76" i="86"/>
  <c r="AG76" i="86"/>
  <c r="AF77" i="86"/>
  <c r="AG77" i="86"/>
  <c r="AF78" i="86"/>
  <c r="AG78" i="86"/>
  <c r="AF79" i="86"/>
  <c r="AG79" i="86"/>
  <c r="AF80" i="86"/>
  <c r="AG80" i="86"/>
  <c r="AF81" i="86"/>
  <c r="AG81" i="86"/>
  <c r="AF82" i="86"/>
  <c r="AG82" i="86"/>
  <c r="AF83" i="86"/>
  <c r="AG83" i="86"/>
  <c r="AF84" i="86"/>
  <c r="AG84" i="86"/>
  <c r="AF85" i="86"/>
  <c r="AG85" i="86"/>
  <c r="AF86" i="86"/>
  <c r="AG86" i="86"/>
  <c r="AF87" i="86"/>
  <c r="AG87" i="86"/>
  <c r="AF88" i="86"/>
  <c r="AG88" i="86"/>
  <c r="AF89" i="86"/>
  <c r="AG89" i="86"/>
  <c r="AF90" i="86"/>
  <c r="AG90" i="86"/>
  <c r="AF91" i="86"/>
  <c r="AG91" i="86"/>
  <c r="AF92" i="86"/>
  <c r="AG92" i="86"/>
  <c r="AF93" i="86"/>
  <c r="AG93" i="86"/>
  <c r="AF94" i="86"/>
  <c r="AG94" i="86"/>
  <c r="AF95" i="86"/>
  <c r="AG95" i="86"/>
  <c r="AF96" i="86"/>
  <c r="AG96" i="86"/>
  <c r="AF97" i="86"/>
  <c r="AG97" i="86"/>
  <c r="AF98" i="86"/>
  <c r="AG98" i="86"/>
  <c r="AF69" i="86"/>
  <c r="AG69" i="86"/>
  <c r="BT53" i="169"/>
  <c r="BO53" i="169"/>
  <c r="AZ53" i="169"/>
  <c r="BE53" i="169"/>
  <c r="BJ53" i="169"/>
  <c r="M71" i="162"/>
  <c r="Z70" i="109"/>
  <c r="AI100" i="86"/>
  <c r="T100" i="86"/>
  <c r="V100" i="86"/>
  <c r="L100" i="86"/>
  <c r="O111" i="109"/>
  <c r="O112" i="109"/>
  <c r="O113" i="109"/>
  <c r="O114" i="109"/>
  <c r="O115" i="109"/>
  <c r="O116" i="109"/>
  <c r="O117" i="109"/>
  <c r="O118" i="109"/>
  <c r="O119" i="109"/>
  <c r="O110" i="109"/>
  <c r="BL82" i="109"/>
  <c r="BL83" i="109"/>
  <c r="BL84" i="109"/>
  <c r="BL85" i="109"/>
  <c r="BL86" i="109"/>
  <c r="BL87" i="109"/>
  <c r="BL88" i="109"/>
  <c r="BL89" i="109"/>
  <c r="BL90" i="109"/>
  <c r="BL91" i="109"/>
  <c r="BL92" i="109"/>
  <c r="BL93" i="109"/>
  <c r="BL94" i="109"/>
  <c r="BL95" i="109"/>
  <c r="BL96" i="109"/>
  <c r="BL97" i="109"/>
  <c r="BL81" i="109"/>
  <c r="V111" i="109"/>
  <c r="V112" i="109"/>
  <c r="V113" i="109"/>
  <c r="V114" i="109"/>
  <c r="V115" i="109"/>
  <c r="V116" i="109"/>
  <c r="V117" i="109"/>
  <c r="V118" i="109"/>
  <c r="V119" i="109"/>
  <c r="V110" i="109"/>
  <c r="K43" i="126"/>
  <c r="K44" i="126"/>
  <c r="K45" i="126"/>
  <c r="K46" i="126"/>
  <c r="K47" i="126"/>
  <c r="K48" i="126"/>
  <c r="K49" i="126"/>
  <c r="K50" i="126"/>
  <c r="K51" i="126"/>
  <c r="K52" i="126"/>
  <c r="K53" i="126"/>
  <c r="K54" i="126"/>
  <c r="H43" i="126"/>
  <c r="H44" i="126"/>
  <c r="H45" i="126"/>
  <c r="H46" i="126"/>
  <c r="H47" i="126"/>
  <c r="H48" i="126"/>
  <c r="H49" i="126"/>
  <c r="H50" i="126"/>
  <c r="H51" i="126"/>
  <c r="H52" i="126"/>
  <c r="H53" i="126"/>
  <c r="H54" i="126"/>
  <c r="DC47" i="169"/>
  <c r="AD102" i="100"/>
  <c r="AD94" i="100"/>
  <c r="AD95" i="100"/>
  <c r="AD96" i="100"/>
  <c r="AD97" i="100"/>
  <c r="AD98" i="100"/>
  <c r="AD99" i="100"/>
  <c r="AD100" i="100"/>
  <c r="AD101" i="100"/>
  <c r="AD93" i="100"/>
  <c r="R93" i="100"/>
  <c r="R52" i="100"/>
  <c r="S52" i="100"/>
  <c r="T52" i="100"/>
  <c r="U52" i="100"/>
  <c r="V52" i="100"/>
  <c r="R53" i="100"/>
  <c r="S53" i="100"/>
  <c r="T53" i="100"/>
  <c r="U53" i="100"/>
  <c r="V53" i="100"/>
  <c r="R54" i="100"/>
  <c r="S54" i="100"/>
  <c r="T54" i="100"/>
  <c r="U54" i="100"/>
  <c r="V54" i="100"/>
  <c r="R55" i="100"/>
  <c r="S55" i="100"/>
  <c r="T55" i="100"/>
  <c r="U55" i="100"/>
  <c r="V55" i="100"/>
  <c r="R56" i="100"/>
  <c r="S56" i="100"/>
  <c r="T56" i="100"/>
  <c r="U56" i="100"/>
  <c r="V56" i="100"/>
  <c r="R57" i="100"/>
  <c r="S57" i="100"/>
  <c r="T57" i="100"/>
  <c r="U57" i="100"/>
  <c r="V57" i="100"/>
  <c r="R58" i="100"/>
  <c r="S58" i="100"/>
  <c r="T58" i="100"/>
  <c r="U58" i="100"/>
  <c r="V58" i="100"/>
  <c r="R59" i="100"/>
  <c r="S59" i="100"/>
  <c r="T59" i="100"/>
  <c r="U59" i="100"/>
  <c r="V59" i="100"/>
  <c r="R60" i="100"/>
  <c r="S60" i="100"/>
  <c r="T60" i="100"/>
  <c r="U60" i="100"/>
  <c r="V60" i="100"/>
  <c r="R61" i="100"/>
  <c r="S61" i="100"/>
  <c r="T61" i="100"/>
  <c r="U61" i="100"/>
  <c r="V61" i="100"/>
  <c r="Q61" i="100"/>
  <c r="Q53" i="100"/>
  <c r="Q54" i="100"/>
  <c r="Q55" i="100"/>
  <c r="Q56" i="100"/>
  <c r="Q57" i="100"/>
  <c r="Q58" i="100"/>
  <c r="Q59" i="100"/>
  <c r="Q60" i="100"/>
  <c r="Q52" i="100"/>
  <c r="Y13" i="100"/>
  <c r="Y14" i="100"/>
  <c r="Y15" i="100"/>
  <c r="Y16" i="100"/>
  <c r="Y17" i="100"/>
  <c r="Y18" i="100"/>
  <c r="Y19" i="100"/>
  <c r="Y20" i="100"/>
  <c r="Y21" i="100"/>
  <c r="Y12" i="100"/>
  <c r="C452" i="61"/>
  <c r="M485" i="61"/>
  <c r="M486" i="61"/>
  <c r="M487" i="61"/>
  <c r="DI33" i="169"/>
  <c r="DH33" i="169"/>
  <c r="H136" i="113"/>
  <c r="I136" i="113"/>
  <c r="J136" i="113"/>
  <c r="K136" i="113"/>
  <c r="L136" i="113"/>
  <c r="M136" i="113"/>
  <c r="N136" i="113"/>
  <c r="O136" i="113"/>
  <c r="P136" i="113"/>
  <c r="G136" i="113"/>
  <c r="G71" i="113"/>
  <c r="P37" i="113"/>
  <c r="AQ62" i="61"/>
  <c r="AP95" i="61"/>
  <c r="AO156" i="61"/>
  <c r="AM208" i="61"/>
  <c r="AE258" i="61"/>
  <c r="W94" i="100"/>
  <c r="W95" i="100"/>
  <c r="W96" i="100"/>
  <c r="W97" i="100"/>
  <c r="W98" i="100"/>
  <c r="W99" i="100"/>
  <c r="W100" i="100"/>
  <c r="W101" i="100"/>
  <c r="W102" i="100"/>
  <c r="W93" i="100"/>
  <c r="O106" i="100"/>
  <c r="P106" i="100"/>
  <c r="Q106" i="100"/>
  <c r="R106" i="100"/>
  <c r="S106" i="100"/>
  <c r="T106" i="100"/>
  <c r="U106" i="100"/>
  <c r="V106" i="100"/>
  <c r="S86" i="100"/>
  <c r="T86" i="100"/>
  <c r="U86" i="100"/>
  <c r="V86" i="100"/>
  <c r="W86" i="100"/>
  <c r="X86" i="100"/>
  <c r="Y86" i="100"/>
  <c r="Z86" i="100"/>
  <c r="AA86" i="100"/>
  <c r="AB86" i="100"/>
  <c r="AC86" i="100"/>
  <c r="AD86" i="100"/>
  <c r="R65" i="100"/>
  <c r="S65" i="100"/>
  <c r="T65" i="100"/>
  <c r="U65" i="100"/>
  <c r="V65" i="100"/>
  <c r="W65" i="100"/>
  <c r="X65" i="100"/>
  <c r="Y65" i="100"/>
  <c r="Z65" i="100"/>
  <c r="AA65" i="100"/>
  <c r="AB65" i="100"/>
  <c r="N25" i="100"/>
  <c r="O25" i="100"/>
  <c r="P25" i="100"/>
  <c r="Q25" i="100"/>
  <c r="R25" i="100"/>
  <c r="S25" i="100"/>
  <c r="T25" i="100"/>
  <c r="O45" i="100"/>
  <c r="P45" i="100"/>
  <c r="Q45" i="100"/>
  <c r="R45" i="100"/>
  <c r="S45" i="100"/>
  <c r="T45" i="100"/>
  <c r="U45" i="100"/>
  <c r="V45" i="100"/>
  <c r="N106" i="100"/>
  <c r="R86" i="100"/>
  <c r="Q65" i="100"/>
  <c r="N45" i="100"/>
  <c r="M25" i="100"/>
  <c r="R5" i="100"/>
  <c r="S5" i="100"/>
  <c r="T5" i="100"/>
  <c r="U5" i="100"/>
  <c r="V5" i="100"/>
  <c r="W5" i="100"/>
  <c r="X5" i="100"/>
  <c r="Y5" i="100"/>
  <c r="Q5" i="100"/>
  <c r="O6" i="160"/>
  <c r="P6" i="160"/>
  <c r="N6" i="160"/>
  <c r="U11" i="157"/>
  <c r="AX33" i="169"/>
  <c r="AV33" i="169"/>
  <c r="AS33" i="169"/>
  <c r="AQ33" i="169"/>
  <c r="AO33" i="169"/>
  <c r="AL33" i="169"/>
  <c r="AJ33" i="169"/>
  <c r="AH33" i="169"/>
  <c r="AF33" i="169"/>
  <c r="AD33" i="169"/>
  <c r="AB33" i="169"/>
  <c r="X33" i="169"/>
  <c r="I33" i="169"/>
  <c r="V1" i="157"/>
  <c r="W1" i="157"/>
  <c r="X1" i="157"/>
  <c r="Y1" i="157"/>
  <c r="Z1" i="157"/>
  <c r="AA1" i="157"/>
  <c r="AB1" i="157"/>
  <c r="AC1" i="157"/>
  <c r="AD1" i="157"/>
  <c r="AE1" i="157"/>
  <c r="AF1" i="157"/>
  <c r="AG1" i="157"/>
  <c r="AH1" i="157"/>
  <c r="AI1" i="157"/>
  <c r="AJ1" i="157"/>
  <c r="AK1" i="157"/>
  <c r="U1" i="157"/>
  <c r="AE11" i="157"/>
  <c r="AD11" i="157"/>
  <c r="AC11" i="157"/>
  <c r="AB11" i="157"/>
  <c r="N45" i="113"/>
  <c r="N37" i="113"/>
  <c r="X37" i="113"/>
  <c r="Y37" i="113"/>
  <c r="AR71" i="113"/>
  <c r="AS71" i="113"/>
  <c r="AU103" i="113"/>
  <c r="AV103" i="113"/>
  <c r="BE136" i="113"/>
  <c r="BF136" i="113"/>
  <c r="BJ168" i="113"/>
  <c r="BK168" i="113"/>
  <c r="DW43" i="109"/>
  <c r="DX43" i="109"/>
  <c r="CL73" i="109"/>
  <c r="CM73" i="109"/>
  <c r="EE43" i="161"/>
  <c r="ED43" i="161"/>
  <c r="AA35" i="159"/>
  <c r="Z35" i="159"/>
  <c r="Y35" i="159"/>
  <c r="S3" i="159"/>
  <c r="T3" i="159"/>
  <c r="U3" i="159"/>
  <c r="V3" i="159"/>
  <c r="W3" i="159"/>
  <c r="X3" i="159"/>
  <c r="Y3" i="159"/>
  <c r="Z3" i="159"/>
  <c r="AA3" i="159"/>
  <c r="AB3" i="159"/>
  <c r="AC3" i="159"/>
  <c r="AD3" i="159"/>
  <c r="R3" i="159"/>
  <c r="AG313" i="61"/>
  <c r="AG312" i="61"/>
  <c r="AJ260" i="61"/>
  <c r="AJ259" i="61"/>
  <c r="AU210" i="61"/>
  <c r="AU209" i="61"/>
  <c r="AW158" i="61"/>
  <c r="AW157" i="61"/>
  <c r="AU96" i="61"/>
  <c r="AU97" i="61"/>
  <c r="AV64" i="61"/>
  <c r="AV63" i="61"/>
  <c r="J110" i="65"/>
  <c r="J111" i="65"/>
  <c r="J112" i="65"/>
  <c r="J113" i="65"/>
  <c r="J114" i="65"/>
  <c r="J115" i="65"/>
  <c r="I75" i="65"/>
  <c r="I74" i="65"/>
  <c r="I73" i="65"/>
  <c r="I72" i="65"/>
  <c r="I54" i="65"/>
  <c r="I53" i="65"/>
  <c r="I52" i="65"/>
  <c r="I51" i="65"/>
  <c r="H80" i="113"/>
  <c r="H81" i="113"/>
  <c r="H82" i="113"/>
  <c r="H83" i="113"/>
  <c r="H84" i="113"/>
  <c r="H85" i="113"/>
  <c r="H86" i="113"/>
  <c r="H87" i="113"/>
  <c r="H88" i="113"/>
  <c r="H89" i="113"/>
  <c r="H90" i="113"/>
  <c r="H91" i="113"/>
  <c r="H92" i="113"/>
  <c r="H93" i="113"/>
  <c r="H94" i="113"/>
  <c r="H95" i="113"/>
  <c r="H96" i="113"/>
  <c r="H97" i="113"/>
  <c r="H98" i="113"/>
  <c r="H79" i="113"/>
  <c r="F79" i="113"/>
  <c r="H100" i="113"/>
  <c r="M79" i="113"/>
  <c r="X97" i="109"/>
  <c r="X82" i="109"/>
  <c r="X83" i="109"/>
  <c r="X84" i="109"/>
  <c r="X85" i="109"/>
  <c r="X86" i="109"/>
  <c r="X87" i="109"/>
  <c r="X88" i="109"/>
  <c r="X89" i="109"/>
  <c r="X90" i="109"/>
  <c r="X91" i="109"/>
  <c r="X92" i="109"/>
  <c r="X93" i="109"/>
  <c r="X94" i="109"/>
  <c r="X95" i="109"/>
  <c r="X96" i="109"/>
  <c r="X81" i="109"/>
  <c r="B177" i="113"/>
  <c r="B178" i="113"/>
  <c r="B179" i="113"/>
  <c r="B180" i="113"/>
  <c r="B181" i="113"/>
  <c r="B182" i="113"/>
  <c r="B183" i="113"/>
  <c r="B184" i="113"/>
  <c r="B185" i="113"/>
  <c r="B186" i="113"/>
  <c r="B187" i="113"/>
  <c r="B188" i="113"/>
  <c r="B189" i="113"/>
  <c r="B190" i="113"/>
  <c r="B191" i="113"/>
  <c r="B192" i="113"/>
  <c r="B193" i="113"/>
  <c r="B194" i="113"/>
  <c r="B195" i="113"/>
  <c r="B176" i="113"/>
  <c r="B145" i="113"/>
  <c r="B146" i="113"/>
  <c r="B147" i="113"/>
  <c r="B148" i="113"/>
  <c r="B149" i="113"/>
  <c r="B150" i="113"/>
  <c r="B151" i="113"/>
  <c r="B152" i="113"/>
  <c r="B153" i="113"/>
  <c r="B154" i="113"/>
  <c r="B155" i="113"/>
  <c r="B156" i="113"/>
  <c r="B157" i="113"/>
  <c r="B158" i="113"/>
  <c r="B159" i="113"/>
  <c r="B160" i="113"/>
  <c r="B161" i="113"/>
  <c r="B162" i="113"/>
  <c r="B163" i="113"/>
  <c r="B144" i="113"/>
  <c r="B112" i="113"/>
  <c r="B113" i="113"/>
  <c r="B114" i="113"/>
  <c r="B115" i="113"/>
  <c r="B116" i="113"/>
  <c r="B117" i="113"/>
  <c r="B118" i="113"/>
  <c r="B119" i="113"/>
  <c r="B120" i="113"/>
  <c r="B121" i="113"/>
  <c r="B122" i="113"/>
  <c r="B123" i="113"/>
  <c r="B124" i="113"/>
  <c r="B125" i="113"/>
  <c r="B126" i="113"/>
  <c r="B127" i="113"/>
  <c r="B128" i="113"/>
  <c r="B129" i="113"/>
  <c r="B130" i="113"/>
  <c r="B111" i="113"/>
  <c r="B80" i="113"/>
  <c r="B81" i="113"/>
  <c r="B82" i="113"/>
  <c r="B83" i="113"/>
  <c r="B84" i="113"/>
  <c r="B85" i="113"/>
  <c r="B86" i="113"/>
  <c r="B87" i="113"/>
  <c r="B88" i="113"/>
  <c r="B89" i="113"/>
  <c r="B90" i="113"/>
  <c r="B91" i="113"/>
  <c r="B92" i="113"/>
  <c r="B93" i="113"/>
  <c r="B94" i="113"/>
  <c r="B95" i="113"/>
  <c r="B96" i="113"/>
  <c r="B97" i="113"/>
  <c r="B98" i="113"/>
  <c r="B79" i="113"/>
  <c r="B46" i="113"/>
  <c r="B47" i="113"/>
  <c r="B48" i="113"/>
  <c r="B49" i="113"/>
  <c r="B50" i="113"/>
  <c r="B51" i="113"/>
  <c r="B52" i="113"/>
  <c r="B53" i="113"/>
  <c r="B54" i="113"/>
  <c r="B55" i="113"/>
  <c r="B56" i="113"/>
  <c r="B57" i="113"/>
  <c r="B58" i="113"/>
  <c r="B59" i="113"/>
  <c r="B60" i="113"/>
  <c r="B61" i="113"/>
  <c r="B62" i="113"/>
  <c r="B63" i="113"/>
  <c r="B64" i="113"/>
  <c r="B45" i="113"/>
  <c r="B99" i="86"/>
  <c r="C22" i="58"/>
  <c r="O568" i="61"/>
  <c r="O516" i="61"/>
  <c r="O501" i="61"/>
  <c r="O489" i="61"/>
  <c r="O469" i="61"/>
  <c r="O459" i="61"/>
  <c r="O393" i="61"/>
  <c r="O403" i="61"/>
  <c r="O427" i="61"/>
  <c r="O445" i="61"/>
  <c r="E3" i="58"/>
  <c r="AH143" i="113"/>
  <c r="U143" i="113"/>
  <c r="X110" i="113"/>
  <c r="U78" i="113"/>
  <c r="DM52" i="162"/>
  <c r="CK52" i="162"/>
  <c r="BE52" i="162"/>
  <c r="AM52" i="162"/>
  <c r="U52" i="162"/>
  <c r="CZ51" i="161"/>
  <c r="BT51" i="161"/>
  <c r="AP51" i="161"/>
  <c r="AD51" i="161"/>
  <c r="X36" i="159"/>
  <c r="T36" i="159"/>
  <c r="W143" i="113"/>
  <c r="DQ52" i="162"/>
  <c r="DD51" i="161"/>
  <c r="BG51" i="161"/>
  <c r="L148" i="100"/>
  <c r="CW51" i="109"/>
  <c r="BG51" i="109"/>
  <c r="DR52" i="162"/>
  <c r="DE51" i="161"/>
  <c r="BH51" i="161"/>
  <c r="N148" i="100"/>
  <c r="CX51" i="109"/>
  <c r="BH51" i="109"/>
  <c r="L38" i="113"/>
  <c r="DD52" i="162"/>
  <c r="DB52" i="162"/>
  <c r="CK51" i="161"/>
  <c r="CI51" i="161"/>
  <c r="CK51" i="109"/>
  <c r="CI51" i="109"/>
  <c r="CY52" i="162"/>
  <c r="CW52" i="162"/>
  <c r="CU52" i="162"/>
  <c r="BS52" i="162"/>
  <c r="BA52" i="162"/>
  <c r="CF51" i="161"/>
  <c r="CD51" i="161"/>
  <c r="CB51" i="161"/>
  <c r="BC51" i="161"/>
  <c r="AL51" i="161"/>
  <c r="EH44" i="161"/>
  <c r="EA44" i="109"/>
  <c r="EU45" i="162"/>
  <c r="CF51" i="109"/>
  <c r="CD51" i="109"/>
  <c r="CB51" i="109"/>
  <c r="BC51" i="109"/>
  <c r="AL51" i="109"/>
  <c r="L110" i="113"/>
  <c r="N78" i="113"/>
  <c r="T51" i="161"/>
  <c r="S80" i="109"/>
  <c r="T51" i="109"/>
  <c r="AD175" i="113"/>
  <c r="R175" i="113"/>
  <c r="AA143" i="113"/>
  <c r="J110" i="113"/>
  <c r="L78" i="113"/>
  <c r="BJ52" i="162"/>
  <c r="AR52" i="162"/>
  <c r="R80" i="109"/>
  <c r="AA52" i="162"/>
  <c r="BX51" i="161"/>
  <c r="AT51" i="161"/>
  <c r="S51" i="161"/>
  <c r="BX51" i="109"/>
  <c r="AT51" i="109"/>
  <c r="S51" i="109"/>
  <c r="H148" i="100"/>
  <c r="R109" i="109"/>
  <c r="CS51" i="109"/>
  <c r="BT51" i="109"/>
  <c r="AP51" i="109"/>
  <c r="AD51" i="109"/>
  <c r="Z317" i="61"/>
  <c r="AD266" i="61"/>
  <c r="AN216" i="61"/>
  <c r="AL216" i="61"/>
  <c r="AK216" i="61"/>
  <c r="AP164" i="61"/>
  <c r="AN164" i="61"/>
  <c r="AM164" i="61"/>
  <c r="AN103" i="61"/>
  <c r="AM103" i="61"/>
  <c r="AL103" i="61"/>
  <c r="AO70" i="61"/>
  <c r="AN70" i="61"/>
  <c r="AM70" i="61"/>
  <c r="S44" i="113"/>
  <c r="B28" i="60"/>
  <c r="B8" i="56"/>
  <c r="B14" i="60"/>
  <c r="B21" i="60"/>
  <c r="AE80" i="109"/>
  <c r="W51" i="109"/>
  <c r="H106" i="101"/>
  <c r="H107" i="101"/>
  <c r="H105" i="101"/>
  <c r="H88" i="101"/>
  <c r="H89" i="101"/>
  <c r="H90" i="101"/>
  <c r="H91" i="101"/>
  <c r="H92" i="101"/>
  <c r="H87" i="101"/>
  <c r="H568" i="61"/>
  <c r="L329" i="61"/>
  <c r="F329" i="61"/>
  <c r="D34" i="165"/>
  <c r="BK169" i="113"/>
  <c r="BJ169" i="113"/>
  <c r="BF137" i="113"/>
  <c r="BE137" i="113"/>
  <c r="AV104" i="113"/>
  <c r="AU104" i="113"/>
  <c r="AS72" i="113"/>
  <c r="AR72" i="113"/>
  <c r="AD313" i="61"/>
  <c r="AD312" i="61"/>
  <c r="AG260" i="61"/>
  <c r="AG259" i="61"/>
  <c r="AR210" i="61"/>
  <c r="AR209" i="61"/>
  <c r="AT158" i="61"/>
  <c r="AT157" i="61"/>
  <c r="AR97" i="61"/>
  <c r="AR96" i="61"/>
  <c r="AS64" i="61"/>
  <c r="AS63" i="61"/>
  <c r="ER44" i="162"/>
  <c r="EQ44" i="162"/>
  <c r="AE259" i="61"/>
  <c r="AV102" i="109"/>
  <c r="AU102" i="109"/>
  <c r="B41" i="149"/>
  <c r="H12" i="86"/>
  <c r="G14" i="126"/>
  <c r="G15" i="126"/>
  <c r="G16" i="126"/>
  <c r="G17" i="126"/>
  <c r="G18" i="126"/>
  <c r="G19" i="126"/>
  <c r="G20" i="126"/>
  <c r="G21" i="126"/>
  <c r="G22" i="126"/>
  <c r="G23" i="126"/>
  <c r="G24" i="126"/>
  <c r="G25" i="126"/>
  <c r="G26" i="126"/>
  <c r="G27" i="126"/>
  <c r="G28" i="126"/>
  <c r="G29" i="126"/>
  <c r="G30" i="126"/>
  <c r="G31" i="126"/>
  <c r="G32" i="126"/>
  <c r="G33" i="126"/>
  <c r="G34" i="126"/>
  <c r="G35" i="126"/>
  <c r="G36" i="126"/>
  <c r="G37" i="126"/>
  <c r="G38" i="126"/>
  <c r="G39" i="126"/>
  <c r="G40" i="126"/>
  <c r="G10" i="126"/>
  <c r="G11" i="126"/>
  <c r="G12" i="126"/>
  <c r="G13" i="126"/>
  <c r="N70" i="86"/>
  <c r="N71" i="86"/>
  <c r="N72" i="86"/>
  <c r="N73" i="86"/>
  <c r="N74" i="86"/>
  <c r="N75" i="86"/>
  <c r="N76" i="86"/>
  <c r="N77" i="86"/>
  <c r="N78" i="86"/>
  <c r="N79" i="86"/>
  <c r="N80" i="86"/>
  <c r="N81" i="86"/>
  <c r="N82" i="86"/>
  <c r="N83" i="86"/>
  <c r="N84" i="86"/>
  <c r="N85" i="86"/>
  <c r="N86" i="86"/>
  <c r="N87" i="86"/>
  <c r="N88" i="86"/>
  <c r="N89" i="86"/>
  <c r="N90" i="86"/>
  <c r="N91" i="86"/>
  <c r="N92" i="86"/>
  <c r="N93" i="86"/>
  <c r="N94" i="86"/>
  <c r="N95" i="86"/>
  <c r="N96" i="86"/>
  <c r="N97" i="86"/>
  <c r="N98" i="86"/>
  <c r="N69" i="86"/>
  <c r="K80" i="154"/>
  <c r="K81" i="154"/>
  <c r="K82" i="154"/>
  <c r="K83" i="154"/>
  <c r="K84" i="154"/>
  <c r="K85" i="154"/>
  <c r="K86" i="154"/>
  <c r="K87" i="154"/>
  <c r="K88" i="154"/>
  <c r="K89" i="154"/>
  <c r="K90" i="154"/>
  <c r="K91" i="154"/>
  <c r="K92" i="154"/>
  <c r="K93" i="154"/>
  <c r="K94" i="154"/>
  <c r="K95" i="154"/>
  <c r="K79" i="154"/>
  <c r="K60" i="154"/>
  <c r="K61" i="154"/>
  <c r="K62" i="154"/>
  <c r="K63" i="154"/>
  <c r="K64" i="154"/>
  <c r="K65" i="154"/>
  <c r="K66" i="154"/>
  <c r="K67" i="154"/>
  <c r="K68" i="154"/>
  <c r="K69" i="154"/>
  <c r="K70" i="154"/>
  <c r="K71" i="154"/>
  <c r="K72" i="154"/>
  <c r="K73" i="154"/>
  <c r="K74" i="154"/>
  <c r="K75" i="154"/>
  <c r="K59" i="154"/>
  <c r="J47" i="154"/>
  <c r="J48" i="154"/>
  <c r="J49" i="154"/>
  <c r="J50" i="154"/>
  <c r="J51" i="154"/>
  <c r="J52" i="154"/>
  <c r="J53" i="154"/>
  <c r="J54" i="154"/>
  <c r="J55" i="154"/>
  <c r="J46" i="154"/>
  <c r="D28" i="154"/>
  <c r="J28" i="154"/>
  <c r="K28" i="154"/>
  <c r="D29" i="154"/>
  <c r="J29" i="154"/>
  <c r="K29" i="154"/>
  <c r="D30" i="154"/>
  <c r="J30" i="154"/>
  <c r="K30" i="154"/>
  <c r="D31" i="154"/>
  <c r="J31" i="154"/>
  <c r="K31" i="154"/>
  <c r="D32" i="154"/>
  <c r="J32" i="154"/>
  <c r="K32" i="154"/>
  <c r="D33" i="154"/>
  <c r="J33" i="154"/>
  <c r="K33" i="154"/>
  <c r="D34" i="154"/>
  <c r="J34" i="154"/>
  <c r="K34" i="154"/>
  <c r="D35" i="154"/>
  <c r="J35" i="154"/>
  <c r="K35" i="154"/>
  <c r="D36" i="154"/>
  <c r="J36" i="154"/>
  <c r="K36" i="154"/>
  <c r="D37" i="154"/>
  <c r="J37" i="154"/>
  <c r="K37" i="154"/>
  <c r="D38" i="154"/>
  <c r="J38" i="154"/>
  <c r="K38" i="154"/>
  <c r="D39" i="154"/>
  <c r="J39" i="154"/>
  <c r="K39" i="154"/>
  <c r="D40" i="154"/>
  <c r="J40" i="154"/>
  <c r="K40" i="154"/>
  <c r="D41" i="154"/>
  <c r="J41" i="154"/>
  <c r="K41" i="154"/>
  <c r="D42" i="154"/>
  <c r="J42" i="154"/>
  <c r="K42" i="154"/>
  <c r="D43" i="154"/>
  <c r="J43" i="154"/>
  <c r="K43" i="154"/>
  <c r="K27" i="154"/>
  <c r="J27" i="154"/>
  <c r="D27" i="154"/>
  <c r="I165" i="113"/>
  <c r="I137" i="113"/>
  <c r="F32" i="159"/>
  <c r="S4" i="159"/>
  <c r="F9" i="159" s="1"/>
  <c r="S7" i="159" s="1"/>
  <c r="K9" i="154"/>
  <c r="K10" i="154"/>
  <c r="K11" i="154"/>
  <c r="K12" i="154"/>
  <c r="K13" i="154"/>
  <c r="K14" i="154"/>
  <c r="K15" i="154"/>
  <c r="K16" i="154"/>
  <c r="K17" i="154"/>
  <c r="K18" i="154"/>
  <c r="K19" i="154"/>
  <c r="K20" i="154"/>
  <c r="K21" i="154"/>
  <c r="K22" i="154"/>
  <c r="K23" i="154"/>
  <c r="K24" i="154"/>
  <c r="K8" i="154"/>
  <c r="AF52" i="162"/>
  <c r="H17" i="61"/>
  <c r="D20" i="165"/>
  <c r="E451" i="101"/>
  <c r="B8" i="60"/>
  <c r="K513" i="61"/>
  <c r="K514" i="61"/>
  <c r="K512" i="61"/>
  <c r="H55" i="126"/>
  <c r="H42" i="126"/>
  <c r="H41" i="126"/>
  <c r="K7" i="154"/>
  <c r="C7" i="154"/>
  <c r="C586" i="101"/>
  <c r="B106" i="56"/>
  <c r="B65" i="56"/>
  <c r="EB51" i="109"/>
  <c r="CM51" i="109"/>
  <c r="BM51" i="109"/>
  <c r="AX51" i="109"/>
  <c r="AG51" i="109"/>
  <c r="EI51" i="161"/>
  <c r="BM51" i="161"/>
  <c r="AX51" i="161"/>
  <c r="AG51" i="161"/>
  <c r="X51" i="161"/>
  <c r="EV52" i="162"/>
  <c r="DF52" i="162"/>
  <c r="CC52" i="162"/>
  <c r="BN52" i="162"/>
  <c r="AV52" i="162"/>
  <c r="P52" i="162"/>
  <c r="J52" i="162"/>
  <c r="CC51" i="162"/>
  <c r="BN51" i="162"/>
  <c r="AV51" i="162"/>
  <c r="AF51" i="162"/>
  <c r="BM50" i="161"/>
  <c r="AX50" i="161"/>
  <c r="AG50" i="161"/>
  <c r="BM50" i="109"/>
  <c r="AX50" i="109"/>
  <c r="AG50" i="109"/>
  <c r="DF51" i="162"/>
  <c r="BA51" i="162"/>
  <c r="EB53" i="109"/>
  <c r="EB54" i="109"/>
  <c r="EB55" i="109"/>
  <c r="EB56" i="109"/>
  <c r="EB57" i="109"/>
  <c r="EB58" i="109"/>
  <c r="EB59" i="109"/>
  <c r="EB60" i="109"/>
  <c r="EB61" i="109"/>
  <c r="EB62" i="109"/>
  <c r="EB63" i="109"/>
  <c r="EB64" i="109"/>
  <c r="EB65" i="109"/>
  <c r="EB66" i="109"/>
  <c r="EB67" i="109"/>
  <c r="EB68" i="109"/>
  <c r="EB52" i="109"/>
  <c r="CM53" i="109"/>
  <c r="CM54" i="109"/>
  <c r="CM55" i="109"/>
  <c r="CM56" i="109"/>
  <c r="CM57" i="109"/>
  <c r="CM58" i="109"/>
  <c r="CM59" i="109"/>
  <c r="CM60" i="109"/>
  <c r="CM61" i="109"/>
  <c r="CM62" i="109"/>
  <c r="CM63" i="109"/>
  <c r="CM64" i="109"/>
  <c r="CM65" i="109"/>
  <c r="CM66" i="109"/>
  <c r="CM67" i="109"/>
  <c r="CM68" i="109"/>
  <c r="CM52" i="109"/>
  <c r="BM53" i="109"/>
  <c r="I9" i="154"/>
  <c r="BM54" i="109"/>
  <c r="I10" i="154"/>
  <c r="BM55" i="109"/>
  <c r="I11" i="154"/>
  <c r="BM56" i="109"/>
  <c r="I12" i="154"/>
  <c r="BM57" i="109"/>
  <c r="I13" i="154"/>
  <c r="BM58" i="109"/>
  <c r="I14" i="154"/>
  <c r="BM59" i="109"/>
  <c r="I15" i="154"/>
  <c r="BM60" i="109"/>
  <c r="I16" i="154"/>
  <c r="BM61" i="109"/>
  <c r="I17" i="154"/>
  <c r="BM62" i="109"/>
  <c r="I18" i="154"/>
  <c r="BM63" i="109"/>
  <c r="I19" i="154"/>
  <c r="BM64" i="109"/>
  <c r="I20" i="154"/>
  <c r="BM65" i="109"/>
  <c r="I21" i="154"/>
  <c r="BM66" i="109"/>
  <c r="I22" i="154"/>
  <c r="BM67" i="109"/>
  <c r="I23" i="154"/>
  <c r="BM68" i="109"/>
  <c r="I24" i="154"/>
  <c r="BM52" i="109"/>
  <c r="I8" i="154"/>
  <c r="AX53" i="109"/>
  <c r="H9" i="154"/>
  <c r="AX54" i="109"/>
  <c r="H10" i="154"/>
  <c r="AX55" i="109"/>
  <c r="H11" i="154"/>
  <c r="AX56" i="109"/>
  <c r="H12" i="154"/>
  <c r="AX57" i="109"/>
  <c r="H13" i="154"/>
  <c r="AX58" i="109"/>
  <c r="H14" i="154"/>
  <c r="AX59" i="109"/>
  <c r="H15" i="154"/>
  <c r="AX60" i="109"/>
  <c r="H16" i="154"/>
  <c r="AX61" i="109"/>
  <c r="H17" i="154"/>
  <c r="AX62" i="109"/>
  <c r="H18" i="154"/>
  <c r="AX63" i="109"/>
  <c r="H19" i="154"/>
  <c r="AX64" i="109"/>
  <c r="H20" i="154"/>
  <c r="AX65" i="109"/>
  <c r="H21" i="154"/>
  <c r="AX66" i="109"/>
  <c r="H22" i="154"/>
  <c r="AX67" i="109"/>
  <c r="H23" i="154"/>
  <c r="AX68" i="109"/>
  <c r="H24" i="154"/>
  <c r="AX52" i="109"/>
  <c r="H8" i="154"/>
  <c r="AG53" i="109"/>
  <c r="G9" i="154"/>
  <c r="AG54" i="109"/>
  <c r="G10" i="154"/>
  <c r="AG55" i="109"/>
  <c r="G11" i="154"/>
  <c r="AG56" i="109"/>
  <c r="G12" i="154"/>
  <c r="AG57" i="109"/>
  <c r="G13" i="154"/>
  <c r="AG58" i="109"/>
  <c r="G14" i="154"/>
  <c r="AG59" i="109"/>
  <c r="G15" i="154"/>
  <c r="AG60" i="109"/>
  <c r="G16" i="154"/>
  <c r="AG61" i="109"/>
  <c r="G17" i="154"/>
  <c r="AG62" i="109"/>
  <c r="G18" i="154"/>
  <c r="AG63" i="109"/>
  <c r="G19" i="154"/>
  <c r="AG64" i="109"/>
  <c r="G20" i="154"/>
  <c r="AG65" i="109"/>
  <c r="G21" i="154"/>
  <c r="AG66" i="109"/>
  <c r="G22" i="154"/>
  <c r="AG67" i="109"/>
  <c r="G23" i="154"/>
  <c r="AG68" i="109"/>
  <c r="G24" i="154"/>
  <c r="AG52" i="109"/>
  <c r="G8" i="154"/>
  <c r="EI53" i="161"/>
  <c r="EI54" i="161"/>
  <c r="EI55" i="161"/>
  <c r="EI56" i="161"/>
  <c r="EI57" i="161"/>
  <c r="EI58" i="161"/>
  <c r="EI59" i="161"/>
  <c r="EI60" i="161"/>
  <c r="EI61" i="161"/>
  <c r="EI62" i="161"/>
  <c r="EI63" i="161"/>
  <c r="EI64" i="161"/>
  <c r="EI65" i="161"/>
  <c r="EI66" i="161"/>
  <c r="EI67" i="161"/>
  <c r="EI68" i="161"/>
  <c r="EI52" i="161"/>
  <c r="EK52" i="161" s="1"/>
  <c r="EK70" i="161" s="1"/>
  <c r="BM53" i="161"/>
  <c r="I60" i="154" s="1"/>
  <c r="BM54" i="161"/>
  <c r="I61" i="154"/>
  <c r="BM55" i="161"/>
  <c r="I62" i="154"/>
  <c r="BM56" i="161"/>
  <c r="I63" i="154"/>
  <c r="BM57" i="161"/>
  <c r="I64" i="154"/>
  <c r="BM58" i="161"/>
  <c r="I65" i="154"/>
  <c r="BM59" i="161"/>
  <c r="I66" i="154"/>
  <c r="BM60" i="161"/>
  <c r="I67" i="154"/>
  <c r="BM61" i="161"/>
  <c r="I68" i="154"/>
  <c r="BM62" i="161"/>
  <c r="I69" i="154"/>
  <c r="BM63" i="161"/>
  <c r="I70" i="154"/>
  <c r="BM64" i="161"/>
  <c r="I71" i="154"/>
  <c r="BM65" i="161"/>
  <c r="I72" i="154"/>
  <c r="BM66" i="161"/>
  <c r="I73" i="154"/>
  <c r="BM67" i="161"/>
  <c r="I74" i="154"/>
  <c r="BM68" i="161"/>
  <c r="I75" i="154"/>
  <c r="BM52" i="161"/>
  <c r="I59" i="154" s="1"/>
  <c r="AX53" i="161"/>
  <c r="H60" i="154" s="1"/>
  <c r="AX54" i="161"/>
  <c r="H61" i="154"/>
  <c r="AX55" i="161"/>
  <c r="H62" i="154"/>
  <c r="AX56" i="161"/>
  <c r="H63" i="154"/>
  <c r="AX57" i="161"/>
  <c r="H64" i="154"/>
  <c r="AX58" i="161"/>
  <c r="H65" i="154"/>
  <c r="AX59" i="161"/>
  <c r="H66" i="154"/>
  <c r="AX60" i="161"/>
  <c r="H67" i="154"/>
  <c r="AX61" i="161"/>
  <c r="H68" i="154"/>
  <c r="AX62" i="161"/>
  <c r="H69" i="154"/>
  <c r="AX63" i="161"/>
  <c r="H70" i="154"/>
  <c r="AX64" i="161"/>
  <c r="H71" i="154"/>
  <c r="AX65" i="161"/>
  <c r="H72" i="154"/>
  <c r="AX66" i="161"/>
  <c r="H73" i="154"/>
  <c r="AX67" i="161"/>
  <c r="H74" i="154"/>
  <c r="AX68" i="161"/>
  <c r="H75" i="154"/>
  <c r="AX52" i="161"/>
  <c r="H59" i="154" s="1"/>
  <c r="AG53" i="161"/>
  <c r="G60" i="154" s="1"/>
  <c r="AG54" i="161"/>
  <c r="G61" i="154"/>
  <c r="AG55" i="161"/>
  <c r="G62" i="154"/>
  <c r="AG56" i="161"/>
  <c r="G63" i="154"/>
  <c r="AG57" i="161"/>
  <c r="G64" i="154"/>
  <c r="AG58" i="161"/>
  <c r="G65" i="154"/>
  <c r="AG59" i="161"/>
  <c r="G66" i="154"/>
  <c r="AG60" i="161"/>
  <c r="G67" i="154"/>
  <c r="AG61" i="161"/>
  <c r="G68" i="154"/>
  <c r="AG62" i="161"/>
  <c r="G69" i="154"/>
  <c r="AG63" i="161"/>
  <c r="G70" i="154"/>
  <c r="AG64" i="161"/>
  <c r="G71" i="154"/>
  <c r="AG65" i="161"/>
  <c r="G72" i="154"/>
  <c r="AG66" i="161"/>
  <c r="G73" i="154"/>
  <c r="AG67" i="161"/>
  <c r="G74" i="154"/>
  <c r="AG68" i="161"/>
  <c r="G75" i="154"/>
  <c r="AG52" i="161"/>
  <c r="G59" i="154" s="1"/>
  <c r="L53" i="162"/>
  <c r="AF54" i="162"/>
  <c r="F80" i="154"/>
  <c r="AF55" i="162"/>
  <c r="F81" i="154"/>
  <c r="AF56" i="162"/>
  <c r="F82" i="154"/>
  <c r="AF57" i="162"/>
  <c r="F83" i="154"/>
  <c r="AF58" i="162"/>
  <c r="F84" i="154"/>
  <c r="AF59" i="162"/>
  <c r="F85" i="154"/>
  <c r="AF60" i="162"/>
  <c r="F86" i="154"/>
  <c r="AF61" i="162"/>
  <c r="F87" i="154"/>
  <c r="AF62" i="162"/>
  <c r="F88" i="154"/>
  <c r="AF63" i="162"/>
  <c r="F89" i="154"/>
  <c r="AF64" i="162"/>
  <c r="F90" i="154"/>
  <c r="AF65" i="162"/>
  <c r="F91" i="154"/>
  <c r="AF66" i="162"/>
  <c r="F92" i="154"/>
  <c r="AF67" i="162"/>
  <c r="F93" i="154"/>
  <c r="AF68" i="162"/>
  <c r="F94" i="154"/>
  <c r="AF69" i="162"/>
  <c r="F95" i="154"/>
  <c r="AF53" i="162"/>
  <c r="F79" i="154"/>
  <c r="AV54" i="162"/>
  <c r="G80" i="154"/>
  <c r="AV55" i="162"/>
  <c r="G81" i="154"/>
  <c r="AV56" i="162"/>
  <c r="G82" i="154"/>
  <c r="AV57" i="162"/>
  <c r="G83" i="154"/>
  <c r="AV58" i="162"/>
  <c r="G84" i="154"/>
  <c r="AV59" i="162"/>
  <c r="G85" i="154"/>
  <c r="AV60" i="162"/>
  <c r="G86" i="154"/>
  <c r="AV61" i="162"/>
  <c r="G87" i="154"/>
  <c r="AV62" i="162"/>
  <c r="G88" i="154"/>
  <c r="AV63" i="162"/>
  <c r="G89" i="154"/>
  <c r="AV64" i="162"/>
  <c r="G90" i="154"/>
  <c r="AV65" i="162"/>
  <c r="G91" i="154"/>
  <c r="AV66" i="162"/>
  <c r="G92" i="154"/>
  <c r="AV67" i="162"/>
  <c r="G93" i="154"/>
  <c r="AV68" i="162"/>
  <c r="G94" i="154"/>
  <c r="AV69" i="162"/>
  <c r="G95" i="154"/>
  <c r="AV53" i="162"/>
  <c r="G79" i="154"/>
  <c r="BN54" i="162"/>
  <c r="H80" i="154"/>
  <c r="BN55" i="162"/>
  <c r="H81" i="154"/>
  <c r="BN56" i="162"/>
  <c r="H82" i="154"/>
  <c r="BN57" i="162"/>
  <c r="H83" i="154"/>
  <c r="BN58" i="162"/>
  <c r="H84" i="154"/>
  <c r="BN59" i="162"/>
  <c r="H85" i="154"/>
  <c r="BN60" i="162"/>
  <c r="H86" i="154"/>
  <c r="BN61" i="162"/>
  <c r="H87" i="154"/>
  <c r="BN62" i="162"/>
  <c r="H88" i="154"/>
  <c r="BN63" i="162"/>
  <c r="H89" i="154"/>
  <c r="BN64" i="162"/>
  <c r="H90" i="154"/>
  <c r="BN65" i="162"/>
  <c r="H91" i="154"/>
  <c r="BN66" i="162"/>
  <c r="H92" i="154"/>
  <c r="BN67" i="162"/>
  <c r="H93" i="154"/>
  <c r="BN68" i="162"/>
  <c r="H94" i="154"/>
  <c r="BN69" i="162"/>
  <c r="H95" i="154"/>
  <c r="BN53" i="162"/>
  <c r="H79" i="154"/>
  <c r="CC54" i="162"/>
  <c r="I80" i="154"/>
  <c r="CC55" i="162"/>
  <c r="I81" i="154"/>
  <c r="CC56" i="162"/>
  <c r="I82" i="154"/>
  <c r="CC57" i="162"/>
  <c r="I83" i="154"/>
  <c r="CC58" i="162"/>
  <c r="I84" i="154"/>
  <c r="CC59" i="162"/>
  <c r="I85" i="154"/>
  <c r="CC60" i="162"/>
  <c r="I86" i="154"/>
  <c r="CC61" i="162"/>
  <c r="I87" i="154"/>
  <c r="CC62" i="162"/>
  <c r="I88" i="154"/>
  <c r="CC63" i="162"/>
  <c r="I89" i="154"/>
  <c r="CC64" i="162"/>
  <c r="I90" i="154"/>
  <c r="CC65" i="162"/>
  <c r="I91" i="154"/>
  <c r="CC66" i="162"/>
  <c r="I92" i="154"/>
  <c r="CC67" i="162"/>
  <c r="I93" i="154"/>
  <c r="CC68" i="162"/>
  <c r="I94" i="154"/>
  <c r="CC69" i="162"/>
  <c r="I95" i="154"/>
  <c r="CC53" i="162"/>
  <c r="I79" i="154"/>
  <c r="DF53" i="162"/>
  <c r="DF54" i="162"/>
  <c r="DF55" i="162"/>
  <c r="DF56" i="162"/>
  <c r="DF57" i="162"/>
  <c r="DF58" i="162"/>
  <c r="DF59" i="162"/>
  <c r="DF60" i="162"/>
  <c r="DF61" i="162"/>
  <c r="DF62" i="162"/>
  <c r="DF63" i="162"/>
  <c r="DF64" i="162"/>
  <c r="DF65" i="162"/>
  <c r="DF66" i="162"/>
  <c r="DF67" i="162"/>
  <c r="DF68" i="162"/>
  <c r="DF69" i="162"/>
  <c r="EV54" i="162"/>
  <c r="EV55" i="162"/>
  <c r="EV56" i="162"/>
  <c r="EV57" i="162"/>
  <c r="EV58" i="162"/>
  <c r="EV59" i="162"/>
  <c r="EV60" i="162"/>
  <c r="EV61" i="162"/>
  <c r="EV62" i="162"/>
  <c r="EV63" i="162"/>
  <c r="EV64" i="162"/>
  <c r="EV65" i="162"/>
  <c r="EV66" i="162"/>
  <c r="EV67" i="162"/>
  <c r="EV68" i="162"/>
  <c r="EV69" i="162"/>
  <c r="EV53" i="162"/>
  <c r="DI69" i="162"/>
  <c r="J95" i="154"/>
  <c r="DI61" i="162"/>
  <c r="J87" i="154"/>
  <c r="DI53" i="162"/>
  <c r="J79" i="154"/>
  <c r="DI68" i="162"/>
  <c r="J94" i="154"/>
  <c r="DI60" i="162"/>
  <c r="J86" i="154"/>
  <c r="DI67" i="162"/>
  <c r="J93" i="154"/>
  <c r="DI59" i="162"/>
  <c r="J85" i="154"/>
  <c r="DI66" i="162"/>
  <c r="J92" i="154"/>
  <c r="DI58" i="162"/>
  <c r="J84" i="154"/>
  <c r="DI65" i="162"/>
  <c r="J91" i="154"/>
  <c r="DI57" i="162"/>
  <c r="J83" i="154"/>
  <c r="DI64" i="162"/>
  <c r="J90" i="154"/>
  <c r="DI56" i="162"/>
  <c r="J82" i="154"/>
  <c r="DI63" i="162"/>
  <c r="J89" i="154"/>
  <c r="DI55" i="162"/>
  <c r="J81" i="154"/>
  <c r="DI62" i="162"/>
  <c r="J88" i="154"/>
  <c r="DI54" i="162"/>
  <c r="J80" i="154"/>
  <c r="J8" i="154"/>
  <c r="CP52" i="109"/>
  <c r="J9" i="154"/>
  <c r="CP53" i="109"/>
  <c r="J23" i="154"/>
  <c r="CP67" i="109"/>
  <c r="J15" i="154"/>
  <c r="CP59" i="109"/>
  <c r="J22" i="154"/>
  <c r="CP66" i="109"/>
  <c r="J14" i="154"/>
  <c r="CP58" i="109"/>
  <c r="J21" i="154"/>
  <c r="CP65" i="109"/>
  <c r="J13" i="154"/>
  <c r="CP57" i="109"/>
  <c r="J16" i="154"/>
  <c r="CP60" i="109"/>
  <c r="J12" i="154"/>
  <c r="CP56" i="109"/>
  <c r="J19" i="154"/>
  <c r="CP63" i="109"/>
  <c r="J11" i="154"/>
  <c r="CP55" i="109"/>
  <c r="J17" i="154"/>
  <c r="CP61" i="109"/>
  <c r="J24" i="154"/>
  <c r="CP68" i="109"/>
  <c r="J20" i="154"/>
  <c r="CP64" i="109"/>
  <c r="J18" i="154"/>
  <c r="CP62" i="109"/>
  <c r="J10" i="154"/>
  <c r="CP54" i="109"/>
  <c r="D15" i="154"/>
  <c r="D23" i="154"/>
  <c r="D13" i="154"/>
  <c r="D16" i="154"/>
  <c r="D24" i="154"/>
  <c r="D22" i="154"/>
  <c r="D9" i="154"/>
  <c r="D17" i="154"/>
  <c r="D21" i="154"/>
  <c r="D10" i="154"/>
  <c r="D18" i="154"/>
  <c r="D14" i="154"/>
  <c r="D11" i="154"/>
  <c r="D19" i="154"/>
  <c r="D12" i="154"/>
  <c r="D20" i="154"/>
  <c r="I112" i="160"/>
  <c r="I113" i="160"/>
  <c r="I111" i="160"/>
  <c r="K56" i="86"/>
  <c r="K57" i="86"/>
  <c r="K58" i="86"/>
  <c r="K59" i="86"/>
  <c r="K60" i="86"/>
  <c r="K55" i="86"/>
  <c r="N31" i="86"/>
  <c r="N32" i="86"/>
  <c r="N33" i="86"/>
  <c r="N34" i="86"/>
  <c r="N30" i="86"/>
  <c r="I46" i="133"/>
  <c r="I47" i="133"/>
  <c r="I48" i="133"/>
  <c r="I49" i="133"/>
  <c r="I50" i="133"/>
  <c r="I51" i="133"/>
  <c r="I52" i="133"/>
  <c r="I53" i="133"/>
  <c r="I54" i="133"/>
  <c r="I45" i="133"/>
  <c r="K376" i="61"/>
  <c r="K377" i="61"/>
  <c r="K390" i="61"/>
  <c r="K391" i="61"/>
  <c r="K400" i="61"/>
  <c r="K401" i="61"/>
  <c r="K410" i="61"/>
  <c r="K411" i="61"/>
  <c r="K424" i="61"/>
  <c r="K425" i="61"/>
  <c r="K442" i="61"/>
  <c r="K443" i="61"/>
  <c r="K456" i="61"/>
  <c r="K457" i="61"/>
  <c r="K466" i="61"/>
  <c r="K467" i="61"/>
  <c r="K477" i="61"/>
  <c r="K475" i="61"/>
  <c r="K486" i="61"/>
  <c r="K487" i="61"/>
  <c r="K498" i="61"/>
  <c r="K499" i="61"/>
  <c r="K497" i="61"/>
  <c r="K485" i="61"/>
  <c r="K476" i="61"/>
  <c r="K465" i="61"/>
  <c r="K455" i="61"/>
  <c r="K441" i="61"/>
  <c r="K423" i="61"/>
  <c r="K409" i="61"/>
  <c r="K399" i="61"/>
  <c r="K389" i="61"/>
  <c r="K375" i="61"/>
  <c r="K288" i="61"/>
  <c r="K289" i="61"/>
  <c r="K306" i="61"/>
  <c r="K307" i="61"/>
  <c r="K305" i="61"/>
  <c r="K287" i="61"/>
  <c r="K253" i="61"/>
  <c r="K254" i="61"/>
  <c r="K252" i="61"/>
  <c r="K203" i="61"/>
  <c r="K204" i="61"/>
  <c r="K202" i="61"/>
  <c r="K152" i="61"/>
  <c r="K153" i="61"/>
  <c r="K134" i="61"/>
  <c r="K151" i="61"/>
  <c r="K133" i="61"/>
  <c r="K57" i="61"/>
  <c r="K58" i="61"/>
  <c r="K56" i="61"/>
  <c r="K41" i="61"/>
  <c r="K42" i="61"/>
  <c r="K40" i="61"/>
  <c r="K14" i="61"/>
  <c r="K15" i="61"/>
  <c r="K13" i="61"/>
  <c r="H111" i="65"/>
  <c r="H112" i="65"/>
  <c r="H113" i="65"/>
  <c r="H114" i="65"/>
  <c r="H115" i="65"/>
  <c r="H110" i="65"/>
  <c r="G97" i="65"/>
  <c r="G98" i="65"/>
  <c r="G99" i="65"/>
  <c r="G96" i="65"/>
  <c r="G73" i="65"/>
  <c r="G74" i="65"/>
  <c r="G75" i="65"/>
  <c r="G72" i="65"/>
  <c r="G52" i="65"/>
  <c r="G53" i="65"/>
  <c r="G54" i="65"/>
  <c r="G51" i="65"/>
  <c r="G39" i="65"/>
  <c r="G40" i="65"/>
  <c r="G41" i="65"/>
  <c r="G38" i="65"/>
  <c r="CG82" i="109"/>
  <c r="CG83" i="109"/>
  <c r="CG84" i="109"/>
  <c r="CG85" i="109"/>
  <c r="CG86" i="109"/>
  <c r="CG87" i="109"/>
  <c r="CG88" i="109"/>
  <c r="CG89" i="109"/>
  <c r="CG90" i="109"/>
  <c r="CG91" i="109"/>
  <c r="CG92" i="109"/>
  <c r="CG93" i="109"/>
  <c r="CG94" i="109"/>
  <c r="CG95" i="109"/>
  <c r="CG96" i="109"/>
  <c r="CG97" i="109"/>
  <c r="CG81" i="109"/>
  <c r="CO81" i="109"/>
  <c r="CO82" i="109"/>
  <c r="CO83" i="109"/>
  <c r="CO84" i="109"/>
  <c r="CO99" i="109" s="1"/>
  <c r="CO85" i="109"/>
  <c r="CO86" i="109"/>
  <c r="CO87" i="109"/>
  <c r="CO88" i="109"/>
  <c r="CO89" i="109"/>
  <c r="CO90" i="109"/>
  <c r="CO91" i="109"/>
  <c r="CO92" i="109"/>
  <c r="CO93" i="109"/>
  <c r="CO94" i="109"/>
  <c r="CO95" i="109"/>
  <c r="CO96" i="109"/>
  <c r="CO97" i="109"/>
  <c r="BE81" i="109"/>
  <c r="AE82" i="109"/>
  <c r="AE83" i="109"/>
  <c r="AE84" i="109"/>
  <c r="AE85" i="109"/>
  <c r="AE86" i="109"/>
  <c r="AE87" i="109"/>
  <c r="AE88" i="109"/>
  <c r="AE89" i="109"/>
  <c r="AE90" i="109"/>
  <c r="AE91" i="109"/>
  <c r="AE92" i="109"/>
  <c r="AE93" i="109"/>
  <c r="AE94" i="109"/>
  <c r="AE95" i="109"/>
  <c r="AE96" i="109"/>
  <c r="AE97" i="109"/>
  <c r="AE81" i="109"/>
  <c r="M70" i="86"/>
  <c r="M69" i="86"/>
  <c r="AA65" i="86"/>
  <c r="J161" i="61"/>
  <c r="J217" i="61"/>
  <c r="I268" i="61"/>
  <c r="K268" i="61"/>
  <c r="I269" i="61"/>
  <c r="K269" i="61"/>
  <c r="I270" i="61"/>
  <c r="K270" i="61"/>
  <c r="I271" i="61"/>
  <c r="K271" i="61"/>
  <c r="I272" i="61"/>
  <c r="K272" i="61"/>
  <c r="I273" i="61"/>
  <c r="K273" i="61"/>
  <c r="I274" i="61"/>
  <c r="K274" i="61"/>
  <c r="I275" i="61"/>
  <c r="K275" i="61"/>
  <c r="I276" i="61"/>
  <c r="K276" i="61"/>
  <c r="I267" i="61"/>
  <c r="K267" i="61"/>
  <c r="S161" i="61"/>
  <c r="R100" i="61"/>
  <c r="Q213" i="61"/>
  <c r="O263" i="61"/>
  <c r="N67" i="61"/>
  <c r="J67" i="61"/>
  <c r="J218" i="61"/>
  <c r="J219" i="61"/>
  <c r="J220" i="61"/>
  <c r="J221" i="61"/>
  <c r="J222" i="61"/>
  <c r="J223" i="61"/>
  <c r="J224" i="61"/>
  <c r="J225" i="61"/>
  <c r="J226" i="61"/>
  <c r="J227" i="61"/>
  <c r="J228" i="61"/>
  <c r="J229" i="61"/>
  <c r="J230" i="61"/>
  <c r="J231" i="61"/>
  <c r="J232" i="61"/>
  <c r="J233" i="61"/>
  <c r="J234" i="61"/>
  <c r="J235" i="61"/>
  <c r="J236" i="61"/>
  <c r="F4" i="169"/>
  <c r="G4" i="169"/>
  <c r="H4" i="169"/>
  <c r="I4" i="169"/>
  <c r="AB72" i="86"/>
  <c r="AB80" i="86"/>
  <c r="AB81" i="86"/>
  <c r="AB97" i="86"/>
  <c r="AB74" i="86"/>
  <c r="AB82" i="86"/>
  <c r="AB90" i="86"/>
  <c r="AB98" i="86"/>
  <c r="AB75" i="86"/>
  <c r="AB83" i="86"/>
  <c r="AB91" i="86"/>
  <c r="AB88" i="86"/>
  <c r="AB73" i="86"/>
  <c r="AB76" i="86"/>
  <c r="AB84" i="86"/>
  <c r="AB92" i="86"/>
  <c r="AB71" i="86"/>
  <c r="AB79" i="86"/>
  <c r="AB95" i="86"/>
  <c r="AB96" i="86"/>
  <c r="AB89" i="86"/>
  <c r="AB77" i="86"/>
  <c r="AB85" i="86"/>
  <c r="AB93" i="86"/>
  <c r="AB87" i="86"/>
  <c r="AB70" i="86"/>
  <c r="AB78" i="86"/>
  <c r="AB86" i="86"/>
  <c r="AB94" i="86"/>
  <c r="AB69" i="86"/>
  <c r="F59" i="160"/>
  <c r="C319" i="61"/>
  <c r="C320" i="61"/>
  <c r="C321" i="61"/>
  <c r="C322" i="61"/>
  <c r="C323" i="61"/>
  <c r="C324" i="61"/>
  <c r="C325" i="61"/>
  <c r="C326" i="61"/>
  <c r="C327" i="61"/>
  <c r="C166" i="100"/>
  <c r="C167" i="100"/>
  <c r="C168" i="100"/>
  <c r="C169" i="100"/>
  <c r="C170" i="100"/>
  <c r="C171" i="100"/>
  <c r="C172" i="100"/>
  <c r="C173" i="100"/>
  <c r="C174" i="100"/>
  <c r="C150" i="100"/>
  <c r="C151" i="100"/>
  <c r="C152" i="100"/>
  <c r="C153" i="100"/>
  <c r="C154" i="100"/>
  <c r="C155" i="100"/>
  <c r="C156" i="100"/>
  <c r="C157" i="100"/>
  <c r="C158" i="100"/>
  <c r="C133" i="100"/>
  <c r="C134" i="100"/>
  <c r="C135" i="100"/>
  <c r="C136" i="100"/>
  <c r="C137" i="100"/>
  <c r="C138" i="100"/>
  <c r="C139" i="100"/>
  <c r="C140" i="100"/>
  <c r="C141" i="100"/>
  <c r="C114" i="100"/>
  <c r="C115" i="100"/>
  <c r="C116" i="100"/>
  <c r="C117" i="100"/>
  <c r="C118" i="100"/>
  <c r="C119" i="100"/>
  <c r="C120" i="100"/>
  <c r="C121" i="100"/>
  <c r="C122" i="100"/>
  <c r="C94" i="100"/>
  <c r="C95" i="100"/>
  <c r="C96" i="100"/>
  <c r="C97" i="100"/>
  <c r="C98" i="100"/>
  <c r="C99" i="100"/>
  <c r="C100" i="100"/>
  <c r="C101" i="100"/>
  <c r="C102" i="100"/>
  <c r="C73" i="100"/>
  <c r="C74" i="100"/>
  <c r="C75" i="100"/>
  <c r="C76" i="100"/>
  <c r="C77" i="100"/>
  <c r="C78" i="100"/>
  <c r="C79" i="100"/>
  <c r="C80" i="100"/>
  <c r="C81" i="100"/>
  <c r="C53" i="100"/>
  <c r="C54" i="100"/>
  <c r="C55" i="100"/>
  <c r="C56" i="100"/>
  <c r="C57" i="100"/>
  <c r="C58" i="100"/>
  <c r="C59" i="100"/>
  <c r="C60" i="100"/>
  <c r="C61" i="100"/>
  <c r="C33" i="100"/>
  <c r="C34" i="100"/>
  <c r="C35" i="100"/>
  <c r="C36" i="100"/>
  <c r="C37" i="100"/>
  <c r="C38" i="100"/>
  <c r="C39" i="100"/>
  <c r="C40" i="100"/>
  <c r="C41" i="100"/>
  <c r="C49" i="160"/>
  <c r="C50" i="160"/>
  <c r="C51" i="160"/>
  <c r="C52" i="160"/>
  <c r="C53" i="160"/>
  <c r="C54" i="160"/>
  <c r="C55" i="160"/>
  <c r="C56" i="160"/>
  <c r="C57" i="160"/>
  <c r="C31" i="160"/>
  <c r="C32" i="160"/>
  <c r="C33" i="160"/>
  <c r="C34" i="160"/>
  <c r="C35" i="160"/>
  <c r="C36" i="160"/>
  <c r="C37" i="160"/>
  <c r="C38" i="160"/>
  <c r="C39" i="160"/>
  <c r="C97" i="160"/>
  <c r="C98" i="160"/>
  <c r="C99" i="160"/>
  <c r="C100" i="160"/>
  <c r="C101" i="160"/>
  <c r="C102" i="160"/>
  <c r="C103" i="160"/>
  <c r="C104" i="160"/>
  <c r="C105" i="160"/>
  <c r="C106" i="160"/>
  <c r="C107" i="160"/>
  <c r="C108" i="160"/>
  <c r="C109" i="160"/>
  <c r="C110" i="160"/>
  <c r="C111" i="160"/>
  <c r="C112" i="160"/>
  <c r="C113" i="160"/>
  <c r="C81" i="160"/>
  <c r="C82" i="160"/>
  <c r="C83" i="160"/>
  <c r="C84" i="160"/>
  <c r="C85" i="160"/>
  <c r="C86" i="160"/>
  <c r="C87" i="160"/>
  <c r="C65" i="160"/>
  <c r="C66" i="160"/>
  <c r="C67" i="160"/>
  <c r="C68" i="160"/>
  <c r="C69" i="160"/>
  <c r="C70" i="160"/>
  <c r="C71" i="160"/>
  <c r="C72" i="160"/>
  <c r="C73" i="160"/>
  <c r="AH70" i="86"/>
  <c r="AH71" i="86"/>
  <c r="AH72" i="86"/>
  <c r="AH73" i="86"/>
  <c r="AH74" i="86"/>
  <c r="AH75" i="86"/>
  <c r="AH76" i="86"/>
  <c r="AH77" i="86"/>
  <c r="AH78" i="86"/>
  <c r="AH79" i="86"/>
  <c r="AH80" i="86"/>
  <c r="AH81" i="86"/>
  <c r="AH82" i="86"/>
  <c r="AH83" i="86"/>
  <c r="AH84" i="86"/>
  <c r="AH85" i="86"/>
  <c r="AH86" i="86"/>
  <c r="AH87" i="86"/>
  <c r="AH88" i="86"/>
  <c r="AH89" i="86"/>
  <c r="AH90" i="86"/>
  <c r="AH91" i="86"/>
  <c r="AH92" i="86"/>
  <c r="AH93" i="86"/>
  <c r="AH94" i="86"/>
  <c r="AH95" i="86"/>
  <c r="AH96" i="86"/>
  <c r="AH97" i="86"/>
  <c r="AH98" i="86"/>
  <c r="F27" i="65"/>
  <c r="E22" i="65"/>
  <c r="G22" i="65"/>
  <c r="F16" i="65"/>
  <c r="C61" i="149"/>
  <c r="E528" i="101"/>
  <c r="E86" i="160"/>
  <c r="F86" i="160" s="1"/>
  <c r="E529" i="101"/>
  <c r="E87" i="160"/>
  <c r="G87" i="160" s="1"/>
  <c r="E527" i="101"/>
  <c r="E85" i="160"/>
  <c r="C59" i="149"/>
  <c r="C60" i="149"/>
  <c r="E21" i="65"/>
  <c r="G21" i="65"/>
  <c r="E25" i="65"/>
  <c r="G25" i="65"/>
  <c r="E24" i="65"/>
  <c r="G24" i="65"/>
  <c r="E23" i="65"/>
  <c r="G23" i="65"/>
  <c r="H29" i="86"/>
  <c r="L24" i="65"/>
  <c r="J24" i="65"/>
  <c r="L25" i="65"/>
  <c r="J25" i="65"/>
  <c r="E27" i="65"/>
  <c r="G27" i="65"/>
  <c r="F71" i="65"/>
  <c r="D13" i="56"/>
  <c r="D13" i="165"/>
  <c r="G20" i="109"/>
  <c r="G20" i="161"/>
  <c r="G21" i="162"/>
  <c r="G21" i="109"/>
  <c r="G21" i="161"/>
  <c r="G22" i="162"/>
  <c r="G22" i="161"/>
  <c r="G23" i="162"/>
  <c r="G23" i="109"/>
  <c r="G23" i="161"/>
  <c r="G24" i="162"/>
  <c r="AT49" i="4"/>
  <c r="AF49" i="4"/>
  <c r="R49" i="4"/>
  <c r="G52" i="161"/>
  <c r="Y100" i="86"/>
  <c r="E66" i="101"/>
  <c r="G64" i="160"/>
  <c r="G65" i="160"/>
  <c r="G34" i="109"/>
  <c r="G29" i="109"/>
  <c r="G35" i="109"/>
  <c r="G26" i="109"/>
  <c r="G19" i="109"/>
  <c r="H19" i="109" s="1"/>
  <c r="J19" i="109" s="1"/>
  <c r="G27" i="109"/>
  <c r="G24" i="109"/>
  <c r="G30" i="109"/>
  <c r="G28" i="109"/>
  <c r="G36" i="109"/>
  <c r="G37" i="109"/>
  <c r="G25" i="109"/>
  <c r="G33" i="109"/>
  <c r="G38" i="109"/>
  <c r="G20" i="162"/>
  <c r="G25" i="162"/>
  <c r="G28" i="162"/>
  <c r="G36" i="162"/>
  <c r="G31" i="162"/>
  <c r="G34" i="162"/>
  <c r="G39" i="162"/>
  <c r="G29" i="162"/>
  <c r="G35" i="162"/>
  <c r="G37" i="162"/>
  <c r="G32" i="162"/>
  <c r="G30" i="162"/>
  <c r="G26" i="162"/>
  <c r="G33" i="162"/>
  <c r="G38" i="162"/>
  <c r="G27" i="162"/>
  <c r="G31" i="109"/>
  <c r="G32" i="109"/>
  <c r="G22" i="109"/>
  <c r="G38" i="161"/>
  <c r="G24" i="161"/>
  <c r="G28" i="161"/>
  <c r="G32" i="161"/>
  <c r="G36" i="161"/>
  <c r="G19" i="161"/>
  <c r="G25" i="161"/>
  <c r="G31" i="161"/>
  <c r="G33" i="161"/>
  <c r="G29" i="161"/>
  <c r="G34" i="161"/>
  <c r="G26" i="161"/>
  <c r="G37" i="161"/>
  <c r="G27" i="161"/>
  <c r="G35" i="161"/>
  <c r="G30" i="161"/>
  <c r="G69" i="160"/>
  <c r="G68" i="160"/>
  <c r="G67" i="160"/>
  <c r="G66" i="160"/>
  <c r="G70" i="160"/>
  <c r="Y62" i="160" a="1"/>
  <c r="AG64" i="160" s="1"/>
  <c r="AG75" i="160" s="1"/>
  <c r="G73" i="160"/>
  <c r="G71" i="160"/>
  <c r="G72" i="160"/>
  <c r="B121" i="165"/>
  <c r="B105" i="165"/>
  <c r="K78" i="154"/>
  <c r="J78" i="154"/>
  <c r="I78" i="154"/>
  <c r="H78" i="154"/>
  <c r="G78" i="154"/>
  <c r="F78" i="154"/>
  <c r="E78" i="154"/>
  <c r="D78" i="154"/>
  <c r="K58" i="154"/>
  <c r="J58" i="154"/>
  <c r="I58" i="154"/>
  <c r="H58" i="154"/>
  <c r="G58" i="154"/>
  <c r="D58" i="154"/>
  <c r="J45" i="154"/>
  <c r="K26" i="154"/>
  <c r="J26" i="154"/>
  <c r="I26" i="154"/>
  <c r="D26" i="154"/>
  <c r="AF34" i="169"/>
  <c r="AD34" i="169"/>
  <c r="AB34" i="169"/>
  <c r="X34" i="169"/>
  <c r="W38" i="169"/>
  <c r="W37" i="169"/>
  <c r="W36" i="169"/>
  <c r="W35" i="169"/>
  <c r="W34" i="169"/>
  <c r="W33" i="169"/>
  <c r="Q38" i="169"/>
  <c r="N38" i="169"/>
  <c r="I34" i="169"/>
  <c r="H33" i="169"/>
  <c r="H38" i="169"/>
  <c r="H37" i="169"/>
  <c r="H36" i="169"/>
  <c r="H35" i="169"/>
  <c r="H34" i="169"/>
  <c r="BX45" i="169"/>
  <c r="BY45" i="169"/>
  <c r="CB45" i="169"/>
  <c r="DC45" i="169"/>
  <c r="DF45" i="169"/>
  <c r="DG45" i="169"/>
  <c r="BX46" i="169"/>
  <c r="BY46" i="169"/>
  <c r="CB46" i="169"/>
  <c r="DC46" i="169"/>
  <c r="DF46" i="169"/>
  <c r="DG46" i="169"/>
  <c r="BX47" i="169"/>
  <c r="BY47" i="169"/>
  <c r="CB47" i="169"/>
  <c r="DF47" i="169"/>
  <c r="DG47" i="169"/>
  <c r="BX48" i="169"/>
  <c r="BY48" i="169"/>
  <c r="CB48" i="169"/>
  <c r="DC48" i="169"/>
  <c r="DF48" i="169"/>
  <c r="DG48" i="169"/>
  <c r="BX49" i="169"/>
  <c r="BY49" i="169"/>
  <c r="CB49" i="169"/>
  <c r="DC49" i="169"/>
  <c r="DF49" i="169"/>
  <c r="DG49" i="169"/>
  <c r="BX50" i="169"/>
  <c r="BY50" i="169"/>
  <c r="CB50" i="169"/>
  <c r="DC50" i="169"/>
  <c r="DF50" i="169"/>
  <c r="DG50" i="169"/>
  <c r="C43" i="169"/>
  <c r="C44" i="169"/>
  <c r="C45" i="169"/>
  <c r="C46" i="169"/>
  <c r="C47" i="169"/>
  <c r="C48" i="169"/>
  <c r="C49" i="169"/>
  <c r="C50" i="169"/>
  <c r="C51" i="169"/>
  <c r="N57" i="169"/>
  <c r="O57" i="169"/>
  <c r="P57" i="169"/>
  <c r="Q57" i="169"/>
  <c r="DK53" i="169"/>
  <c r="DL53" i="169"/>
  <c r="DM53" i="169"/>
  <c r="AN33" i="169"/>
  <c r="DI34" i="169"/>
  <c r="DH34" i="169"/>
  <c r="DG33" i="169"/>
  <c r="AV34" i="169"/>
  <c r="AX34" i="169"/>
  <c r="Q26" i="100"/>
  <c r="AR54" i="4"/>
  <c r="AD54" i="4"/>
  <c r="P54" i="4"/>
  <c r="G83" i="160"/>
  <c r="G84" i="160"/>
  <c r="F83" i="160"/>
  <c r="G85" i="160"/>
  <c r="F85" i="160"/>
  <c r="G86" i="160"/>
  <c r="F87" i="160"/>
  <c r="Y62" i="160"/>
  <c r="AH72" i="160"/>
  <c r="AG66" i="160"/>
  <c r="AF67" i="160"/>
  <c r="AH70" i="160"/>
  <c r="AE68" i="160"/>
  <c r="AG71" i="160"/>
  <c r="AG65" i="160"/>
  <c r="AF65" i="160"/>
  <c r="AH68" i="160"/>
  <c r="AF72" i="160"/>
  <c r="AE66" i="160"/>
  <c r="AG69" i="160"/>
  <c r="AH71" i="160"/>
  <c r="AE73" i="160"/>
  <c r="AH66" i="160"/>
  <c r="AH75" i="160" s="1"/>
  <c r="AF70" i="160"/>
  <c r="AH73" i="160"/>
  <c r="AG67" i="160"/>
  <c r="AH64" i="160"/>
  <c r="AE71" i="160"/>
  <c r="AF68" i="160"/>
  <c r="AE69" i="160"/>
  <c r="AG72" i="160"/>
  <c r="AF66" i="160"/>
  <c r="AH69" i="160"/>
  <c r="AF69" i="160"/>
  <c r="AG73" i="160"/>
  <c r="AF73" i="160"/>
  <c r="AE67" i="160"/>
  <c r="AG70" i="160"/>
  <c r="AF64" i="160"/>
  <c r="AF75" i="160" s="1"/>
  <c r="AH67" i="160"/>
  <c r="AF71" i="160"/>
  <c r="AE65" i="160"/>
  <c r="AG68" i="160"/>
  <c r="AE72" i="160"/>
  <c r="AH65" i="160"/>
  <c r="AE70" i="160"/>
  <c r="BN70" i="86"/>
  <c r="BN71" i="86"/>
  <c r="BN72" i="86"/>
  <c r="BN73" i="86"/>
  <c r="BN74" i="86"/>
  <c r="BN75" i="86"/>
  <c r="BN76" i="86"/>
  <c r="BN77" i="86"/>
  <c r="BN78" i="86"/>
  <c r="BN79" i="86"/>
  <c r="BN80" i="86"/>
  <c r="BN81" i="86"/>
  <c r="BN82" i="86"/>
  <c r="BN83" i="86"/>
  <c r="BN84" i="86"/>
  <c r="BN85" i="86"/>
  <c r="BN86" i="86"/>
  <c r="BN87" i="86"/>
  <c r="BN88" i="86"/>
  <c r="BN89" i="86"/>
  <c r="BN90" i="86"/>
  <c r="BN91" i="86"/>
  <c r="BN92" i="86"/>
  <c r="BN93" i="86"/>
  <c r="BN94" i="86"/>
  <c r="BN95" i="86"/>
  <c r="BN96" i="86"/>
  <c r="BN97" i="86"/>
  <c r="BN98" i="86"/>
  <c r="D177" i="113"/>
  <c r="D178" i="113"/>
  <c r="D179" i="113"/>
  <c r="D180" i="113"/>
  <c r="D181" i="113"/>
  <c r="D182" i="113"/>
  <c r="D183" i="113"/>
  <c r="D184" i="113"/>
  <c r="D185" i="113"/>
  <c r="D186" i="113"/>
  <c r="D187" i="113"/>
  <c r="D188" i="113"/>
  <c r="D189" i="113"/>
  <c r="D190" i="113"/>
  <c r="D191" i="113"/>
  <c r="D192" i="113"/>
  <c r="D193" i="113"/>
  <c r="D194" i="113"/>
  <c r="D195" i="113"/>
  <c r="D176" i="113"/>
  <c r="H37" i="133"/>
  <c r="H38" i="133"/>
  <c r="H39" i="133"/>
  <c r="H40" i="133"/>
  <c r="H41" i="133"/>
  <c r="H42" i="133"/>
  <c r="H43" i="133"/>
  <c r="H44" i="133"/>
  <c r="E292" i="101"/>
  <c r="E291" i="101"/>
  <c r="E210" i="101"/>
  <c r="E209" i="101"/>
  <c r="E10" i="65"/>
  <c r="E11" i="65"/>
  <c r="G11" i="65"/>
  <c r="E13" i="65"/>
  <c r="G13" i="65"/>
  <c r="E12" i="65"/>
  <c r="G12" i="65"/>
  <c r="E14" i="65"/>
  <c r="G14" i="65"/>
  <c r="S114" i="100"/>
  <c r="T114" i="100"/>
  <c r="U114" i="100"/>
  <c r="S115" i="100"/>
  <c r="T115" i="100"/>
  <c r="U115" i="100"/>
  <c r="S116" i="100"/>
  <c r="T116" i="100"/>
  <c r="U116" i="100"/>
  <c r="S117" i="100"/>
  <c r="T117" i="100"/>
  <c r="U117" i="100"/>
  <c r="S118" i="100"/>
  <c r="T118" i="100"/>
  <c r="U118" i="100"/>
  <c r="S119" i="100"/>
  <c r="T119" i="100"/>
  <c r="U119" i="100"/>
  <c r="S120" i="100"/>
  <c r="T120" i="100"/>
  <c r="U120" i="100"/>
  <c r="S121" i="100"/>
  <c r="T121" i="100"/>
  <c r="U121" i="100"/>
  <c r="S122" i="100"/>
  <c r="T122" i="100"/>
  <c r="U122" i="100"/>
  <c r="T113" i="100"/>
  <c r="U113" i="100"/>
  <c r="U107" i="100"/>
  <c r="L112" i="100" s="1"/>
  <c r="U110" i="100" s="1"/>
  <c r="T107" i="100"/>
  <c r="L14" i="65"/>
  <c r="J14" i="65"/>
  <c r="J13" i="65"/>
  <c r="L13" i="65"/>
  <c r="E16" i="65"/>
  <c r="G10" i="65"/>
  <c r="K112" i="100"/>
  <c r="K124" i="100" s="1"/>
  <c r="AC326" i="61"/>
  <c r="AC327" i="61"/>
  <c r="AA326" i="61"/>
  <c r="AA327" i="61"/>
  <c r="F69" i="65"/>
  <c r="F70" i="65"/>
  <c r="H14" i="86"/>
  <c r="H15" i="86"/>
  <c r="H16" i="86"/>
  <c r="H17" i="86"/>
  <c r="H18" i="86"/>
  <c r="H19" i="86"/>
  <c r="H20" i="86"/>
  <c r="H21" i="86"/>
  <c r="H22" i="86"/>
  <c r="H23" i="86"/>
  <c r="H24" i="86"/>
  <c r="H25" i="86"/>
  <c r="H26" i="86"/>
  <c r="H27" i="86"/>
  <c r="H28" i="86"/>
  <c r="H30" i="86"/>
  <c r="H31" i="86"/>
  <c r="H32" i="86"/>
  <c r="H33" i="86"/>
  <c r="H34" i="86"/>
  <c r="H13" i="86"/>
  <c r="O53" i="159"/>
  <c r="P53" i="159"/>
  <c r="AA38" i="159"/>
  <c r="Z38" i="159"/>
  <c r="Y38" i="159"/>
  <c r="S36" i="159"/>
  <c r="W36" i="159"/>
  <c r="S37" i="159"/>
  <c r="Y43" i="159"/>
  <c r="Z43" i="159"/>
  <c r="AA43" i="159"/>
  <c r="Y44" i="159"/>
  <c r="Z44" i="159"/>
  <c r="AA44" i="159"/>
  <c r="Y45" i="159"/>
  <c r="Z45" i="159"/>
  <c r="AA45" i="159"/>
  <c r="Y46" i="159"/>
  <c r="Z46" i="159"/>
  <c r="AA46" i="159"/>
  <c r="Y47" i="159"/>
  <c r="Z47" i="159"/>
  <c r="AA47" i="159"/>
  <c r="Y48" i="159"/>
  <c r="Z48" i="159"/>
  <c r="AA48" i="159"/>
  <c r="Y49" i="159"/>
  <c r="Z49" i="159"/>
  <c r="AA49" i="159"/>
  <c r="Y50" i="159"/>
  <c r="Z50" i="159"/>
  <c r="AA50" i="159"/>
  <c r="Y51" i="159"/>
  <c r="Z51" i="159"/>
  <c r="AA51" i="159"/>
  <c r="Z42" i="159"/>
  <c r="AA42" i="159"/>
  <c r="Y42" i="159"/>
  <c r="P39" i="159"/>
  <c r="X39" i="159"/>
  <c r="Z39" i="159"/>
  <c r="AA39" i="159"/>
  <c r="Y39" i="159"/>
  <c r="W39" i="159"/>
  <c r="V39" i="159"/>
  <c r="M11" i="159"/>
  <c r="B61" i="56"/>
  <c r="B60" i="56"/>
  <c r="S53" i="159"/>
  <c r="R53" i="159"/>
  <c r="Q53" i="159"/>
  <c r="I53" i="159"/>
  <c r="E53" i="159"/>
  <c r="C43" i="159"/>
  <c r="C44" i="159"/>
  <c r="C45" i="159"/>
  <c r="C46" i="159"/>
  <c r="C47" i="159"/>
  <c r="C48" i="159"/>
  <c r="C49" i="159"/>
  <c r="C50" i="159"/>
  <c r="C51" i="159"/>
  <c r="R29" i="100"/>
  <c r="S29" i="100"/>
  <c r="T29" i="100"/>
  <c r="AO63" i="160"/>
  <c r="AO64" i="160"/>
  <c r="AO65" i="160"/>
  <c r="AO66" i="160"/>
  <c r="AO67" i="160"/>
  <c r="AO68" i="160"/>
  <c r="AO69" i="160"/>
  <c r="AO70" i="160"/>
  <c r="AO71" i="160"/>
  <c r="AO72" i="160"/>
  <c r="AO73" i="160"/>
  <c r="AO74" i="160"/>
  <c r="AO75" i="160"/>
  <c r="C52" i="149"/>
  <c r="D63" i="149"/>
  <c r="E63" i="149"/>
  <c r="F63" i="149"/>
  <c r="G63" i="149"/>
  <c r="H63" i="149"/>
  <c r="J398" i="61"/>
  <c r="J385" i="61"/>
  <c r="J386" i="61"/>
  <c r="J387" i="61"/>
  <c r="J388" i="61"/>
  <c r="J384" i="61"/>
  <c r="M513" i="61"/>
  <c r="M514" i="61"/>
  <c r="M498" i="61"/>
  <c r="M499" i="61"/>
  <c r="M476" i="61"/>
  <c r="M477" i="61"/>
  <c r="M466" i="61"/>
  <c r="M467" i="61"/>
  <c r="M456" i="61"/>
  <c r="M457" i="61"/>
  <c r="M442" i="61"/>
  <c r="M443" i="61"/>
  <c r="M424" i="61"/>
  <c r="M425" i="61"/>
  <c r="M410" i="61"/>
  <c r="M411" i="61"/>
  <c r="M400" i="61"/>
  <c r="M401" i="61"/>
  <c r="M376" i="61"/>
  <c r="M377" i="61"/>
  <c r="M375" i="61"/>
  <c r="M390" i="61"/>
  <c r="M391" i="61"/>
  <c r="M306" i="61"/>
  <c r="M307" i="61"/>
  <c r="M288" i="61"/>
  <c r="M289" i="61"/>
  <c r="M253" i="61"/>
  <c r="M254" i="61"/>
  <c r="M203" i="61"/>
  <c r="M204" i="61"/>
  <c r="M152" i="61"/>
  <c r="M153" i="61"/>
  <c r="M134" i="61"/>
  <c r="M57" i="61"/>
  <c r="M58" i="61"/>
  <c r="M41" i="61"/>
  <c r="M42" i="61"/>
  <c r="M512" i="61"/>
  <c r="M497" i="61"/>
  <c r="M475" i="61"/>
  <c r="M465" i="61"/>
  <c r="M455" i="61"/>
  <c r="M441" i="61"/>
  <c r="M423" i="61"/>
  <c r="M409" i="61"/>
  <c r="M399" i="61"/>
  <c r="M389" i="61"/>
  <c r="M305" i="61"/>
  <c r="M287" i="61"/>
  <c r="M252" i="61"/>
  <c r="M202" i="61"/>
  <c r="M151" i="61"/>
  <c r="M133" i="61"/>
  <c r="M56" i="61"/>
  <c r="M40" i="61"/>
  <c r="M14" i="61"/>
  <c r="M15" i="61"/>
  <c r="M13" i="61"/>
  <c r="AD4" i="159"/>
  <c r="AC4" i="159"/>
  <c r="P9" i="159" s="1"/>
  <c r="AC7" i="159" s="1"/>
  <c r="AD87" i="100"/>
  <c r="AB66" i="100"/>
  <c r="AA66" i="100"/>
  <c r="Z66" i="100"/>
  <c r="Y66" i="100"/>
  <c r="X66" i="100"/>
  <c r="W66" i="100"/>
  <c r="V66" i="100"/>
  <c r="U66" i="100"/>
  <c r="T66" i="100"/>
  <c r="S66" i="100"/>
  <c r="R66" i="100"/>
  <c r="Q66" i="100"/>
  <c r="D61" i="56"/>
  <c r="D82" i="165"/>
  <c r="T39" i="159"/>
  <c r="U39" i="159"/>
  <c r="P8" i="159"/>
  <c r="AC8" i="159" s="1"/>
  <c r="Q92" i="100"/>
  <c r="Q104" i="100" s="1"/>
  <c r="P26" i="100"/>
  <c r="H31" i="100" s="1"/>
  <c r="H30" i="100"/>
  <c r="P30" i="100" s="1"/>
  <c r="J201" i="61"/>
  <c r="J194" i="61"/>
  <c r="J195" i="61"/>
  <c r="J196" i="61"/>
  <c r="J197" i="61"/>
  <c r="J198" i="61"/>
  <c r="J199" i="61"/>
  <c r="J200" i="61"/>
  <c r="E129" i="101"/>
  <c r="E122" i="101"/>
  <c r="E123" i="101"/>
  <c r="E124" i="101"/>
  <c r="E125" i="101"/>
  <c r="E126" i="101"/>
  <c r="E127" i="101"/>
  <c r="E128" i="101"/>
  <c r="G11" i="169"/>
  <c r="G19" i="169"/>
  <c r="G27" i="169"/>
  <c r="G12" i="169"/>
  <c r="G20" i="169"/>
  <c r="G28" i="169"/>
  <c r="G14" i="169"/>
  <c r="G22" i="169"/>
  <c r="G10" i="169"/>
  <c r="G15" i="169"/>
  <c r="G23" i="169"/>
  <c r="G16" i="169"/>
  <c r="G24" i="169"/>
  <c r="G17" i="169"/>
  <c r="G25" i="169"/>
  <c r="G21" i="169"/>
  <c r="G26" i="169"/>
  <c r="G18" i="169"/>
  <c r="G29" i="169"/>
  <c r="G13" i="169"/>
  <c r="E515" i="101"/>
  <c r="E512" i="101"/>
  <c r="E510" i="101"/>
  <c r="E513" i="101"/>
  <c r="E511" i="101"/>
  <c r="E514" i="101"/>
  <c r="E509" i="101"/>
  <c r="E85" i="56"/>
  <c r="B85" i="56"/>
  <c r="B84" i="56"/>
  <c r="B87" i="56"/>
  <c r="B83" i="56"/>
  <c r="B80" i="56"/>
  <c r="B77" i="56"/>
  <c r="B73" i="56"/>
  <c r="B69" i="56"/>
  <c r="B63" i="56"/>
  <c r="B59" i="56"/>
  <c r="B54" i="56"/>
  <c r="B51" i="56"/>
  <c r="B20" i="56"/>
  <c r="B95" i="56"/>
  <c r="B11" i="56"/>
  <c r="DG38" i="169"/>
  <c r="DG37" i="169"/>
  <c r="DG36" i="169"/>
  <c r="DG35" i="169"/>
  <c r="DG34" i="169"/>
  <c r="AN38" i="169"/>
  <c r="AN37" i="169"/>
  <c r="AN36" i="169"/>
  <c r="AN35" i="169"/>
  <c r="AN34" i="169"/>
  <c r="C11" i="169"/>
  <c r="C12" i="169"/>
  <c r="C13" i="169"/>
  <c r="C14" i="169"/>
  <c r="C15" i="169"/>
  <c r="C16" i="169"/>
  <c r="C17" i="169"/>
  <c r="C18" i="169"/>
  <c r="C19" i="169"/>
  <c r="C20" i="169"/>
  <c r="C21" i="169"/>
  <c r="C22" i="169"/>
  <c r="C23" i="169"/>
  <c r="C24" i="169"/>
  <c r="C25" i="169"/>
  <c r="C26" i="169"/>
  <c r="C27" i="169"/>
  <c r="C28" i="169"/>
  <c r="C29" i="169"/>
  <c r="J507" i="61"/>
  <c r="J508" i="61"/>
  <c r="J509" i="61"/>
  <c r="J510" i="61"/>
  <c r="J511" i="61"/>
  <c r="J506" i="61"/>
  <c r="C507" i="61"/>
  <c r="C508" i="61"/>
  <c r="C509" i="61"/>
  <c r="C510" i="61"/>
  <c r="C511" i="61"/>
  <c r="C512" i="61"/>
  <c r="C513" i="61"/>
  <c r="C514" i="61"/>
  <c r="E201" i="101"/>
  <c r="E202" i="101"/>
  <c r="EU48" i="162"/>
  <c r="EP48" i="162"/>
  <c r="ES49" i="162"/>
  <c r="EP49" i="162"/>
  <c r="EP47" i="162"/>
  <c r="EP46" i="162"/>
  <c r="EP45" i="162"/>
  <c r="ER45" i="162"/>
  <c r="EQ45" i="162"/>
  <c r="EF48" i="161"/>
  <c r="EH47" i="161"/>
  <c r="EC48" i="161"/>
  <c r="EC47" i="161"/>
  <c r="EC46" i="161"/>
  <c r="EC45" i="161"/>
  <c r="EC44" i="161"/>
  <c r="EA47" i="109"/>
  <c r="DV45" i="109"/>
  <c r="DV46" i="109"/>
  <c r="DV47" i="109"/>
  <c r="DV44" i="109"/>
  <c r="E462" i="101"/>
  <c r="E285" i="101"/>
  <c r="E284" i="101"/>
  <c r="E187" i="101"/>
  <c r="E188" i="101"/>
  <c r="E189" i="101"/>
  <c r="E186" i="101"/>
  <c r="C61" i="169"/>
  <c r="C62" i="169"/>
  <c r="C63" i="169"/>
  <c r="C64" i="169"/>
  <c r="C65" i="169"/>
  <c r="C66" i="169"/>
  <c r="C67" i="169"/>
  <c r="C68" i="169"/>
  <c r="C69" i="169"/>
  <c r="C70" i="169"/>
  <c r="C71" i="169"/>
  <c r="C72" i="169"/>
  <c r="C73" i="169"/>
  <c r="C74" i="169"/>
  <c r="C75" i="169"/>
  <c r="C76" i="169"/>
  <c r="C77" i="169"/>
  <c r="C78" i="169"/>
  <c r="C79" i="169"/>
  <c r="C80" i="169"/>
  <c r="C81" i="169"/>
  <c r="C82" i="169"/>
  <c r="C83" i="169"/>
  <c r="C84" i="169"/>
  <c r="C85" i="169"/>
  <c r="C86" i="169"/>
  <c r="C87" i="169"/>
  <c r="C88" i="169"/>
  <c r="C89" i="169"/>
  <c r="C90" i="169"/>
  <c r="C91" i="169"/>
  <c r="C92" i="169"/>
  <c r="C93" i="169"/>
  <c r="C94" i="169"/>
  <c r="C95" i="169"/>
  <c r="C96" i="169"/>
  <c r="C97" i="169"/>
  <c r="C98" i="169"/>
  <c r="C99" i="169"/>
  <c r="C100" i="169"/>
  <c r="C101" i="169"/>
  <c r="C102" i="169"/>
  <c r="C103" i="169"/>
  <c r="C104" i="169"/>
  <c r="C105" i="169"/>
  <c r="C106" i="169"/>
  <c r="C107" i="169"/>
  <c r="C108" i="169"/>
  <c r="C109" i="169"/>
  <c r="C110" i="169"/>
  <c r="C111" i="169"/>
  <c r="C112" i="169"/>
  <c r="C113" i="169"/>
  <c r="C114" i="169"/>
  <c r="C115" i="169"/>
  <c r="C116" i="169"/>
  <c r="C117" i="169"/>
  <c r="C118" i="169"/>
  <c r="C119" i="169"/>
  <c r="C120" i="169"/>
  <c r="C121" i="169"/>
  <c r="C122" i="169"/>
  <c r="C123" i="169"/>
  <c r="C124" i="169"/>
  <c r="C125" i="169"/>
  <c r="C126" i="169"/>
  <c r="C127" i="169"/>
  <c r="C128" i="169"/>
  <c r="C129" i="169"/>
  <c r="C130" i="169"/>
  <c r="C131" i="169"/>
  <c r="C132" i="169"/>
  <c r="C133" i="169"/>
  <c r="C134" i="169"/>
  <c r="C135" i="169"/>
  <c r="C136" i="169"/>
  <c r="C137" i="169"/>
  <c r="C138" i="169"/>
  <c r="C139" i="169"/>
  <c r="C140" i="169"/>
  <c r="C141" i="169"/>
  <c r="C142" i="169"/>
  <c r="C143" i="169"/>
  <c r="C144" i="169"/>
  <c r="C145" i="169"/>
  <c r="C146" i="169"/>
  <c r="C147" i="169"/>
  <c r="C148" i="169"/>
  <c r="C149" i="169"/>
  <c r="C150" i="169"/>
  <c r="C151" i="169"/>
  <c r="C152" i="169"/>
  <c r="C153" i="169"/>
  <c r="C154" i="169"/>
  <c r="C155" i="169"/>
  <c r="C156" i="169"/>
  <c r="C157" i="169"/>
  <c r="C158" i="169"/>
  <c r="M57" i="169"/>
  <c r="L57" i="169"/>
  <c r="K57" i="169"/>
  <c r="J57" i="169"/>
  <c r="I57" i="169"/>
  <c r="H57" i="169"/>
  <c r="G57" i="169"/>
  <c r="F57" i="169"/>
  <c r="CW53" i="169"/>
  <c r="CR53" i="169"/>
  <c r="CM53" i="169"/>
  <c r="CA53" i="169"/>
  <c r="AW53" i="169"/>
  <c r="AU53" i="169"/>
  <c r="AR53" i="169"/>
  <c r="AP53" i="169"/>
  <c r="AN53" i="169"/>
  <c r="AK53" i="169"/>
  <c r="AI53" i="169"/>
  <c r="AG53" i="169"/>
  <c r="AE53" i="169"/>
  <c r="AC53" i="169"/>
  <c r="AA53" i="169"/>
  <c r="W53" i="169"/>
  <c r="Q53" i="169"/>
  <c r="L53" i="169"/>
  <c r="H53" i="169"/>
  <c r="G53" i="169"/>
  <c r="F53" i="169"/>
  <c r="E53" i="169"/>
  <c r="DF51" i="169"/>
  <c r="DG51" i="169"/>
  <c r="DC51" i="169"/>
  <c r="BY51" i="169"/>
  <c r="CB51" i="169"/>
  <c r="BX51" i="169"/>
  <c r="DF44" i="169"/>
  <c r="DG44" i="169"/>
  <c r="DC44" i="169"/>
  <c r="BY44" i="169"/>
  <c r="CB44" i="169"/>
  <c r="BX44" i="169"/>
  <c r="DF43" i="169"/>
  <c r="DG43" i="169"/>
  <c r="DC43" i="169"/>
  <c r="BY43" i="169"/>
  <c r="CB43" i="169"/>
  <c r="BX43" i="169"/>
  <c r="DF42" i="169"/>
  <c r="DG42" i="169"/>
  <c r="DC42" i="169"/>
  <c r="BY42" i="169"/>
  <c r="CB42" i="169"/>
  <c r="BX42" i="169"/>
  <c r="AW41" i="169"/>
  <c r="AU41" i="169"/>
  <c r="AR41" i="169"/>
  <c r="AP41" i="169"/>
  <c r="AN41" i="169"/>
  <c r="BF40" i="169"/>
  <c r="AL40" i="169"/>
  <c r="AJ40" i="169"/>
  <c r="AH40" i="169"/>
  <c r="AF40" i="169"/>
  <c r="AR40" i="169"/>
  <c r="AP40" i="169"/>
  <c r="AN40" i="169"/>
  <c r="AS34" i="169"/>
  <c r="AS40" i="169"/>
  <c r="AQ34" i="169"/>
  <c r="AQ40" i="169" s="1"/>
  <c r="AO34" i="169"/>
  <c r="AO37" i="169"/>
  <c r="AH34" i="169"/>
  <c r="J4" i="169"/>
  <c r="CP70" i="161"/>
  <c r="C45" i="154"/>
  <c r="C28" i="154"/>
  <c r="C29" i="154"/>
  <c r="C30" i="154"/>
  <c r="C31" i="154"/>
  <c r="C32" i="154"/>
  <c r="C33" i="154"/>
  <c r="C34" i="154"/>
  <c r="C35" i="154"/>
  <c r="C36" i="154"/>
  <c r="C37" i="154"/>
  <c r="C38" i="154"/>
  <c r="C39" i="154"/>
  <c r="C40" i="154"/>
  <c r="C41" i="154"/>
  <c r="C42" i="154"/>
  <c r="C43" i="154"/>
  <c r="C27" i="154"/>
  <c r="C26" i="154"/>
  <c r="EL54" i="162"/>
  <c r="EL55" i="162"/>
  <c r="EL56" i="162"/>
  <c r="EL57" i="162"/>
  <c r="EL58" i="162"/>
  <c r="EL59" i="162"/>
  <c r="EL60" i="162"/>
  <c r="EL61" i="162"/>
  <c r="EL62" i="162"/>
  <c r="EL63" i="162"/>
  <c r="EL64" i="162"/>
  <c r="EL65" i="162"/>
  <c r="EL66" i="162"/>
  <c r="EL67" i="162"/>
  <c r="EL68" i="162"/>
  <c r="EL69" i="162"/>
  <c r="EL53" i="162"/>
  <c r="AE54" i="162"/>
  <c r="AE55" i="162"/>
  <c r="AE56" i="162"/>
  <c r="AE57" i="162"/>
  <c r="AE58" i="162"/>
  <c r="AE59" i="162"/>
  <c r="AE60" i="162"/>
  <c r="AE61" i="162"/>
  <c r="AE62" i="162"/>
  <c r="AE63" i="162"/>
  <c r="AE64" i="162"/>
  <c r="AE65" i="162"/>
  <c r="AE66" i="162"/>
  <c r="AE67" i="162"/>
  <c r="AE68" i="162"/>
  <c r="AE69" i="162"/>
  <c r="AE53" i="162"/>
  <c r="AI71" i="162"/>
  <c r="G71" i="162"/>
  <c r="P51" i="169"/>
  <c r="P42" i="169"/>
  <c r="Z43" i="169"/>
  <c r="Z51" i="169"/>
  <c r="Z49" i="169"/>
  <c r="Z44" i="169"/>
  <c r="Z42" i="169"/>
  <c r="Z45" i="169"/>
  <c r="Z46" i="169"/>
  <c r="Z47" i="169"/>
  <c r="Z48" i="169"/>
  <c r="Z50" i="169"/>
  <c r="P48" i="169"/>
  <c r="P49" i="169"/>
  <c r="P50" i="169"/>
  <c r="P43" i="169"/>
  <c r="P45" i="169"/>
  <c r="P44" i="169"/>
  <c r="P46" i="169"/>
  <c r="P47" i="169"/>
  <c r="S43" i="169"/>
  <c r="S51" i="169"/>
  <c r="S44" i="169"/>
  <c r="S42" i="169"/>
  <c r="S45" i="169"/>
  <c r="S46" i="169"/>
  <c r="S47" i="169"/>
  <c r="S48" i="169"/>
  <c r="S49" i="169"/>
  <c r="S50" i="169"/>
  <c r="K44" i="169"/>
  <c r="K42" i="169"/>
  <c r="K45" i="169"/>
  <c r="K47" i="169"/>
  <c r="K50" i="169"/>
  <c r="K43" i="169"/>
  <c r="K49" i="169"/>
  <c r="K51" i="169"/>
  <c r="K48" i="169"/>
  <c r="K46" i="169"/>
  <c r="K4" i="169"/>
  <c r="L4" i="169"/>
  <c r="M4" i="169"/>
  <c r="N4" i="169"/>
  <c r="O4" i="169"/>
  <c r="D85" i="56"/>
  <c r="BX53" i="169"/>
  <c r="DC53" i="169"/>
  <c r="E205" i="101"/>
  <c r="E204" i="101"/>
  <c r="E203" i="101"/>
  <c r="E206" i="101"/>
  <c r="AQ37" i="169"/>
  <c r="AO40" i="169"/>
  <c r="AV37" i="169"/>
  <c r="AX37" i="169"/>
  <c r="AS37" i="169"/>
  <c r="BY53" i="169"/>
  <c r="AE71" i="162"/>
  <c r="S53" i="169"/>
  <c r="P53" i="169"/>
  <c r="K53" i="169"/>
  <c r="K54" i="169"/>
  <c r="Z53" i="169"/>
  <c r="J163" i="100"/>
  <c r="W145" i="113"/>
  <c r="G197" i="113"/>
  <c r="H197" i="113"/>
  <c r="J177" i="113"/>
  <c r="K177" i="113"/>
  <c r="J178" i="113"/>
  <c r="K178" i="113"/>
  <c r="J179" i="113"/>
  <c r="K179" i="113"/>
  <c r="J180" i="113"/>
  <c r="K180" i="113"/>
  <c r="J181" i="113"/>
  <c r="K181" i="113"/>
  <c r="M181" i="113"/>
  <c r="J182" i="113"/>
  <c r="K182" i="113"/>
  <c r="J183" i="113"/>
  <c r="K183" i="113"/>
  <c r="J184" i="113"/>
  <c r="K184" i="113"/>
  <c r="J185" i="113"/>
  <c r="K185" i="113"/>
  <c r="J186" i="113"/>
  <c r="K186" i="113"/>
  <c r="J187" i="113"/>
  <c r="K187" i="113"/>
  <c r="J188" i="113"/>
  <c r="K188" i="113"/>
  <c r="J189" i="113"/>
  <c r="K189" i="113"/>
  <c r="J190" i="113"/>
  <c r="K190" i="113"/>
  <c r="J191" i="113"/>
  <c r="K191" i="113"/>
  <c r="J192" i="113"/>
  <c r="K192" i="113"/>
  <c r="J193" i="113"/>
  <c r="K193" i="113"/>
  <c r="J194" i="113"/>
  <c r="K194" i="113"/>
  <c r="J195" i="113"/>
  <c r="K195" i="113"/>
  <c r="J176" i="113"/>
  <c r="K176" i="113"/>
  <c r="O34" i="113"/>
  <c r="D175" i="165"/>
  <c r="X16" i="113"/>
  <c r="X18" i="113"/>
  <c r="X19" i="113"/>
  <c r="X20" i="113"/>
  <c r="X21" i="113"/>
  <c r="X22" i="113"/>
  <c r="X23" i="113"/>
  <c r="X24" i="113"/>
  <c r="X25" i="113"/>
  <c r="X26" i="113"/>
  <c r="X27" i="113"/>
  <c r="X28" i="113"/>
  <c r="X29" i="113"/>
  <c r="X30" i="113"/>
  <c r="X31" i="113"/>
  <c r="X32" i="113"/>
  <c r="T11" i="113"/>
  <c r="AY197" i="113"/>
  <c r="AS197" i="113"/>
  <c r="AN197" i="113"/>
  <c r="Z132" i="113"/>
  <c r="AE132" i="113"/>
  <c r="AJ132" i="113"/>
  <c r="E112" i="113"/>
  <c r="U112" i="113"/>
  <c r="F112" i="113"/>
  <c r="N112" i="113"/>
  <c r="E113" i="113"/>
  <c r="U113" i="113"/>
  <c r="F113" i="113"/>
  <c r="N113" i="113"/>
  <c r="E114" i="113"/>
  <c r="U114" i="113"/>
  <c r="F114" i="113"/>
  <c r="N114" i="113"/>
  <c r="E115" i="113"/>
  <c r="U115" i="113"/>
  <c r="F115" i="113"/>
  <c r="N115" i="113"/>
  <c r="E116" i="113"/>
  <c r="U116" i="113"/>
  <c r="F116" i="113"/>
  <c r="N116" i="113"/>
  <c r="E117" i="113"/>
  <c r="U117" i="113"/>
  <c r="F117" i="113"/>
  <c r="N117" i="113"/>
  <c r="E118" i="113"/>
  <c r="U118" i="113"/>
  <c r="F118" i="113"/>
  <c r="N118" i="113"/>
  <c r="E119" i="113"/>
  <c r="U119" i="113"/>
  <c r="F119" i="113"/>
  <c r="N119" i="113"/>
  <c r="E120" i="113"/>
  <c r="U120" i="113"/>
  <c r="F120" i="113"/>
  <c r="N120" i="113"/>
  <c r="E121" i="113"/>
  <c r="U121" i="113"/>
  <c r="F121" i="113"/>
  <c r="N121" i="113"/>
  <c r="E122" i="113"/>
  <c r="U122" i="113"/>
  <c r="F122" i="113"/>
  <c r="N122" i="113"/>
  <c r="E123" i="113"/>
  <c r="U123" i="113"/>
  <c r="F123" i="113"/>
  <c r="N123" i="113"/>
  <c r="E124" i="113"/>
  <c r="U124" i="113"/>
  <c r="F124" i="113"/>
  <c r="N124" i="113"/>
  <c r="E125" i="113"/>
  <c r="U125" i="113"/>
  <c r="F125" i="113"/>
  <c r="N125" i="113"/>
  <c r="E126" i="113"/>
  <c r="U126" i="113"/>
  <c r="F126" i="113"/>
  <c r="N126" i="113"/>
  <c r="E127" i="113"/>
  <c r="U127" i="113"/>
  <c r="F127" i="113"/>
  <c r="N127" i="113"/>
  <c r="E128" i="113"/>
  <c r="U128" i="113"/>
  <c r="F128" i="113"/>
  <c r="N128" i="113"/>
  <c r="E129" i="113"/>
  <c r="U129" i="113"/>
  <c r="F129" i="113"/>
  <c r="N129" i="113"/>
  <c r="E130" i="113"/>
  <c r="U130" i="113"/>
  <c r="F130" i="113"/>
  <c r="N130" i="113"/>
  <c r="F111" i="113"/>
  <c r="N111" i="113"/>
  <c r="F109" i="113"/>
  <c r="N109" i="113"/>
  <c r="E109" i="113"/>
  <c r="E111" i="113"/>
  <c r="U111" i="113"/>
  <c r="F132" i="113"/>
  <c r="E132" i="113"/>
  <c r="N132" i="113"/>
  <c r="P137" i="113"/>
  <c r="O137" i="113"/>
  <c r="N137" i="113"/>
  <c r="M137" i="113"/>
  <c r="L137" i="113"/>
  <c r="K137" i="113"/>
  <c r="J137" i="113"/>
  <c r="H137" i="113"/>
  <c r="H165" i="113"/>
  <c r="J165" i="113"/>
  <c r="K165" i="113"/>
  <c r="L165" i="113"/>
  <c r="M165" i="113"/>
  <c r="N165" i="113"/>
  <c r="O165" i="113"/>
  <c r="P165" i="113"/>
  <c r="F34" i="113"/>
  <c r="D168" i="165" s="1"/>
  <c r="G34" i="113"/>
  <c r="H34" i="113"/>
  <c r="I34" i="113"/>
  <c r="D169" i="165"/>
  <c r="J34" i="113"/>
  <c r="D170" i="165"/>
  <c r="Y41" i="113"/>
  <c r="X41" i="113"/>
  <c r="N47" i="113"/>
  <c r="N48" i="113"/>
  <c r="N49" i="113"/>
  <c r="N50" i="113"/>
  <c r="N51" i="113"/>
  <c r="N52" i="113"/>
  <c r="N53" i="113"/>
  <c r="N54" i="113"/>
  <c r="N55" i="113"/>
  <c r="N56" i="113"/>
  <c r="N57" i="113"/>
  <c r="N58" i="113"/>
  <c r="N59" i="113"/>
  <c r="N60" i="113"/>
  <c r="N61" i="113"/>
  <c r="N62" i="113"/>
  <c r="N63" i="113"/>
  <c r="N64" i="113"/>
  <c r="L41" i="113"/>
  <c r="R11" i="113"/>
  <c r="P11" i="113"/>
  <c r="F46" i="113"/>
  <c r="F47" i="113"/>
  <c r="V47" i="113"/>
  <c r="F48" i="113"/>
  <c r="J48" i="113"/>
  <c r="F49" i="113"/>
  <c r="J49" i="113"/>
  <c r="K49" i="113"/>
  <c r="F50" i="113"/>
  <c r="J50" i="113"/>
  <c r="K50" i="113"/>
  <c r="F51" i="113"/>
  <c r="J51" i="113"/>
  <c r="F52" i="113"/>
  <c r="J52" i="113"/>
  <c r="F53" i="113"/>
  <c r="J53" i="113"/>
  <c r="K53" i="113"/>
  <c r="F54" i="113"/>
  <c r="V54" i="113"/>
  <c r="F55" i="113"/>
  <c r="V55" i="113"/>
  <c r="F56" i="113"/>
  <c r="J56" i="113"/>
  <c r="F57" i="113"/>
  <c r="J57" i="113"/>
  <c r="K57" i="113"/>
  <c r="F58" i="113"/>
  <c r="J58" i="113"/>
  <c r="K58" i="113"/>
  <c r="F59" i="113"/>
  <c r="J59" i="113"/>
  <c r="F60" i="113"/>
  <c r="J60" i="113"/>
  <c r="F61" i="113"/>
  <c r="J61" i="113"/>
  <c r="K61" i="113"/>
  <c r="F62" i="113"/>
  <c r="V62" i="113"/>
  <c r="F63" i="113"/>
  <c r="V63" i="113"/>
  <c r="F64" i="113"/>
  <c r="J64" i="113"/>
  <c r="F45" i="113"/>
  <c r="V45" i="113" s="1"/>
  <c r="P46" i="113"/>
  <c r="P47" i="113"/>
  <c r="P48" i="113"/>
  <c r="P49" i="113"/>
  <c r="P50" i="113"/>
  <c r="P51" i="113"/>
  <c r="P52" i="113"/>
  <c r="P53" i="113"/>
  <c r="P54" i="113"/>
  <c r="P55" i="113"/>
  <c r="P56" i="113"/>
  <c r="P57" i="113"/>
  <c r="P58" i="113"/>
  <c r="P59" i="113"/>
  <c r="P60" i="113"/>
  <c r="P61" i="113"/>
  <c r="P62" i="113"/>
  <c r="P63" i="113"/>
  <c r="P64" i="113"/>
  <c r="V46" i="113"/>
  <c r="L39" i="113"/>
  <c r="L46" i="113"/>
  <c r="V58" i="113"/>
  <c r="V50" i="113"/>
  <c r="V61" i="113"/>
  <c r="V57" i="113"/>
  <c r="V56" i="113"/>
  <c r="V53" i="113"/>
  <c r="V48" i="113"/>
  <c r="V64" i="113"/>
  <c r="V59" i="113"/>
  <c r="J54" i="113"/>
  <c r="K54" i="113"/>
  <c r="V51" i="113"/>
  <c r="J46" i="113"/>
  <c r="K46" i="113"/>
  <c r="J62" i="113"/>
  <c r="K62" i="113"/>
  <c r="V49" i="113"/>
  <c r="K64" i="113"/>
  <c r="K56" i="113"/>
  <c r="K48" i="113"/>
  <c r="J63" i="113"/>
  <c r="K63" i="113"/>
  <c r="J55" i="113"/>
  <c r="K55" i="113"/>
  <c r="J47" i="113"/>
  <c r="K47" i="113"/>
  <c r="K60" i="113"/>
  <c r="K52" i="113"/>
  <c r="K59" i="113"/>
  <c r="K51" i="113"/>
  <c r="V60" i="113"/>
  <c r="V52" i="113"/>
  <c r="B149" i="165"/>
  <c r="G9" i="126"/>
  <c r="C80" i="154"/>
  <c r="C81" i="154"/>
  <c r="C82" i="154"/>
  <c r="C83" i="154"/>
  <c r="C84" i="154"/>
  <c r="C85" i="154"/>
  <c r="C86" i="154"/>
  <c r="C87" i="154"/>
  <c r="C88" i="154"/>
  <c r="C89" i="154"/>
  <c r="C90" i="154"/>
  <c r="C91" i="154"/>
  <c r="C92" i="154"/>
  <c r="C93" i="154"/>
  <c r="C94" i="154"/>
  <c r="C95" i="154"/>
  <c r="C79" i="154"/>
  <c r="C78" i="154"/>
  <c r="C60" i="154"/>
  <c r="C61" i="154"/>
  <c r="C62" i="154"/>
  <c r="C63" i="154"/>
  <c r="C64" i="154"/>
  <c r="C65" i="154"/>
  <c r="C66" i="154"/>
  <c r="C67" i="154"/>
  <c r="C68" i="154"/>
  <c r="C69" i="154"/>
  <c r="C70" i="154"/>
  <c r="C71" i="154"/>
  <c r="C72" i="154"/>
  <c r="C73" i="154"/>
  <c r="C74" i="154"/>
  <c r="C75" i="154"/>
  <c r="C59" i="154"/>
  <c r="C47" i="154"/>
  <c r="C48" i="154"/>
  <c r="C49" i="154"/>
  <c r="C50" i="154"/>
  <c r="C51" i="154"/>
  <c r="C52" i="154"/>
  <c r="C53" i="154"/>
  <c r="C54" i="154"/>
  <c r="C55" i="154"/>
  <c r="C46" i="154"/>
  <c r="B67" i="56"/>
  <c r="B66" i="56"/>
  <c r="AY121" i="109"/>
  <c r="G121" i="109"/>
  <c r="E121" i="109"/>
  <c r="AT119" i="109"/>
  <c r="AP119" i="109"/>
  <c r="H119" i="109"/>
  <c r="BA118" i="109"/>
  <c r="AT118" i="109"/>
  <c r="AP118" i="109"/>
  <c r="H118" i="109"/>
  <c r="BA117" i="109"/>
  <c r="AT117" i="109"/>
  <c r="AP117" i="109"/>
  <c r="H117" i="109"/>
  <c r="AT116" i="109"/>
  <c r="AP116" i="109"/>
  <c r="H116" i="109"/>
  <c r="AT115" i="109"/>
  <c r="AP115" i="109"/>
  <c r="H115" i="109"/>
  <c r="AT114" i="109"/>
  <c r="AP114" i="109"/>
  <c r="H114" i="109"/>
  <c r="BA113" i="109"/>
  <c r="AT113" i="109"/>
  <c r="AP113" i="109"/>
  <c r="H113" i="109"/>
  <c r="BA112" i="109"/>
  <c r="AT112" i="109"/>
  <c r="AP112" i="109"/>
  <c r="H112" i="109"/>
  <c r="BA111" i="109"/>
  <c r="W111" i="109"/>
  <c r="Y111" i="109" s="1"/>
  <c r="AT111" i="109"/>
  <c r="AP111" i="109"/>
  <c r="H111" i="109"/>
  <c r="C111" i="109"/>
  <c r="C112" i="109"/>
  <c r="C113" i="109"/>
  <c r="C114" i="109"/>
  <c r="C115" i="109"/>
  <c r="C116" i="109"/>
  <c r="C117" i="109"/>
  <c r="C118" i="109"/>
  <c r="C119" i="109"/>
  <c r="AT110" i="109"/>
  <c r="AP110" i="109"/>
  <c r="H110" i="109"/>
  <c r="AV103" i="109"/>
  <c r="AU103" i="109"/>
  <c r="CP99" i="109"/>
  <c r="AX99" i="109"/>
  <c r="AU99" i="109"/>
  <c r="D117" i="165"/>
  <c r="AS99" i="109"/>
  <c r="D116" i="165"/>
  <c r="AQ99" i="109"/>
  <c r="D115" i="165"/>
  <c r="AF99" i="109"/>
  <c r="W99" i="109"/>
  <c r="N99" i="109"/>
  <c r="L99" i="109"/>
  <c r="J99" i="109"/>
  <c r="D111" i="165"/>
  <c r="H99" i="109"/>
  <c r="D109" i="165"/>
  <c r="E99" i="109"/>
  <c r="D106" i="165"/>
  <c r="CJ97" i="109"/>
  <c r="CK97" i="109"/>
  <c r="O97" i="109"/>
  <c r="AC97" i="109"/>
  <c r="CR96" i="109"/>
  <c r="CJ96" i="109"/>
  <c r="CK96" i="109"/>
  <c r="O96" i="109"/>
  <c r="AC96" i="109"/>
  <c r="CR95" i="109"/>
  <c r="CJ95" i="109"/>
  <c r="CK95" i="109"/>
  <c r="O95" i="109"/>
  <c r="M95" i="109"/>
  <c r="AC95" i="109"/>
  <c r="CR94" i="109"/>
  <c r="CJ94" i="109"/>
  <c r="CK94" i="109"/>
  <c r="O94" i="109"/>
  <c r="AC94" i="109"/>
  <c r="CR93" i="109"/>
  <c r="CJ93" i="109"/>
  <c r="CK93" i="109"/>
  <c r="O93" i="109"/>
  <c r="CR92" i="109"/>
  <c r="CJ92" i="109"/>
  <c r="CK92" i="109"/>
  <c r="O92" i="109"/>
  <c r="M92" i="109"/>
  <c r="CR91" i="109"/>
  <c r="CJ91" i="109"/>
  <c r="O91" i="109"/>
  <c r="CR90" i="109"/>
  <c r="CJ90" i="109"/>
  <c r="CK90" i="109"/>
  <c r="O90" i="109"/>
  <c r="CR89" i="109"/>
  <c r="CJ89" i="109"/>
  <c r="CK89" i="109"/>
  <c r="O89" i="109"/>
  <c r="CR88" i="109"/>
  <c r="CJ88" i="109"/>
  <c r="CK88" i="109"/>
  <c r="O88" i="109"/>
  <c r="AC88" i="109"/>
  <c r="CR87" i="109"/>
  <c r="CJ87" i="109"/>
  <c r="CK87" i="109"/>
  <c r="O87" i="109"/>
  <c r="AC87" i="109"/>
  <c r="CR86" i="109"/>
  <c r="CJ86" i="109"/>
  <c r="CK86" i="109"/>
  <c r="O86" i="109"/>
  <c r="AC86" i="109"/>
  <c r="CR85" i="109"/>
  <c r="CJ85" i="109"/>
  <c r="CK85" i="109"/>
  <c r="O85" i="109"/>
  <c r="CR84" i="109"/>
  <c r="CJ84" i="109"/>
  <c r="CK84" i="109"/>
  <c r="O84" i="109"/>
  <c r="M84" i="109"/>
  <c r="CR83" i="109"/>
  <c r="CJ83" i="109"/>
  <c r="CK83" i="109"/>
  <c r="O83" i="109"/>
  <c r="AC83" i="109"/>
  <c r="CR82" i="109"/>
  <c r="CJ82" i="109"/>
  <c r="CK82" i="109"/>
  <c r="BM82" i="109"/>
  <c r="O82" i="109"/>
  <c r="M82" i="109"/>
  <c r="C82" i="109"/>
  <c r="C83" i="109"/>
  <c r="C84" i="109"/>
  <c r="C85" i="109"/>
  <c r="C86" i="109"/>
  <c r="C87" i="109"/>
  <c r="C88" i="109"/>
  <c r="C89" i="109"/>
  <c r="C90" i="109"/>
  <c r="C91" i="109"/>
  <c r="C92" i="109"/>
  <c r="C93" i="109"/>
  <c r="C94" i="109"/>
  <c r="C95" i="109"/>
  <c r="C96" i="109"/>
  <c r="C97" i="109"/>
  <c r="CJ81" i="109"/>
  <c r="CK81" i="109"/>
  <c r="AC81" i="109"/>
  <c r="AG81" i="109"/>
  <c r="O81" i="109"/>
  <c r="M81" i="109"/>
  <c r="CM74" i="109"/>
  <c r="CL74" i="109"/>
  <c r="CK91" i="109"/>
  <c r="BE83" i="109"/>
  <c r="BE84" i="109"/>
  <c r="BE85" i="109"/>
  <c r="BE93" i="109"/>
  <c r="BE87" i="109"/>
  <c r="BE86" i="109"/>
  <c r="BE94" i="109"/>
  <c r="BE95" i="109"/>
  <c r="BE90" i="109"/>
  <c r="BE92" i="109"/>
  <c r="BE88" i="109"/>
  <c r="BE96" i="109"/>
  <c r="BE89" i="109"/>
  <c r="BE97" i="109"/>
  <c r="BE82" i="109"/>
  <c r="BE91" i="109"/>
  <c r="M97" i="109"/>
  <c r="M83" i="109"/>
  <c r="AC92" i="109"/>
  <c r="M90" i="109"/>
  <c r="M88" i="109"/>
  <c r="AG88" i="109"/>
  <c r="AC84" i="109"/>
  <c r="AG84" i="109"/>
  <c r="M89" i="109"/>
  <c r="AC90" i="109"/>
  <c r="M94" i="109"/>
  <c r="M96" i="109"/>
  <c r="AJ121" i="109"/>
  <c r="M87" i="109"/>
  <c r="AC89" i="109"/>
  <c r="AG89" i="109"/>
  <c r="D66" i="56"/>
  <c r="M86" i="109"/>
  <c r="D67" i="56"/>
  <c r="D122" i="165"/>
  <c r="AG97" i="109"/>
  <c r="AG95" i="109"/>
  <c r="AG96" i="109"/>
  <c r="AG86" i="109"/>
  <c r="AG94" i="109"/>
  <c r="AG83" i="109"/>
  <c r="AE121" i="109"/>
  <c r="H121" i="109"/>
  <c r="D123" i="165"/>
  <c r="AP121" i="109"/>
  <c r="D125" i="165"/>
  <c r="Z121" i="109"/>
  <c r="D126" i="165"/>
  <c r="AG87" i="109"/>
  <c r="AC91" i="109"/>
  <c r="M91" i="109"/>
  <c r="BQ99" i="109"/>
  <c r="D120" i="165"/>
  <c r="F99" i="109"/>
  <c r="D107" i="165"/>
  <c r="O99" i="109"/>
  <c r="M85" i="109"/>
  <c r="M93" i="109"/>
  <c r="AC85" i="109"/>
  <c r="AC93" i="109"/>
  <c r="AG93" i="109"/>
  <c r="AC82" i="109"/>
  <c r="AG82" i="109"/>
  <c r="AG92" i="109"/>
  <c r="AG90" i="109"/>
  <c r="X99" i="109"/>
  <c r="D112" i="165"/>
  <c r="M99" i="109"/>
  <c r="BV99" i="109"/>
  <c r="D108" i="165"/>
  <c r="D110" i="165"/>
  <c r="CG99" i="109"/>
  <c r="D119" i="165"/>
  <c r="AG91" i="109"/>
  <c r="BE99" i="109"/>
  <c r="D118" i="165"/>
  <c r="AG85" i="109"/>
  <c r="O121" i="109"/>
  <c r="D124" i="165"/>
  <c r="BA114" i="109"/>
  <c r="CA99" i="109"/>
  <c r="AC99" i="109"/>
  <c r="AG99" i="109"/>
  <c r="D114" i="165"/>
  <c r="D113" i="165"/>
  <c r="BA115" i="109"/>
  <c r="BA116" i="109"/>
  <c r="B75" i="56"/>
  <c r="D130" i="113"/>
  <c r="EY71" i="162"/>
  <c r="EF71" i="162"/>
  <c r="EA71" i="162"/>
  <c r="DV71" i="162"/>
  <c r="D165" i="165"/>
  <c r="DA71" i="162"/>
  <c r="CX71" i="162"/>
  <c r="D162" i="165"/>
  <c r="CV71" i="162"/>
  <c r="D161" i="165"/>
  <c r="CT71" i="162"/>
  <c r="D160" i="165"/>
  <c r="CF71" i="162"/>
  <c r="BQ71" i="162"/>
  <c r="AY71" i="162"/>
  <c r="E71" i="162"/>
  <c r="ES69" i="162"/>
  <c r="EU46" i="162"/>
  <c r="EU63" i="162" s="1"/>
  <c r="EO69" i="162"/>
  <c r="EP69" i="162"/>
  <c r="BX69" i="162"/>
  <c r="BW69" i="162"/>
  <c r="FA68" i="162"/>
  <c r="ES68" i="162"/>
  <c r="EU68" i="162"/>
  <c r="EO68" i="162"/>
  <c r="EP68" i="162"/>
  <c r="BX68" i="162"/>
  <c r="BW68" i="162"/>
  <c r="FA67" i="162"/>
  <c r="ES67" i="162"/>
  <c r="EO67" i="162"/>
  <c r="EP67" i="162"/>
  <c r="BX67" i="162"/>
  <c r="BZ67" i="162" s="1"/>
  <c r="CA67" i="162" s="1"/>
  <c r="BW67" i="162"/>
  <c r="FA66" i="162"/>
  <c r="ES66" i="162"/>
  <c r="EO66" i="162"/>
  <c r="EP66" i="162"/>
  <c r="BX66" i="162"/>
  <c r="BW66" i="162"/>
  <c r="BZ66" i="162" s="1"/>
  <c r="CA66" i="162" s="1"/>
  <c r="FA65" i="162"/>
  <c r="ES65" i="162"/>
  <c r="EO65" i="162"/>
  <c r="EP65" i="162"/>
  <c r="BX65" i="162"/>
  <c r="BW65" i="162"/>
  <c r="FA64" i="162"/>
  <c r="ES64" i="162"/>
  <c r="EO64" i="162"/>
  <c r="EP64" i="162"/>
  <c r="BX64" i="162"/>
  <c r="BW64" i="162"/>
  <c r="FA63" i="162"/>
  <c r="ES63" i="162"/>
  <c r="EO63" i="162"/>
  <c r="EP63" i="162"/>
  <c r="BX63" i="162"/>
  <c r="BW63" i="162"/>
  <c r="FA62" i="162"/>
  <c r="ES62" i="162"/>
  <c r="EU62" i="162"/>
  <c r="EO62" i="162"/>
  <c r="EP62" i="162"/>
  <c r="BX62" i="162"/>
  <c r="BW62" i="162"/>
  <c r="FA61" i="162"/>
  <c r="ES61" i="162"/>
  <c r="EO61" i="162"/>
  <c r="EP61" i="162"/>
  <c r="BX61" i="162"/>
  <c r="BW61" i="162"/>
  <c r="FA60" i="162"/>
  <c r="ES60" i="162"/>
  <c r="EU60" i="162"/>
  <c r="EO60" i="162"/>
  <c r="EP60" i="162"/>
  <c r="BX60" i="162"/>
  <c r="BW60" i="162"/>
  <c r="FA59" i="162"/>
  <c r="ES59" i="162"/>
  <c r="EO59" i="162"/>
  <c r="EP59" i="162"/>
  <c r="BX59" i="162"/>
  <c r="BW59" i="162"/>
  <c r="FA58" i="162"/>
  <c r="ES58" i="162"/>
  <c r="EO58" i="162"/>
  <c r="EP58" i="162"/>
  <c r="BX58" i="162"/>
  <c r="BW58" i="162"/>
  <c r="BZ58" i="162" s="1"/>
  <c r="CA58" i="162" s="1"/>
  <c r="FA57" i="162"/>
  <c r="ES57" i="162"/>
  <c r="EO57" i="162"/>
  <c r="EP57" i="162"/>
  <c r="BX57" i="162"/>
  <c r="BW57" i="162"/>
  <c r="FA56" i="162"/>
  <c r="ES56" i="162"/>
  <c r="EO56" i="162"/>
  <c r="EP56" i="162"/>
  <c r="BX56" i="162"/>
  <c r="BW56" i="162"/>
  <c r="FA55" i="162"/>
  <c r="ES55" i="162"/>
  <c r="EO55" i="162"/>
  <c r="EP55" i="162"/>
  <c r="BX55" i="162"/>
  <c r="BW55" i="162"/>
  <c r="ES54" i="162"/>
  <c r="EO54" i="162"/>
  <c r="EP54" i="162"/>
  <c r="DR54" i="162"/>
  <c r="DT54" i="162"/>
  <c r="C54" i="162"/>
  <c r="C55" i="162"/>
  <c r="C56" i="162"/>
  <c r="C57" i="162"/>
  <c r="C58" i="162"/>
  <c r="C59" i="162"/>
  <c r="C60" i="162"/>
  <c r="C61" i="162"/>
  <c r="C62" i="162"/>
  <c r="C63" i="162"/>
  <c r="C64" i="162"/>
  <c r="C65" i="162"/>
  <c r="C66" i="162"/>
  <c r="C67" i="162"/>
  <c r="C68" i="162"/>
  <c r="C69" i="162"/>
  <c r="ES53" i="162"/>
  <c r="EO53" i="162"/>
  <c r="EP53" i="162"/>
  <c r="CQ52" i="162"/>
  <c r="BX52" i="162"/>
  <c r="AC52" i="162"/>
  <c r="B128" i="165"/>
  <c r="B71" i="56"/>
  <c r="C58" i="154"/>
  <c r="ES71" i="162"/>
  <c r="D150" i="165"/>
  <c r="D75" i="56"/>
  <c r="EL70" i="161"/>
  <c r="EG70" i="161"/>
  <c r="DS70" i="161"/>
  <c r="DN70" i="161"/>
  <c r="DI70" i="161"/>
  <c r="D147" i="165"/>
  <c r="CH70" i="161"/>
  <c r="CE70" i="161"/>
  <c r="D144" i="165"/>
  <c r="CC70" i="161"/>
  <c r="D143" i="165"/>
  <c r="CA70" i="161"/>
  <c r="D142" i="165"/>
  <c r="BP70" i="161"/>
  <c r="BA70" i="161"/>
  <c r="AJ70" i="161"/>
  <c r="O70" i="161"/>
  <c r="M70" i="161"/>
  <c r="D131" i="165"/>
  <c r="K70" i="161"/>
  <c r="D134" i="165"/>
  <c r="I70" i="161"/>
  <c r="D132" i="165"/>
  <c r="E70" i="161"/>
  <c r="EF68" i="161"/>
  <c r="EB68" i="161"/>
  <c r="EC68" i="161"/>
  <c r="BH68" i="161"/>
  <c r="BG68" i="161"/>
  <c r="P68" i="161"/>
  <c r="G68" i="161"/>
  <c r="EN67" i="161"/>
  <c r="EF67" i="161"/>
  <c r="EB67" i="161"/>
  <c r="EC67" i="161"/>
  <c r="BH67" i="161"/>
  <c r="BG67" i="161"/>
  <c r="P67" i="161"/>
  <c r="G67" i="161"/>
  <c r="EN66" i="161"/>
  <c r="EF66" i="161"/>
  <c r="EB66" i="161"/>
  <c r="EC66" i="161"/>
  <c r="BH66" i="161"/>
  <c r="BG66" i="161"/>
  <c r="P66" i="161"/>
  <c r="G66" i="161"/>
  <c r="EN65" i="161"/>
  <c r="EF65" i="161"/>
  <c r="EB65" i="161"/>
  <c r="EC65" i="161"/>
  <c r="BH65" i="161"/>
  <c r="BG65" i="161"/>
  <c r="P65" i="161"/>
  <c r="G65" i="161"/>
  <c r="EN64" i="161"/>
  <c r="EF64" i="161"/>
  <c r="EB64" i="161"/>
  <c r="EC64" i="161"/>
  <c r="BH64" i="161"/>
  <c r="BG64" i="161"/>
  <c r="P64" i="161"/>
  <c r="G64" i="161"/>
  <c r="EN63" i="161"/>
  <c r="EF63" i="161"/>
  <c r="EB63" i="161"/>
  <c r="EC63" i="161"/>
  <c r="BH63" i="161"/>
  <c r="BG63" i="161"/>
  <c r="P63" i="161"/>
  <c r="G63" i="161"/>
  <c r="CM63" i="161"/>
  <c r="CO63" i="161"/>
  <c r="CQ63" i="161"/>
  <c r="EN62" i="161"/>
  <c r="EF62" i="161"/>
  <c r="EB62" i="161"/>
  <c r="EC62" i="161"/>
  <c r="BH62" i="161"/>
  <c r="BG62" i="161"/>
  <c r="BJ62" i="161" s="1"/>
  <c r="BK62" i="161" s="1"/>
  <c r="P62" i="161"/>
  <c r="G62" i="161"/>
  <c r="EN61" i="161"/>
  <c r="EF61" i="161"/>
  <c r="EB61" i="161"/>
  <c r="EC61" i="161"/>
  <c r="BH61" i="161"/>
  <c r="BG61" i="161"/>
  <c r="BJ61" i="161" s="1"/>
  <c r="P61" i="161"/>
  <c r="G61" i="161"/>
  <c r="EN60" i="161"/>
  <c r="EF60" i="161"/>
  <c r="EB60" i="161"/>
  <c r="EC60" i="161"/>
  <c r="BH60" i="161"/>
  <c r="BG60" i="161"/>
  <c r="BJ60" i="161" s="1"/>
  <c r="P60" i="161"/>
  <c r="G60" i="161"/>
  <c r="EN59" i="161"/>
  <c r="EF59" i="161"/>
  <c r="EB59" i="161"/>
  <c r="EC59" i="161"/>
  <c r="BH59" i="161"/>
  <c r="BG59" i="161"/>
  <c r="BJ59" i="161" s="1"/>
  <c r="P59" i="161"/>
  <c r="G59" i="161"/>
  <c r="EN58" i="161"/>
  <c r="EF58" i="161"/>
  <c r="EB58" i="161"/>
  <c r="EC58" i="161"/>
  <c r="BH58" i="161"/>
  <c r="BG58" i="161"/>
  <c r="BJ58" i="161" s="1"/>
  <c r="BK58" i="161" s="1"/>
  <c r="P58" i="161"/>
  <c r="G58" i="161"/>
  <c r="EN57" i="161"/>
  <c r="EF57" i="161"/>
  <c r="EB57" i="161"/>
  <c r="EC57" i="161"/>
  <c r="BH57" i="161"/>
  <c r="BG57" i="161"/>
  <c r="BJ57" i="161" s="1"/>
  <c r="BK57" i="161" s="1"/>
  <c r="P57" i="161"/>
  <c r="G57" i="161"/>
  <c r="EN56" i="161"/>
  <c r="EF56" i="161"/>
  <c r="EB56" i="161"/>
  <c r="EC56" i="161"/>
  <c r="BH56" i="161"/>
  <c r="BG56" i="161"/>
  <c r="BJ56" i="161" s="1"/>
  <c r="P56" i="161"/>
  <c r="G56" i="161"/>
  <c r="EN55" i="161"/>
  <c r="EF55" i="161"/>
  <c r="EB55" i="161"/>
  <c r="EC55" i="161"/>
  <c r="BH55" i="161"/>
  <c r="BG55" i="161"/>
  <c r="BJ55" i="161" s="1"/>
  <c r="P55" i="161"/>
  <c r="G55" i="161"/>
  <c r="EN54" i="161"/>
  <c r="EF54" i="161"/>
  <c r="EB54" i="161"/>
  <c r="EC54" i="161"/>
  <c r="BH54" i="161"/>
  <c r="BG54" i="161"/>
  <c r="BJ54" i="161" s="1"/>
  <c r="P54" i="161"/>
  <c r="G54" i="161"/>
  <c r="EN53" i="161"/>
  <c r="EF53" i="161"/>
  <c r="EB53" i="161"/>
  <c r="EC53" i="161"/>
  <c r="DE53" i="161"/>
  <c r="P53" i="161"/>
  <c r="G53" i="161"/>
  <c r="C53" i="161"/>
  <c r="C54" i="161"/>
  <c r="C55" i="161"/>
  <c r="C56" i="161"/>
  <c r="C57" i="161"/>
  <c r="C58" i="161"/>
  <c r="C59" i="161"/>
  <c r="C60" i="161"/>
  <c r="C61" i="161"/>
  <c r="C62" i="161"/>
  <c r="C63" i="161"/>
  <c r="C64" i="161"/>
  <c r="C65" i="161"/>
  <c r="C66" i="161"/>
  <c r="C67" i="161"/>
  <c r="C68" i="161"/>
  <c r="EF52" i="161"/>
  <c r="EB52" i="161"/>
  <c r="EC52" i="161" s="1"/>
  <c r="AL50" i="161"/>
  <c r="EE44" i="161"/>
  <c r="ED44" i="161"/>
  <c r="DW44" i="109"/>
  <c r="DX44" i="109"/>
  <c r="G52" i="109"/>
  <c r="N52" i="109"/>
  <c r="P52" i="109"/>
  <c r="DU52" i="109"/>
  <c r="DV52" i="109"/>
  <c r="DY52" i="109"/>
  <c r="C53" i="109"/>
  <c r="C54" i="109"/>
  <c r="C55" i="109"/>
  <c r="C56" i="109"/>
  <c r="C57" i="109"/>
  <c r="C58" i="109"/>
  <c r="C59" i="109"/>
  <c r="C60" i="109"/>
  <c r="C61" i="109"/>
  <c r="C62" i="109"/>
  <c r="C63" i="109"/>
  <c r="C64" i="109"/>
  <c r="C65" i="109"/>
  <c r="C66" i="109"/>
  <c r="C67" i="109"/>
  <c r="C68" i="109"/>
  <c r="G53" i="109"/>
  <c r="P53" i="109"/>
  <c r="CX53" i="109"/>
  <c r="DU53" i="109"/>
  <c r="DV53" i="109"/>
  <c r="DY53" i="109"/>
  <c r="G54" i="109"/>
  <c r="P54" i="109"/>
  <c r="BH54" i="109"/>
  <c r="DU54" i="109"/>
  <c r="DV54" i="109"/>
  <c r="DY54" i="109"/>
  <c r="G55" i="109"/>
  <c r="P55" i="109"/>
  <c r="BG55" i="109"/>
  <c r="BH55" i="109"/>
  <c r="DU55" i="109"/>
  <c r="DV55" i="109"/>
  <c r="DY55" i="109"/>
  <c r="G56" i="109"/>
  <c r="P56" i="109"/>
  <c r="BG56" i="109"/>
  <c r="BH56" i="109"/>
  <c r="DU56" i="109"/>
  <c r="DV56" i="109"/>
  <c r="DY56" i="109"/>
  <c r="EG56" i="109"/>
  <c r="G57" i="109"/>
  <c r="P57" i="109"/>
  <c r="BG57" i="109"/>
  <c r="BH57" i="109"/>
  <c r="DU57" i="109"/>
  <c r="DV57" i="109"/>
  <c r="DY57" i="109"/>
  <c r="EG57" i="109"/>
  <c r="G58" i="109"/>
  <c r="P58" i="109"/>
  <c r="BG58" i="109"/>
  <c r="BH58" i="109"/>
  <c r="DU58" i="109"/>
  <c r="DV58" i="109"/>
  <c r="DY58" i="109"/>
  <c r="EG58" i="109"/>
  <c r="G59" i="109"/>
  <c r="N59" i="109"/>
  <c r="P59" i="109"/>
  <c r="BG59" i="109"/>
  <c r="BH59" i="109"/>
  <c r="DU59" i="109"/>
  <c r="DV59" i="109"/>
  <c r="DY59" i="109"/>
  <c r="EG59" i="109"/>
  <c r="G60" i="109"/>
  <c r="N60" i="109"/>
  <c r="P60" i="109"/>
  <c r="BG60" i="109"/>
  <c r="BH60" i="109"/>
  <c r="DU60" i="109"/>
  <c r="DV60" i="109"/>
  <c r="DY60" i="109"/>
  <c r="EG60" i="109"/>
  <c r="G61" i="109"/>
  <c r="P61" i="109"/>
  <c r="BG61" i="109"/>
  <c r="BH61" i="109"/>
  <c r="DU61" i="109"/>
  <c r="DV61" i="109"/>
  <c r="DY61" i="109"/>
  <c r="EG61" i="109"/>
  <c r="G62" i="109"/>
  <c r="P62" i="109"/>
  <c r="BG62" i="109"/>
  <c r="BH62" i="109"/>
  <c r="DU62" i="109"/>
  <c r="DV62" i="109"/>
  <c r="DY62" i="109"/>
  <c r="EG62" i="109"/>
  <c r="G63" i="109"/>
  <c r="P63" i="109"/>
  <c r="BG63" i="109"/>
  <c r="BH63" i="109"/>
  <c r="DU63" i="109"/>
  <c r="DV63" i="109"/>
  <c r="DY63" i="109"/>
  <c r="EG63" i="109"/>
  <c r="G64" i="109"/>
  <c r="P64" i="109"/>
  <c r="BG64" i="109"/>
  <c r="BH64" i="109"/>
  <c r="DU64" i="109"/>
  <c r="DV64" i="109"/>
  <c r="DY64" i="109"/>
  <c r="EG64" i="109"/>
  <c r="G65" i="109"/>
  <c r="P65" i="109"/>
  <c r="BG65" i="109"/>
  <c r="BH65" i="109"/>
  <c r="DU65" i="109"/>
  <c r="DV65" i="109"/>
  <c r="DY65" i="109"/>
  <c r="EG65" i="109"/>
  <c r="G66" i="109"/>
  <c r="N66" i="109"/>
  <c r="P66" i="109"/>
  <c r="BG66" i="109"/>
  <c r="BH66" i="109"/>
  <c r="BJ66" i="109" s="1"/>
  <c r="DU66" i="109"/>
  <c r="DV66" i="109"/>
  <c r="DY66" i="109"/>
  <c r="EG66" i="109"/>
  <c r="G67" i="109"/>
  <c r="P67" i="109"/>
  <c r="BG67" i="109"/>
  <c r="BH67" i="109"/>
  <c r="BJ67" i="109" s="1"/>
  <c r="DU67" i="109"/>
  <c r="DV67" i="109"/>
  <c r="DY67" i="109"/>
  <c r="EG67" i="109"/>
  <c r="G68" i="109"/>
  <c r="P68" i="109"/>
  <c r="BG68" i="109"/>
  <c r="BH68" i="109"/>
  <c r="BJ68" i="109" s="1"/>
  <c r="DU68" i="109"/>
  <c r="DV68" i="109"/>
  <c r="DY68" i="109"/>
  <c r="E70" i="109"/>
  <c r="I70" i="109"/>
  <c r="K70" i="109"/>
  <c r="M70" i="109"/>
  <c r="O70" i="109"/>
  <c r="AJ70" i="109"/>
  <c r="BA70" i="109"/>
  <c r="BP70" i="109"/>
  <c r="CA70" i="109"/>
  <c r="CC70" i="109"/>
  <c r="CE70" i="109"/>
  <c r="CH70" i="109"/>
  <c r="DB70" i="109"/>
  <c r="DG70" i="109"/>
  <c r="DL70" i="109"/>
  <c r="EE70" i="109"/>
  <c r="J7" i="154"/>
  <c r="I7" i="154"/>
  <c r="G7" i="154"/>
  <c r="H7" i="154"/>
  <c r="D7" i="154"/>
  <c r="C508" i="101"/>
  <c r="DR64" i="109"/>
  <c r="N64" i="109"/>
  <c r="AW65" i="109"/>
  <c r="N65" i="109"/>
  <c r="AF57" i="109"/>
  <c r="N57" i="109"/>
  <c r="AF58" i="109"/>
  <c r="N58" i="109"/>
  <c r="DY70" i="109"/>
  <c r="BL56" i="109"/>
  <c r="N56" i="109"/>
  <c r="AF53" i="109"/>
  <c r="N53" i="109"/>
  <c r="DR67" i="109"/>
  <c r="N67" i="109"/>
  <c r="AW54" i="109"/>
  <c r="N54" i="109"/>
  <c r="AW68" i="109"/>
  <c r="N68" i="109"/>
  <c r="BL61" i="109"/>
  <c r="N61" i="109"/>
  <c r="AW62" i="109"/>
  <c r="N62" i="109"/>
  <c r="AW55" i="109"/>
  <c r="N55" i="109"/>
  <c r="AF63" i="109"/>
  <c r="N63" i="109"/>
  <c r="EF70" i="161"/>
  <c r="AW56" i="109"/>
  <c r="AF67" i="109"/>
  <c r="AF61" i="109"/>
  <c r="AW61" i="109"/>
  <c r="AF64" i="109"/>
  <c r="AW67" i="109"/>
  <c r="DR56" i="109"/>
  <c r="DR61" i="109"/>
  <c r="DR55" i="109"/>
  <c r="DR54" i="109"/>
  <c r="AF56" i="109"/>
  <c r="AF57" i="161"/>
  <c r="CM57" i="161"/>
  <c r="CO57" i="161"/>
  <c r="CQ57" i="161"/>
  <c r="DY65" i="161"/>
  <c r="CM65" i="161"/>
  <c r="CO65" i="161"/>
  <c r="CQ65" i="161"/>
  <c r="AF56" i="161"/>
  <c r="CM56" i="161"/>
  <c r="CO56" i="161"/>
  <c r="CQ56" i="161"/>
  <c r="AF64" i="161"/>
  <c r="CM64" i="161"/>
  <c r="CO64" i="161"/>
  <c r="CQ64" i="161"/>
  <c r="BL55" i="161"/>
  <c r="CM55" i="161"/>
  <c r="DY58" i="161"/>
  <c r="CM58" i="161"/>
  <c r="CO58" i="161"/>
  <c r="CQ58" i="161"/>
  <c r="DY54" i="161"/>
  <c r="CM54" i="161"/>
  <c r="CO54" i="161"/>
  <c r="CQ54" i="161"/>
  <c r="AF62" i="161"/>
  <c r="CM62" i="161"/>
  <c r="CO62" i="161"/>
  <c r="CQ62" i="161"/>
  <c r="AF53" i="161"/>
  <c r="CM53" i="161"/>
  <c r="CO53" i="161"/>
  <c r="CQ53" i="161"/>
  <c r="AW61" i="161"/>
  <c r="CM61" i="161"/>
  <c r="CO61" i="161"/>
  <c r="CQ61" i="161"/>
  <c r="DY66" i="161"/>
  <c r="CM66" i="161"/>
  <c r="CO66" i="161"/>
  <c r="CQ66" i="161"/>
  <c r="N60" i="161"/>
  <c r="CM60" i="161"/>
  <c r="CO60" i="161"/>
  <c r="CQ60" i="161"/>
  <c r="DY68" i="161"/>
  <c r="CM68" i="161"/>
  <c r="CO68" i="161"/>
  <c r="CQ68" i="161"/>
  <c r="N52" i="161"/>
  <c r="CM52" i="161"/>
  <c r="CO52" i="161"/>
  <c r="BL59" i="161"/>
  <c r="CM59" i="161"/>
  <c r="CO59" i="161"/>
  <c r="CQ59" i="161"/>
  <c r="BL67" i="161"/>
  <c r="CM67" i="161"/>
  <c r="CO67" i="161"/>
  <c r="CQ67" i="161"/>
  <c r="BL62" i="109"/>
  <c r="DR58" i="109"/>
  <c r="BL58" i="109"/>
  <c r="AF54" i="109"/>
  <c r="DR53" i="109"/>
  <c r="DR62" i="109"/>
  <c r="AF62" i="109"/>
  <c r="BL64" i="109"/>
  <c r="BL67" i="109"/>
  <c r="BL53" i="109"/>
  <c r="AW64" i="109"/>
  <c r="AW58" i="109"/>
  <c r="DR57" i="109"/>
  <c r="BL54" i="109"/>
  <c r="AW53" i="109"/>
  <c r="AF55" i="109"/>
  <c r="AW58" i="161"/>
  <c r="AF55" i="161"/>
  <c r="AF52" i="161"/>
  <c r="BL52" i="161"/>
  <c r="AF58" i="161"/>
  <c r="AF65" i="161"/>
  <c r="AW52" i="161"/>
  <c r="AW68" i="161"/>
  <c r="N62" i="161"/>
  <c r="DY52" i="161"/>
  <c r="DY61" i="161"/>
  <c r="N55" i="161"/>
  <c r="AF59" i="161"/>
  <c r="AW54" i="161"/>
  <c r="AF68" i="161"/>
  <c r="AW56" i="161"/>
  <c r="DY56" i="161"/>
  <c r="AF60" i="161"/>
  <c r="AW64" i="161"/>
  <c r="N66" i="161"/>
  <c r="AW60" i="161"/>
  <c r="DY60" i="161"/>
  <c r="BL62" i="161"/>
  <c r="AF67" i="161"/>
  <c r="D71" i="56"/>
  <c r="D129" i="165"/>
  <c r="P70" i="161"/>
  <c r="D133" i="165"/>
  <c r="BL61" i="161"/>
  <c r="AF66" i="161"/>
  <c r="BL56" i="161"/>
  <c r="AW66" i="161"/>
  <c r="BL60" i="161"/>
  <c r="N56" i="161"/>
  <c r="N61" i="161"/>
  <c r="N64" i="161"/>
  <c r="BL66" i="161"/>
  <c r="P70" i="109"/>
  <c r="EL71" i="162"/>
  <c r="D164" i="165"/>
  <c r="AU71" i="162"/>
  <c r="D154" i="165"/>
  <c r="CB71" i="162"/>
  <c r="D158" i="165"/>
  <c r="BM71" i="162"/>
  <c r="D156" i="165"/>
  <c r="AF54" i="161"/>
  <c r="G70" i="161"/>
  <c r="D130" i="165"/>
  <c r="AW53" i="161"/>
  <c r="AW55" i="161"/>
  <c r="AF63" i="161"/>
  <c r="DY63" i="161"/>
  <c r="BL63" i="161"/>
  <c r="N63" i="161"/>
  <c r="AW63" i="161"/>
  <c r="BL53" i="161"/>
  <c r="DY53" i="161"/>
  <c r="N54" i="161"/>
  <c r="BL54" i="161"/>
  <c r="N53" i="161"/>
  <c r="DY55" i="161"/>
  <c r="DY57" i="161"/>
  <c r="BL57" i="161"/>
  <c r="N57" i="161"/>
  <c r="AW57" i="161"/>
  <c r="DY59" i="161"/>
  <c r="AW62" i="161"/>
  <c r="DY67" i="161"/>
  <c r="N68" i="161"/>
  <c r="BL68" i="161"/>
  <c r="DY62" i="161"/>
  <c r="AW65" i="161"/>
  <c r="AF61" i="161"/>
  <c r="BL64" i="161"/>
  <c r="AW59" i="161"/>
  <c r="DY64" i="161"/>
  <c r="N65" i="161"/>
  <c r="BL65" i="161"/>
  <c r="AW67" i="161"/>
  <c r="N58" i="161"/>
  <c r="BL58" i="161"/>
  <c r="N59" i="161"/>
  <c r="N67" i="161"/>
  <c r="BL52" i="109"/>
  <c r="DR52" i="109"/>
  <c r="AF52" i="109"/>
  <c r="AW66" i="109"/>
  <c r="BL60" i="109"/>
  <c r="DR60" i="109"/>
  <c r="AF60" i="109"/>
  <c r="BL59" i="109"/>
  <c r="AF68" i="109"/>
  <c r="DR68" i="109"/>
  <c r="AF66" i="109"/>
  <c r="AW52" i="109"/>
  <c r="G70" i="109"/>
  <c r="BL68" i="109"/>
  <c r="DR65" i="109"/>
  <c r="AW60" i="109"/>
  <c r="DR66" i="109"/>
  <c r="AF65" i="109"/>
  <c r="BL65" i="109"/>
  <c r="DR59" i="109"/>
  <c r="AF59" i="109"/>
  <c r="AW59" i="109"/>
  <c r="BL66" i="109"/>
  <c r="AW63" i="109"/>
  <c r="BL63" i="109"/>
  <c r="DR63" i="109"/>
  <c r="BL57" i="109"/>
  <c r="AW57" i="109"/>
  <c r="BL55" i="109"/>
  <c r="CQ52" i="161"/>
  <c r="CM70" i="161"/>
  <c r="CO55" i="161"/>
  <c r="CQ55" i="161"/>
  <c r="DY70" i="161"/>
  <c r="D146" i="165"/>
  <c r="AF70" i="161"/>
  <c r="D136" i="165"/>
  <c r="N70" i="161"/>
  <c r="BL70" i="161"/>
  <c r="D140" i="165"/>
  <c r="AW70" i="161"/>
  <c r="D138" i="165"/>
  <c r="N70" i="109"/>
  <c r="AF70" i="109"/>
  <c r="DR70" i="109"/>
  <c r="AW70" i="109"/>
  <c r="BL70" i="109"/>
  <c r="N34" i="113"/>
  <c r="AB165" i="113"/>
  <c r="F145" i="113"/>
  <c r="F146" i="113"/>
  <c r="F147" i="113"/>
  <c r="F148" i="113"/>
  <c r="F149" i="113"/>
  <c r="F150" i="113"/>
  <c r="F151" i="113"/>
  <c r="F152" i="113"/>
  <c r="F153" i="113"/>
  <c r="F154" i="113"/>
  <c r="F155" i="113"/>
  <c r="F156" i="113"/>
  <c r="F157" i="113"/>
  <c r="F158" i="113"/>
  <c r="F159" i="113"/>
  <c r="F160" i="113"/>
  <c r="F161" i="113"/>
  <c r="F162" i="113"/>
  <c r="F163" i="113"/>
  <c r="F144" i="113"/>
  <c r="AA144" i="113"/>
  <c r="AB144" i="113"/>
  <c r="AE158" i="113"/>
  <c r="AZ158" i="113"/>
  <c r="AE163" i="113"/>
  <c r="AZ163" i="113"/>
  <c r="AE160" i="113"/>
  <c r="AZ160" i="113"/>
  <c r="AE159" i="113"/>
  <c r="AZ159" i="113"/>
  <c r="AE162" i="113"/>
  <c r="AZ162" i="113"/>
  <c r="AE161" i="113"/>
  <c r="AZ161" i="113"/>
  <c r="AE157" i="113"/>
  <c r="AZ157" i="113"/>
  <c r="AE155" i="113"/>
  <c r="AZ155" i="113"/>
  <c r="AE154" i="113"/>
  <c r="AZ154" i="113"/>
  <c r="AE156" i="113"/>
  <c r="AZ156" i="113"/>
  <c r="AE151" i="113"/>
  <c r="AZ151" i="113"/>
  <c r="AE150" i="113"/>
  <c r="AZ150" i="113"/>
  <c r="AE149" i="113"/>
  <c r="AZ149" i="113"/>
  <c r="AE146" i="113"/>
  <c r="AZ146" i="113"/>
  <c r="AE147" i="113"/>
  <c r="AZ147" i="113"/>
  <c r="AE153" i="113"/>
  <c r="AZ153" i="113"/>
  <c r="AE145" i="113"/>
  <c r="AZ145" i="113"/>
  <c r="AE152" i="113"/>
  <c r="AZ152" i="113"/>
  <c r="CQ70" i="161"/>
  <c r="CO70" i="161"/>
  <c r="F80" i="113"/>
  <c r="F81" i="113"/>
  <c r="F82" i="113"/>
  <c r="F83" i="113"/>
  <c r="F84" i="113"/>
  <c r="F85" i="113"/>
  <c r="F86" i="113"/>
  <c r="F87" i="113"/>
  <c r="F88" i="113"/>
  <c r="F89" i="113"/>
  <c r="F90" i="113"/>
  <c r="F91" i="113"/>
  <c r="F92" i="113"/>
  <c r="F93" i="113"/>
  <c r="F94" i="113"/>
  <c r="F95" i="113"/>
  <c r="F96" i="113"/>
  <c r="F97" i="113"/>
  <c r="F98" i="113"/>
  <c r="E79" i="113"/>
  <c r="AM79" i="113"/>
  <c r="R79" i="113"/>
  <c r="D112" i="113"/>
  <c r="D113" i="113"/>
  <c r="D114" i="113"/>
  <c r="D115" i="113"/>
  <c r="D116" i="113"/>
  <c r="D117" i="113"/>
  <c r="D118" i="113"/>
  <c r="D119" i="113"/>
  <c r="D120" i="113"/>
  <c r="D121" i="113"/>
  <c r="D122" i="113"/>
  <c r="D123" i="113"/>
  <c r="D124" i="113"/>
  <c r="D125" i="113"/>
  <c r="D126" i="113"/>
  <c r="D127" i="113"/>
  <c r="D128" i="113"/>
  <c r="D129" i="113"/>
  <c r="D111" i="113"/>
  <c r="D145" i="113"/>
  <c r="D146" i="113"/>
  <c r="D147" i="113"/>
  <c r="D148" i="113"/>
  <c r="D149" i="113"/>
  <c r="D150" i="113"/>
  <c r="D151" i="113"/>
  <c r="D152" i="113"/>
  <c r="D153" i="113"/>
  <c r="D154" i="113"/>
  <c r="D155" i="113"/>
  <c r="D156" i="113"/>
  <c r="D157" i="113"/>
  <c r="D158" i="113"/>
  <c r="D159" i="113"/>
  <c r="D160" i="113"/>
  <c r="D161" i="113"/>
  <c r="D162" i="113"/>
  <c r="D163" i="113"/>
  <c r="D144" i="113"/>
  <c r="D80" i="113"/>
  <c r="D81" i="113"/>
  <c r="D82" i="113"/>
  <c r="D83" i="113"/>
  <c r="D84" i="113"/>
  <c r="D85" i="113"/>
  <c r="D86" i="113"/>
  <c r="D87" i="113"/>
  <c r="D88" i="113"/>
  <c r="D89" i="113"/>
  <c r="D90" i="113"/>
  <c r="D91" i="113"/>
  <c r="D92" i="113"/>
  <c r="D93" i="113"/>
  <c r="D94" i="113"/>
  <c r="D95" i="113"/>
  <c r="D96" i="113"/>
  <c r="D97" i="113"/>
  <c r="D98" i="113"/>
  <c r="D79" i="113"/>
  <c r="E80" i="113"/>
  <c r="E81" i="113"/>
  <c r="E82" i="113"/>
  <c r="E83" i="113"/>
  <c r="E84" i="113"/>
  <c r="E85" i="113"/>
  <c r="E86" i="113"/>
  <c r="E87" i="113"/>
  <c r="E88" i="113"/>
  <c r="E89" i="113"/>
  <c r="E90" i="113"/>
  <c r="E91" i="113"/>
  <c r="AM91" i="113" s="1"/>
  <c r="E92" i="113"/>
  <c r="R92" i="113" s="1"/>
  <c r="E93" i="113"/>
  <c r="E94" i="113"/>
  <c r="E95" i="113"/>
  <c r="E96" i="113"/>
  <c r="E97" i="113"/>
  <c r="E98" i="113"/>
  <c r="D54" i="113"/>
  <c r="E54" i="113"/>
  <c r="D55" i="113"/>
  <c r="E55" i="113"/>
  <c r="D56" i="113"/>
  <c r="E56" i="113"/>
  <c r="D57" i="113"/>
  <c r="E57" i="113"/>
  <c r="D58" i="113"/>
  <c r="E58" i="113"/>
  <c r="D59" i="113"/>
  <c r="E59" i="113"/>
  <c r="D60" i="113"/>
  <c r="E60" i="113"/>
  <c r="D61" i="113"/>
  <c r="E61" i="113"/>
  <c r="D62" i="113"/>
  <c r="E62" i="113"/>
  <c r="D63" i="113"/>
  <c r="E63" i="113"/>
  <c r="D64" i="113"/>
  <c r="E64" i="113"/>
  <c r="D46" i="113"/>
  <c r="E46" i="113"/>
  <c r="D47" i="113"/>
  <c r="E47" i="113"/>
  <c r="D48" i="113"/>
  <c r="E48" i="113"/>
  <c r="D49" i="113"/>
  <c r="E49" i="113"/>
  <c r="D50" i="113"/>
  <c r="E50" i="113"/>
  <c r="D51" i="113"/>
  <c r="E51" i="113"/>
  <c r="D52" i="113"/>
  <c r="E52" i="113"/>
  <c r="D53" i="113"/>
  <c r="E53" i="113"/>
  <c r="D45" i="113"/>
  <c r="E45" i="113"/>
  <c r="C46" i="113"/>
  <c r="C47" i="113"/>
  <c r="C48" i="113"/>
  <c r="C49" i="113"/>
  <c r="C50" i="113"/>
  <c r="C51" i="113"/>
  <c r="C52" i="113"/>
  <c r="C53" i="113"/>
  <c r="C54" i="113"/>
  <c r="C55" i="113"/>
  <c r="C56" i="113"/>
  <c r="C57" i="113"/>
  <c r="C58" i="113"/>
  <c r="C59" i="113"/>
  <c r="C60" i="113"/>
  <c r="C61" i="113"/>
  <c r="C62" i="113"/>
  <c r="C63" i="113"/>
  <c r="C64" i="113"/>
  <c r="R82" i="113"/>
  <c r="AM82" i="113"/>
  <c r="R81" i="113"/>
  <c r="AM81" i="113"/>
  <c r="R98" i="113"/>
  <c r="AM98" i="113"/>
  <c r="R96" i="113"/>
  <c r="AM96" i="113"/>
  <c r="R88" i="113"/>
  <c r="AM88" i="113"/>
  <c r="R80" i="113"/>
  <c r="AM80" i="113"/>
  <c r="R90" i="113"/>
  <c r="AM90" i="113"/>
  <c r="R95" i="113"/>
  <c r="AM95" i="113"/>
  <c r="R87" i="113"/>
  <c r="AM87" i="113"/>
  <c r="R97" i="113"/>
  <c r="AM97" i="113"/>
  <c r="R94" i="113"/>
  <c r="AM94" i="113"/>
  <c r="R86" i="113"/>
  <c r="AM86" i="113"/>
  <c r="R91" i="113"/>
  <c r="R89" i="113"/>
  <c r="AM89" i="113"/>
  <c r="R93" i="113"/>
  <c r="AM93" i="113"/>
  <c r="R85" i="113"/>
  <c r="AM85" i="113"/>
  <c r="R83" i="113"/>
  <c r="AM83" i="113"/>
  <c r="R84" i="113"/>
  <c r="AM84" i="113"/>
  <c r="E190" i="101"/>
  <c r="J527" i="61"/>
  <c r="J528" i="61"/>
  <c r="J529" i="61"/>
  <c r="J530" i="61"/>
  <c r="J531" i="61"/>
  <c r="J532" i="61"/>
  <c r="J533" i="61"/>
  <c r="J534" i="61"/>
  <c r="J535" i="61"/>
  <c r="J536" i="61"/>
  <c r="J537" i="61"/>
  <c r="J538" i="61"/>
  <c r="J539" i="61"/>
  <c r="J540" i="61"/>
  <c r="J541" i="61"/>
  <c r="J542" i="61"/>
  <c r="J543" i="61"/>
  <c r="J544" i="61"/>
  <c r="J545" i="61"/>
  <c r="J546" i="61"/>
  <c r="J547" i="61"/>
  <c r="J548" i="61"/>
  <c r="J549" i="61"/>
  <c r="J550" i="61"/>
  <c r="J551" i="61"/>
  <c r="J552" i="61"/>
  <c r="J553" i="61"/>
  <c r="J554" i="61"/>
  <c r="J555" i="61"/>
  <c r="J556" i="61"/>
  <c r="J557" i="61"/>
  <c r="J558" i="61"/>
  <c r="J559" i="61"/>
  <c r="J560" i="61"/>
  <c r="J561" i="61"/>
  <c r="J562" i="61"/>
  <c r="J563" i="61"/>
  <c r="J564" i="61"/>
  <c r="J565" i="61"/>
  <c r="J566" i="61"/>
  <c r="J526" i="61"/>
  <c r="C535" i="101"/>
  <c r="C7" i="101"/>
  <c r="C516" i="101"/>
  <c r="C490" i="101"/>
  <c r="C482" i="101"/>
  <c r="C475" i="101"/>
  <c r="C469" i="101"/>
  <c r="C463" i="101"/>
  <c r="C449" i="101"/>
  <c r="C297" i="101"/>
  <c r="C84" i="101"/>
  <c r="C40" i="101"/>
  <c r="C51" i="149"/>
  <c r="E520" i="101"/>
  <c r="E27" i="136"/>
  <c r="Q32" i="157"/>
  <c r="R32" i="157"/>
  <c r="S32" i="157"/>
  <c r="M12" i="159"/>
  <c r="M13" i="159"/>
  <c r="M14" i="159"/>
  <c r="M15" i="159"/>
  <c r="M16" i="159"/>
  <c r="M17" i="159"/>
  <c r="M18" i="159"/>
  <c r="M19" i="159"/>
  <c r="M20" i="159"/>
  <c r="M21" i="159"/>
  <c r="M22" i="159"/>
  <c r="M23" i="159"/>
  <c r="M24" i="159"/>
  <c r="M25" i="159"/>
  <c r="M26" i="159"/>
  <c r="M27" i="159"/>
  <c r="M28" i="159"/>
  <c r="M29" i="159"/>
  <c r="M30" i="159"/>
  <c r="H445" i="61"/>
  <c r="AE64" i="160"/>
  <c r="F44" i="149"/>
  <c r="F43" i="149"/>
  <c r="B43" i="149"/>
  <c r="B44" i="149"/>
  <c r="B37" i="149"/>
  <c r="B38" i="149"/>
  <c r="B39" i="149"/>
  <c r="B40" i="149"/>
  <c r="E191" i="101"/>
  <c r="E193" i="101"/>
  <c r="E192" i="101"/>
  <c r="W87" i="100"/>
  <c r="H503" i="101"/>
  <c r="E503" i="101"/>
  <c r="J92" i="100"/>
  <c r="J104" i="100" s="1"/>
  <c r="F68" i="65"/>
  <c r="F67" i="65"/>
  <c r="F62" i="65"/>
  <c r="F63" i="65"/>
  <c r="F64" i="65"/>
  <c r="F65" i="65"/>
  <c r="F66" i="65"/>
  <c r="F61" i="65"/>
  <c r="V107" i="100"/>
  <c r="M112" i="100" s="1"/>
  <c r="V110" i="100" s="1"/>
  <c r="V113" i="100"/>
  <c r="V114" i="100"/>
  <c r="V115" i="100"/>
  <c r="V116" i="100"/>
  <c r="V117" i="100"/>
  <c r="V118" i="100"/>
  <c r="V119" i="100"/>
  <c r="V120" i="100"/>
  <c r="V121" i="100"/>
  <c r="V122" i="100"/>
  <c r="R107" i="100"/>
  <c r="S107" i="100"/>
  <c r="L13" i="160"/>
  <c r="L14" i="160"/>
  <c r="I100" i="86"/>
  <c r="J100" i="86"/>
  <c r="M71" i="86"/>
  <c r="M72" i="86"/>
  <c r="M73" i="86"/>
  <c r="M74" i="86"/>
  <c r="M75" i="86"/>
  <c r="M76" i="86"/>
  <c r="M77" i="86"/>
  <c r="M78" i="86"/>
  <c r="M79" i="86"/>
  <c r="M80" i="86"/>
  <c r="M81" i="86"/>
  <c r="M82" i="86"/>
  <c r="M83" i="86"/>
  <c r="M84" i="86"/>
  <c r="M85" i="86"/>
  <c r="M86" i="86"/>
  <c r="M87" i="86"/>
  <c r="M88" i="86"/>
  <c r="M89" i="86"/>
  <c r="M90" i="86"/>
  <c r="M91" i="86"/>
  <c r="M92" i="86"/>
  <c r="M93" i="86"/>
  <c r="M94" i="86"/>
  <c r="M95" i="86"/>
  <c r="M96" i="86"/>
  <c r="M97" i="86"/>
  <c r="M98" i="86"/>
  <c r="M100" i="86"/>
  <c r="B25" i="60"/>
  <c r="B201" i="165"/>
  <c r="B200" i="165"/>
  <c r="B199" i="165"/>
  <c r="B198" i="165"/>
  <c r="B197" i="165"/>
  <c r="B196" i="165"/>
  <c r="B194" i="165"/>
  <c r="B192" i="165"/>
  <c r="B191" i="165"/>
  <c r="B190" i="165"/>
  <c r="B189" i="165"/>
  <c r="B188" i="165"/>
  <c r="B187" i="165"/>
  <c r="B186" i="165"/>
  <c r="B185" i="165"/>
  <c r="B148" i="165"/>
  <c r="B127" i="165"/>
  <c r="B70" i="165"/>
  <c r="B69" i="165"/>
  <c r="B68" i="165"/>
  <c r="B31" i="165"/>
  <c r="B29" i="165"/>
  <c r="B24" i="165"/>
  <c r="B28" i="165"/>
  <c r="B37" i="165"/>
  <c r="B36" i="165"/>
  <c r="B35" i="165"/>
  <c r="B32" i="165"/>
  <c r="B30" i="165"/>
  <c r="B27" i="165"/>
  <c r="B26" i="165"/>
  <c r="B25" i="165"/>
  <c r="B22" i="165"/>
  <c r="B21" i="165"/>
  <c r="B18" i="165"/>
  <c r="B17" i="165"/>
  <c r="B16" i="165"/>
  <c r="B15" i="165"/>
  <c r="B14" i="165"/>
  <c r="B12" i="165"/>
  <c r="B10" i="165"/>
  <c r="R36" i="86"/>
  <c r="O379" i="61"/>
  <c r="O366" i="61"/>
  <c r="O309" i="61"/>
  <c r="O291" i="61"/>
  <c r="O256" i="61"/>
  <c r="O206" i="61"/>
  <c r="O155" i="61"/>
  <c r="O136" i="61"/>
  <c r="O60" i="61"/>
  <c r="O44" i="61"/>
  <c r="O17" i="61"/>
  <c r="L117" i="65"/>
  <c r="K101" i="65"/>
  <c r="K56" i="65"/>
  <c r="K43" i="65"/>
  <c r="N27" i="65"/>
  <c r="N16" i="65"/>
  <c r="F82" i="65"/>
  <c r="C42" i="86"/>
  <c r="B7" i="60"/>
  <c r="B6" i="60"/>
  <c r="E145" i="113"/>
  <c r="E146" i="113"/>
  <c r="E147" i="113"/>
  <c r="BH147" i="113"/>
  <c r="E148" i="113"/>
  <c r="E149" i="113"/>
  <c r="BH149" i="113"/>
  <c r="E150" i="113"/>
  <c r="BH150" i="113"/>
  <c r="E151" i="113"/>
  <c r="BH151" i="113"/>
  <c r="E152" i="113"/>
  <c r="BH152" i="113"/>
  <c r="E153" i="113"/>
  <c r="BH153" i="113"/>
  <c r="E154" i="113"/>
  <c r="BH154" i="113"/>
  <c r="E155" i="113"/>
  <c r="BH155" i="113"/>
  <c r="E156" i="113"/>
  <c r="BH156" i="113"/>
  <c r="E157" i="113"/>
  <c r="BH157" i="113"/>
  <c r="E158" i="113"/>
  <c r="BH158" i="113"/>
  <c r="E159" i="113"/>
  <c r="BH159" i="113"/>
  <c r="E160" i="113"/>
  <c r="BH160" i="113"/>
  <c r="E161" i="113"/>
  <c r="BH161" i="113"/>
  <c r="E162" i="113"/>
  <c r="BH162" i="113"/>
  <c r="E163" i="113"/>
  <c r="BH163" i="113"/>
  <c r="E144" i="113"/>
  <c r="E165" i="113" s="1"/>
  <c r="AE148" i="113"/>
  <c r="AZ148" i="113"/>
  <c r="AE144" i="113"/>
  <c r="AI144" i="113" s="1"/>
  <c r="AI165" i="113" s="1"/>
  <c r="AZ144" i="113"/>
  <c r="H34" i="136"/>
  <c r="H35" i="136"/>
  <c r="H36" i="136"/>
  <c r="H37" i="136"/>
  <c r="H38" i="136"/>
  <c r="H39" i="136"/>
  <c r="H40" i="136"/>
  <c r="H41" i="136"/>
  <c r="H42" i="136"/>
  <c r="H43" i="136"/>
  <c r="H44" i="136"/>
  <c r="H45" i="136"/>
  <c r="H46" i="136"/>
  <c r="H47" i="136"/>
  <c r="H48" i="136"/>
  <c r="H49" i="136"/>
  <c r="H50" i="136"/>
  <c r="H51" i="136"/>
  <c r="H52" i="136"/>
  <c r="H53" i="136"/>
  <c r="H54" i="136"/>
  <c r="H55" i="136"/>
  <c r="H56" i="136"/>
  <c r="H57" i="136"/>
  <c r="H58" i="136"/>
  <c r="H59" i="136"/>
  <c r="H60" i="136"/>
  <c r="H61" i="136"/>
  <c r="H62" i="136"/>
  <c r="E435" i="101"/>
  <c r="E67" i="101"/>
  <c r="G166" i="100"/>
  <c r="G167" i="100"/>
  <c r="G168" i="100"/>
  <c r="G169" i="100"/>
  <c r="G170" i="100"/>
  <c r="G171" i="100"/>
  <c r="G172" i="100"/>
  <c r="G173" i="100"/>
  <c r="G174" i="100"/>
  <c r="G165" i="100"/>
  <c r="AA87" i="100"/>
  <c r="Z87" i="100"/>
  <c r="Y87" i="100"/>
  <c r="X87" i="100"/>
  <c r="B103" i="56"/>
  <c r="R160" i="100"/>
  <c r="E160" i="100"/>
  <c r="K92" i="100"/>
  <c r="K104" i="100" s="1"/>
  <c r="D103" i="56"/>
  <c r="D192" i="165"/>
  <c r="B49" i="56"/>
  <c r="D49" i="56"/>
  <c r="C527" i="61"/>
  <c r="C528" i="61"/>
  <c r="C529" i="61"/>
  <c r="C530" i="61"/>
  <c r="C531" i="61"/>
  <c r="C532" i="61"/>
  <c r="C533" i="61"/>
  <c r="C534" i="61"/>
  <c r="C535" i="61"/>
  <c r="C536" i="61"/>
  <c r="C537" i="61"/>
  <c r="C538" i="61"/>
  <c r="C539" i="61"/>
  <c r="C540" i="61"/>
  <c r="C541" i="61"/>
  <c r="C542" i="61"/>
  <c r="C543" i="61"/>
  <c r="C544" i="61"/>
  <c r="C545" i="61"/>
  <c r="C546" i="61"/>
  <c r="C547" i="61"/>
  <c r="C548" i="61"/>
  <c r="C549" i="61"/>
  <c r="C550" i="61"/>
  <c r="C551" i="61"/>
  <c r="C552" i="61"/>
  <c r="C553" i="61"/>
  <c r="C554" i="61"/>
  <c r="C555" i="61"/>
  <c r="C556" i="61"/>
  <c r="C557" i="61"/>
  <c r="C558" i="61"/>
  <c r="C559" i="61"/>
  <c r="C560" i="61"/>
  <c r="C561" i="61"/>
  <c r="C562" i="61"/>
  <c r="C563" i="61"/>
  <c r="C564" i="61"/>
  <c r="C565" i="61"/>
  <c r="C566" i="61"/>
  <c r="G165" i="113"/>
  <c r="B93" i="56"/>
  <c r="G107" i="160"/>
  <c r="G108" i="160"/>
  <c r="G109" i="160"/>
  <c r="G110" i="160"/>
  <c r="G106" i="160"/>
  <c r="G102" i="160"/>
  <c r="G103" i="160"/>
  <c r="G104" i="160"/>
  <c r="G105" i="160"/>
  <c r="G101" i="160"/>
  <c r="G97" i="160"/>
  <c r="G98" i="160"/>
  <c r="G99" i="160"/>
  <c r="G100" i="160"/>
  <c r="G96" i="160"/>
  <c r="J115" i="160"/>
  <c r="F115" i="160"/>
  <c r="J75" i="160"/>
  <c r="C54" i="149"/>
  <c r="G51" i="160"/>
  <c r="G49" i="160"/>
  <c r="E526" i="101"/>
  <c r="E521" i="101"/>
  <c r="B90" i="56"/>
  <c r="B34" i="56"/>
  <c r="H309" i="61"/>
  <c r="J302" i="61"/>
  <c r="J303" i="61"/>
  <c r="J304" i="61"/>
  <c r="J297" i="61"/>
  <c r="J298" i="61"/>
  <c r="J299" i="61"/>
  <c r="J300" i="61"/>
  <c r="J301" i="61"/>
  <c r="C298" i="61"/>
  <c r="C299" i="61"/>
  <c r="C300" i="61"/>
  <c r="C301" i="61"/>
  <c r="C302" i="61"/>
  <c r="C303" i="61"/>
  <c r="C304" i="61"/>
  <c r="C305" i="61"/>
  <c r="C306" i="61"/>
  <c r="C307" i="61"/>
  <c r="AK2" i="157"/>
  <c r="AJ2" i="157"/>
  <c r="AI2" i="157"/>
  <c r="AH2" i="157"/>
  <c r="C53" i="149"/>
  <c r="B19" i="149"/>
  <c r="B20" i="149"/>
  <c r="AD23" i="100"/>
  <c r="AB23" i="100"/>
  <c r="P278" i="61"/>
  <c r="L238" i="61"/>
  <c r="R238" i="61"/>
  <c r="T186" i="61"/>
  <c r="M186" i="61"/>
  <c r="L125" i="61"/>
  <c r="R169" i="61"/>
  <c r="U169" i="61"/>
  <c r="R170" i="61"/>
  <c r="U170" i="61"/>
  <c r="R171" i="61"/>
  <c r="U171" i="61"/>
  <c r="R172" i="61"/>
  <c r="U172" i="61"/>
  <c r="R173" i="61"/>
  <c r="U173" i="61"/>
  <c r="R174" i="61"/>
  <c r="U174" i="61"/>
  <c r="R175" i="61"/>
  <c r="U175" i="61"/>
  <c r="R176" i="61"/>
  <c r="U176" i="61"/>
  <c r="R177" i="61"/>
  <c r="U177" i="61"/>
  <c r="R178" i="61"/>
  <c r="U178" i="61"/>
  <c r="R179" i="61"/>
  <c r="U179" i="61"/>
  <c r="R180" i="61"/>
  <c r="U180" i="61"/>
  <c r="R181" i="61"/>
  <c r="U181" i="61"/>
  <c r="R182" i="61"/>
  <c r="U182" i="61"/>
  <c r="R183" i="61"/>
  <c r="U183" i="61"/>
  <c r="R184" i="61"/>
  <c r="U184" i="61"/>
  <c r="D34" i="56"/>
  <c r="D33" i="165"/>
  <c r="AH10" i="157"/>
  <c r="D90" i="56"/>
  <c r="D198" i="165"/>
  <c r="D93" i="56"/>
  <c r="D201" i="165"/>
  <c r="AB70" i="160"/>
  <c r="AC66" i="160"/>
  <c r="E523" i="101"/>
  <c r="Z65" i="160"/>
  <c r="E522" i="101"/>
  <c r="E525" i="101"/>
  <c r="AA73" i="160"/>
  <c r="E524" i="101"/>
  <c r="G48" i="160"/>
  <c r="G57" i="160"/>
  <c r="G52" i="160"/>
  <c r="G54" i="160"/>
  <c r="G56" i="160"/>
  <c r="G50" i="160"/>
  <c r="G55" i="160"/>
  <c r="G53" i="160"/>
  <c r="AD69" i="160"/>
  <c r="AD75" i="160" s="1"/>
  <c r="Y67" i="160"/>
  <c r="Y64" i="160"/>
  <c r="AD70" i="160"/>
  <c r="AD66" i="160"/>
  <c r="AD65" i="160"/>
  <c r="AD64" i="160"/>
  <c r="Y72" i="160"/>
  <c r="AD73" i="160"/>
  <c r="AD71" i="160"/>
  <c r="AD67" i="160"/>
  <c r="AD72" i="160"/>
  <c r="AD68" i="160"/>
  <c r="Y66" i="160"/>
  <c r="AK9" i="157"/>
  <c r="AH9" i="157"/>
  <c r="AJ10" i="157"/>
  <c r="AK10" i="157"/>
  <c r="AB67" i="160"/>
  <c r="AB64" i="160"/>
  <c r="AB65" i="160"/>
  <c r="AB72" i="160"/>
  <c r="AB71" i="160"/>
  <c r="AB69" i="160"/>
  <c r="AB73" i="160"/>
  <c r="AB66" i="160"/>
  <c r="AB68" i="160"/>
  <c r="AC68" i="160"/>
  <c r="AA72" i="160"/>
  <c r="AC72" i="160"/>
  <c r="Z72" i="160"/>
  <c r="Z73" i="160"/>
  <c r="AC65" i="160"/>
  <c r="AC64" i="160"/>
  <c r="AA66" i="160"/>
  <c r="AA75" i="160" s="1"/>
  <c r="AC69" i="160"/>
  <c r="AA70" i="160"/>
  <c r="AC71" i="160"/>
  <c r="AA64" i="160"/>
  <c r="Z69" i="160"/>
  <c r="Z68" i="160"/>
  <c r="AC70" i="160"/>
  <c r="AC67" i="160"/>
  <c r="Z64" i="160"/>
  <c r="Z75" i="160" s="1"/>
  <c r="Z70" i="160"/>
  <c r="Z67" i="160"/>
  <c r="Z66" i="160"/>
  <c r="AC73" i="160"/>
  <c r="Z71" i="160"/>
  <c r="AA68" i="160"/>
  <c r="AA67" i="160"/>
  <c r="AA65" i="160"/>
  <c r="AA71" i="160"/>
  <c r="AA69" i="160"/>
  <c r="D59" i="149"/>
  <c r="H59" i="149"/>
  <c r="I85" i="160"/>
  <c r="D60" i="149"/>
  <c r="H60" i="149"/>
  <c r="I86" i="160"/>
  <c r="I84" i="160"/>
  <c r="D61" i="149"/>
  <c r="H61" i="149" s="1"/>
  <c r="I87" i="160"/>
  <c r="I82" i="160"/>
  <c r="I83" i="160"/>
  <c r="T92" i="61"/>
  <c r="M92" i="61"/>
  <c r="B38" i="86"/>
  <c r="AM209" i="61"/>
  <c r="AP96" i="61"/>
  <c r="AO157" i="61"/>
  <c r="AQ63" i="61"/>
  <c r="G137" i="113"/>
  <c r="R30" i="100"/>
  <c r="S30" i="100"/>
  <c r="T30" i="100"/>
  <c r="U2" i="157"/>
  <c r="U10" i="157" s="1"/>
  <c r="G72" i="113"/>
  <c r="Y38" i="113"/>
  <c r="X38" i="113"/>
  <c r="N38" i="113"/>
  <c r="P38" i="113"/>
  <c r="C10" i="133"/>
  <c r="C11" i="133"/>
  <c r="C12" i="133"/>
  <c r="C13" i="133"/>
  <c r="C14" i="133"/>
  <c r="C15" i="133"/>
  <c r="C16" i="133"/>
  <c r="C17" i="133"/>
  <c r="C18" i="133"/>
  <c r="C19" i="133"/>
  <c r="C20" i="133"/>
  <c r="C21" i="133"/>
  <c r="C22" i="133"/>
  <c r="C23" i="133"/>
  <c r="C24" i="133"/>
  <c r="C25" i="133"/>
  <c r="C26" i="133"/>
  <c r="C27" i="133"/>
  <c r="C28" i="133"/>
  <c r="C29" i="133"/>
  <c r="C30" i="133"/>
  <c r="C31" i="133"/>
  <c r="C32" i="133"/>
  <c r="C33" i="133"/>
  <c r="C34" i="133"/>
  <c r="C35" i="133"/>
  <c r="C36" i="133"/>
  <c r="C37" i="133"/>
  <c r="C38" i="133"/>
  <c r="C39" i="133"/>
  <c r="C40" i="133"/>
  <c r="C41" i="133"/>
  <c r="C42" i="133"/>
  <c r="C43" i="133"/>
  <c r="C44" i="133"/>
  <c r="C45" i="133"/>
  <c r="C46" i="133"/>
  <c r="C47" i="133"/>
  <c r="C48" i="133"/>
  <c r="C49" i="133"/>
  <c r="C50" i="133"/>
  <c r="C51" i="133"/>
  <c r="C52" i="133"/>
  <c r="C53" i="133"/>
  <c r="C54" i="133"/>
  <c r="M11" i="86"/>
  <c r="H10" i="133"/>
  <c r="H11" i="133"/>
  <c r="H12" i="133"/>
  <c r="H13" i="133"/>
  <c r="H14" i="133"/>
  <c r="H15" i="133"/>
  <c r="H16" i="133"/>
  <c r="H17" i="133"/>
  <c r="H18" i="133"/>
  <c r="H19" i="133"/>
  <c r="H20" i="133"/>
  <c r="H21" i="133"/>
  <c r="H22" i="133"/>
  <c r="H23" i="133"/>
  <c r="H24" i="133"/>
  <c r="H25" i="133"/>
  <c r="H26" i="133"/>
  <c r="H27" i="133"/>
  <c r="H28" i="133"/>
  <c r="H29" i="133"/>
  <c r="H30" i="133"/>
  <c r="H31" i="133"/>
  <c r="H32" i="133"/>
  <c r="H33" i="133"/>
  <c r="H34" i="133"/>
  <c r="H35" i="133"/>
  <c r="H36" i="133"/>
  <c r="H9" i="133"/>
  <c r="J495" i="61"/>
  <c r="J496" i="61"/>
  <c r="J494" i="61"/>
  <c r="J285" i="61"/>
  <c r="J286" i="61"/>
  <c r="J284" i="61"/>
  <c r="J131" i="61"/>
  <c r="J49" i="61"/>
  <c r="J22" i="61"/>
  <c r="J12" i="61"/>
  <c r="J11" i="61"/>
  <c r="E150" i="101" a="1"/>
  <c r="E150" i="101" s="1"/>
  <c r="D1" i="101"/>
  <c r="B48" i="56"/>
  <c r="H516" i="61"/>
  <c r="J421" i="61"/>
  <c r="J422" i="61"/>
  <c r="D48" i="56"/>
  <c r="D27" i="65"/>
  <c r="D12" i="165"/>
  <c r="D16" i="65"/>
  <c r="D10" i="165"/>
  <c r="B92" i="56"/>
  <c r="B80" i="154"/>
  <c r="B81" i="154"/>
  <c r="B82" i="154"/>
  <c r="B83" i="154"/>
  <c r="B84" i="154"/>
  <c r="B85" i="154"/>
  <c r="B86" i="154"/>
  <c r="B87" i="154"/>
  <c r="B88" i="154"/>
  <c r="B89" i="154"/>
  <c r="B90" i="154"/>
  <c r="B91" i="154"/>
  <c r="B92" i="154"/>
  <c r="B93" i="154"/>
  <c r="B94" i="154"/>
  <c r="B95" i="154"/>
  <c r="B60" i="154"/>
  <c r="B61" i="154"/>
  <c r="B62" i="154"/>
  <c r="B63" i="154"/>
  <c r="B64" i="154"/>
  <c r="B65" i="154"/>
  <c r="B66" i="154"/>
  <c r="B67" i="154"/>
  <c r="B68" i="154"/>
  <c r="B69" i="154"/>
  <c r="B70" i="154"/>
  <c r="B71" i="154"/>
  <c r="B72" i="154"/>
  <c r="B73" i="154"/>
  <c r="B74" i="154"/>
  <c r="B75" i="154"/>
  <c r="C24" i="154"/>
  <c r="C9" i="154"/>
  <c r="C10" i="154"/>
  <c r="C11" i="154"/>
  <c r="C12" i="154"/>
  <c r="C13" i="154"/>
  <c r="C14" i="154"/>
  <c r="C15" i="154"/>
  <c r="C16" i="154"/>
  <c r="C17" i="154"/>
  <c r="C18" i="154"/>
  <c r="C19" i="154"/>
  <c r="C20" i="154"/>
  <c r="C21" i="154"/>
  <c r="C22" i="154"/>
  <c r="C23" i="154"/>
  <c r="B8" i="154"/>
  <c r="C8" i="154"/>
  <c r="B27" i="60"/>
  <c r="B26" i="60"/>
  <c r="B5" i="60"/>
  <c r="B24" i="60"/>
  <c r="B22" i="60"/>
  <c r="B23" i="60"/>
  <c r="B20" i="60"/>
  <c r="B19" i="60"/>
  <c r="B18" i="60"/>
  <c r="B17" i="60"/>
  <c r="B16" i="60"/>
  <c r="B13" i="60"/>
  <c r="B15" i="60"/>
  <c r="B12" i="60"/>
  <c r="B11" i="60"/>
  <c r="B10" i="60"/>
  <c r="B9" i="60"/>
  <c r="R114" i="100"/>
  <c r="R115" i="100"/>
  <c r="R116" i="100"/>
  <c r="R117" i="100"/>
  <c r="R118" i="100"/>
  <c r="R119" i="100"/>
  <c r="R120" i="100"/>
  <c r="R121" i="100"/>
  <c r="R122" i="100"/>
  <c r="S113" i="100"/>
  <c r="S124" i="100" s="1"/>
  <c r="J112" i="100"/>
  <c r="J124" i="100" s="1"/>
  <c r="I112" i="100"/>
  <c r="R110" i="100" s="1"/>
  <c r="Q107" i="100"/>
  <c r="B41" i="56"/>
  <c r="B39" i="56"/>
  <c r="C385" i="61"/>
  <c r="C386" i="61"/>
  <c r="C387" i="61"/>
  <c r="C388" i="61"/>
  <c r="C389" i="61"/>
  <c r="C390" i="61"/>
  <c r="C391" i="61"/>
  <c r="C399" i="61"/>
  <c r="C400" i="61"/>
  <c r="C401" i="61"/>
  <c r="H403" i="61"/>
  <c r="D38" i="165"/>
  <c r="B36" i="56"/>
  <c r="B37" i="56"/>
  <c r="H379" i="61"/>
  <c r="J372" i="61"/>
  <c r="J373" i="61"/>
  <c r="J374" i="61"/>
  <c r="J371" i="61"/>
  <c r="C372" i="61"/>
  <c r="C373" i="61"/>
  <c r="C374" i="61"/>
  <c r="C375" i="61"/>
  <c r="C376" i="61"/>
  <c r="C377" i="61"/>
  <c r="B47" i="56"/>
  <c r="H501" i="61"/>
  <c r="D55" i="165"/>
  <c r="C495" i="61"/>
  <c r="C496" i="61"/>
  <c r="C497" i="61"/>
  <c r="C498" i="61"/>
  <c r="C499" i="61"/>
  <c r="Q49" i="100"/>
  <c r="L60" i="133"/>
  <c r="L58" i="133" s="1"/>
  <c r="F44" i="133" s="1"/>
  <c r="L59" i="133"/>
  <c r="C62" i="133"/>
  <c r="C63" i="133"/>
  <c r="C64" i="133"/>
  <c r="C65" i="133"/>
  <c r="C66" i="133"/>
  <c r="C67" i="133"/>
  <c r="C68" i="133"/>
  <c r="C69" i="133"/>
  <c r="C70" i="133"/>
  <c r="C71" i="133"/>
  <c r="C72" i="133"/>
  <c r="C73" i="133"/>
  <c r="C74" i="133"/>
  <c r="C75" i="133"/>
  <c r="C76" i="133"/>
  <c r="C77" i="133"/>
  <c r="C78" i="133"/>
  <c r="C79" i="133"/>
  <c r="C80" i="133"/>
  <c r="C81" i="133"/>
  <c r="C82" i="133"/>
  <c r="C83" i="133"/>
  <c r="C84" i="133"/>
  <c r="C85" i="133"/>
  <c r="C86" i="133"/>
  <c r="C87" i="133"/>
  <c r="C88" i="133"/>
  <c r="C89" i="133"/>
  <c r="C90" i="133"/>
  <c r="C91" i="133"/>
  <c r="C92" i="133"/>
  <c r="C93" i="133"/>
  <c r="C94" i="133"/>
  <c r="C95" i="133"/>
  <c r="C96" i="133"/>
  <c r="C97" i="133"/>
  <c r="C98" i="133"/>
  <c r="C99" i="133"/>
  <c r="C100" i="133"/>
  <c r="C101" i="133"/>
  <c r="C102" i="133"/>
  <c r="C103" i="133"/>
  <c r="C104" i="133"/>
  <c r="C105" i="133"/>
  <c r="C106" i="133"/>
  <c r="C107" i="133"/>
  <c r="C108" i="133"/>
  <c r="C109" i="133"/>
  <c r="C110" i="133"/>
  <c r="C111" i="133"/>
  <c r="C112" i="133"/>
  <c r="C113" i="133"/>
  <c r="C114" i="133"/>
  <c r="C115" i="133"/>
  <c r="C116" i="133"/>
  <c r="C117" i="133"/>
  <c r="C118" i="133"/>
  <c r="C119" i="133"/>
  <c r="C120" i="133"/>
  <c r="C121" i="133"/>
  <c r="C122" i="133"/>
  <c r="C123" i="133"/>
  <c r="C124" i="133"/>
  <c r="C125" i="133"/>
  <c r="C126" i="133"/>
  <c r="C127" i="133"/>
  <c r="C128" i="133"/>
  <c r="C129" i="133"/>
  <c r="C130" i="133"/>
  <c r="C131" i="133"/>
  <c r="C132" i="133"/>
  <c r="C133" i="133"/>
  <c r="C134" i="133"/>
  <c r="C135" i="133"/>
  <c r="C136" i="133"/>
  <c r="C137" i="133"/>
  <c r="C138" i="133"/>
  <c r="C139" i="133"/>
  <c r="C140" i="133"/>
  <c r="C141" i="133"/>
  <c r="C142" i="133"/>
  <c r="C143" i="133"/>
  <c r="C144" i="133"/>
  <c r="C145" i="133"/>
  <c r="C146" i="133"/>
  <c r="C147" i="133"/>
  <c r="C148" i="133"/>
  <c r="C149" i="133"/>
  <c r="C150" i="133"/>
  <c r="C151" i="133"/>
  <c r="C152" i="133"/>
  <c r="C153" i="133"/>
  <c r="C154" i="133"/>
  <c r="C155" i="133"/>
  <c r="C156" i="133"/>
  <c r="C157" i="133"/>
  <c r="C158" i="133"/>
  <c r="C159" i="133"/>
  <c r="C160" i="133"/>
  <c r="C435" i="61"/>
  <c r="C436" i="61"/>
  <c r="C437" i="61"/>
  <c r="C438" i="61"/>
  <c r="C439" i="61"/>
  <c r="J434" i="61"/>
  <c r="J435" i="61"/>
  <c r="J436" i="61"/>
  <c r="J437" i="61"/>
  <c r="J438" i="61"/>
  <c r="J439" i="61"/>
  <c r="J440" i="61"/>
  <c r="B26" i="56"/>
  <c r="H136" i="61"/>
  <c r="D25" i="165"/>
  <c r="C132" i="61"/>
  <c r="C133" i="61"/>
  <c r="C134" i="61"/>
  <c r="J454" i="61"/>
  <c r="J132" i="61"/>
  <c r="D39" i="56"/>
  <c r="D47" i="56"/>
  <c r="D37" i="56"/>
  <c r="D36" i="165"/>
  <c r="H112" i="100"/>
  <c r="H124" i="100" s="1"/>
  <c r="C440" i="61"/>
  <c r="C441" i="61"/>
  <c r="C442" i="61"/>
  <c r="C443" i="61"/>
  <c r="D26" i="56"/>
  <c r="E64" i="136"/>
  <c r="D114" i="56"/>
  <c r="B91" i="56"/>
  <c r="B89" i="56"/>
  <c r="F75" i="160"/>
  <c r="B88" i="56"/>
  <c r="D91" i="56"/>
  <c r="D199" i="165"/>
  <c r="AA43" i="113"/>
  <c r="B74" i="56"/>
  <c r="E41" i="162"/>
  <c r="C21" i="162"/>
  <c r="C22" i="162"/>
  <c r="C23" i="162"/>
  <c r="C24" i="162"/>
  <c r="C25" i="162"/>
  <c r="C26" i="162"/>
  <c r="C27" i="162"/>
  <c r="C28" i="162"/>
  <c r="C29" i="162"/>
  <c r="C30" i="162"/>
  <c r="C31" i="162"/>
  <c r="C32" i="162"/>
  <c r="C33" i="162"/>
  <c r="C34" i="162"/>
  <c r="C35" i="162"/>
  <c r="C36" i="162"/>
  <c r="C37" i="162"/>
  <c r="C38" i="162"/>
  <c r="C39" i="162"/>
  <c r="B70" i="56"/>
  <c r="E40" i="161"/>
  <c r="C20" i="161"/>
  <c r="C21" i="161"/>
  <c r="C22" i="161"/>
  <c r="C23" i="161"/>
  <c r="C24" i="161"/>
  <c r="C25" i="161"/>
  <c r="C26" i="161"/>
  <c r="C27" i="161"/>
  <c r="C28" i="161"/>
  <c r="C29" i="161"/>
  <c r="C30" i="161"/>
  <c r="C31" i="161"/>
  <c r="C32" i="161"/>
  <c r="C33" i="161"/>
  <c r="C34" i="161"/>
  <c r="C35" i="161"/>
  <c r="C36" i="161"/>
  <c r="C37" i="161"/>
  <c r="C38" i="161"/>
  <c r="D74" i="56"/>
  <c r="D148" i="165"/>
  <c r="D70" i="56"/>
  <c r="D127" i="165"/>
  <c r="D110" i="56"/>
  <c r="D109" i="56"/>
  <c r="D108" i="56"/>
  <c r="D107" i="56"/>
  <c r="B104" i="56"/>
  <c r="B102" i="56"/>
  <c r="B101" i="56"/>
  <c r="B100" i="56"/>
  <c r="B98" i="56"/>
  <c r="O113" i="100"/>
  <c r="P113" i="100"/>
  <c r="Q113" i="100"/>
  <c r="R113" i="100"/>
  <c r="O114" i="100"/>
  <c r="P114" i="100"/>
  <c r="Q114" i="100"/>
  <c r="O115" i="100"/>
  <c r="P115" i="100"/>
  <c r="Q115" i="100"/>
  <c r="O116" i="100"/>
  <c r="P116" i="100"/>
  <c r="Q116" i="100"/>
  <c r="O117" i="100"/>
  <c r="P117" i="100"/>
  <c r="Q117" i="100"/>
  <c r="O118" i="100"/>
  <c r="P118" i="100"/>
  <c r="Q118" i="100"/>
  <c r="O119" i="100"/>
  <c r="P119" i="100"/>
  <c r="Q119" i="100"/>
  <c r="O120" i="100"/>
  <c r="P120" i="100"/>
  <c r="Q120" i="100"/>
  <c r="O121" i="100"/>
  <c r="P121" i="100"/>
  <c r="Q121" i="100"/>
  <c r="O122" i="100"/>
  <c r="P122" i="100"/>
  <c r="Q122" i="100"/>
  <c r="N114" i="100"/>
  <c r="N115" i="100"/>
  <c r="N116" i="100"/>
  <c r="N117" i="100"/>
  <c r="N118" i="100"/>
  <c r="N119" i="100"/>
  <c r="N120" i="100"/>
  <c r="N121" i="100"/>
  <c r="N122" i="100"/>
  <c r="N113" i="100"/>
  <c r="S93" i="100"/>
  <c r="T93" i="100"/>
  <c r="U93" i="100"/>
  <c r="V93" i="100"/>
  <c r="X93" i="100"/>
  <c r="Y93" i="100"/>
  <c r="Z93" i="100"/>
  <c r="AA93" i="100"/>
  <c r="AB93" i="100"/>
  <c r="AC93" i="100"/>
  <c r="S94" i="100"/>
  <c r="T94" i="100"/>
  <c r="U94" i="100"/>
  <c r="V94" i="100"/>
  <c r="X94" i="100"/>
  <c r="Y94" i="100"/>
  <c r="Z94" i="100"/>
  <c r="AA94" i="100"/>
  <c r="AB94" i="100"/>
  <c r="AC94" i="100"/>
  <c r="S95" i="100"/>
  <c r="T95" i="100"/>
  <c r="U95" i="100"/>
  <c r="V95" i="100"/>
  <c r="X95" i="100"/>
  <c r="Y95" i="100"/>
  <c r="Z95" i="100"/>
  <c r="AA95" i="100"/>
  <c r="AB95" i="100"/>
  <c r="AC95" i="100"/>
  <c r="S96" i="100"/>
  <c r="T96" i="100"/>
  <c r="U96" i="100"/>
  <c r="V96" i="100"/>
  <c r="X96" i="100"/>
  <c r="Y96" i="100"/>
  <c r="Z96" i="100"/>
  <c r="AA96" i="100"/>
  <c r="AB96" i="100"/>
  <c r="AC96" i="100"/>
  <c r="S97" i="100"/>
  <c r="T97" i="100"/>
  <c r="U97" i="100"/>
  <c r="V97" i="100"/>
  <c r="X97" i="100"/>
  <c r="Y97" i="100"/>
  <c r="Z97" i="100"/>
  <c r="AA97" i="100"/>
  <c r="AB97" i="100"/>
  <c r="AC97" i="100"/>
  <c r="S98" i="100"/>
  <c r="T98" i="100"/>
  <c r="U98" i="100"/>
  <c r="V98" i="100"/>
  <c r="X98" i="100"/>
  <c r="Y98" i="100"/>
  <c r="Z98" i="100"/>
  <c r="AA98" i="100"/>
  <c r="AB98" i="100"/>
  <c r="AC98" i="100"/>
  <c r="S99" i="100"/>
  <c r="T99" i="100"/>
  <c r="U99" i="100"/>
  <c r="V99" i="100"/>
  <c r="X99" i="100"/>
  <c r="Y99" i="100"/>
  <c r="Z99" i="100"/>
  <c r="AA99" i="100"/>
  <c r="AB99" i="100"/>
  <c r="AC99" i="100"/>
  <c r="S100" i="100"/>
  <c r="T100" i="100"/>
  <c r="U100" i="100"/>
  <c r="V100" i="100"/>
  <c r="X100" i="100"/>
  <c r="Y100" i="100"/>
  <c r="Z100" i="100"/>
  <c r="AA100" i="100"/>
  <c r="AB100" i="100"/>
  <c r="AC100" i="100"/>
  <c r="S101" i="100"/>
  <c r="T101" i="100"/>
  <c r="U101" i="100"/>
  <c r="V101" i="100"/>
  <c r="X101" i="100"/>
  <c r="Y101" i="100"/>
  <c r="Z101" i="100"/>
  <c r="AA101" i="100"/>
  <c r="AB101" i="100"/>
  <c r="AC101" i="100"/>
  <c r="S102" i="100"/>
  <c r="T102" i="100"/>
  <c r="U102" i="100"/>
  <c r="V102" i="100"/>
  <c r="X102" i="100"/>
  <c r="Y102" i="100"/>
  <c r="Z102" i="100"/>
  <c r="AA102" i="100"/>
  <c r="AB102" i="100"/>
  <c r="AC102" i="100"/>
  <c r="R94" i="100"/>
  <c r="R95" i="100"/>
  <c r="R96" i="100"/>
  <c r="R97" i="100"/>
  <c r="R98" i="100"/>
  <c r="R99" i="100"/>
  <c r="R100" i="100"/>
  <c r="R101" i="100"/>
  <c r="R102" i="100"/>
  <c r="O52" i="100"/>
  <c r="P52" i="100"/>
  <c r="O53" i="100"/>
  <c r="P53" i="100"/>
  <c r="O54" i="100"/>
  <c r="P54" i="100"/>
  <c r="O55" i="100"/>
  <c r="P55" i="100"/>
  <c r="O56" i="100"/>
  <c r="P56" i="100"/>
  <c r="O57" i="100"/>
  <c r="P57" i="100"/>
  <c r="O58" i="100"/>
  <c r="P58" i="100"/>
  <c r="O59" i="100"/>
  <c r="P59" i="100"/>
  <c r="O60" i="100"/>
  <c r="P60" i="100"/>
  <c r="O61" i="100"/>
  <c r="P61" i="100"/>
  <c r="N53" i="100"/>
  <c r="N54" i="100"/>
  <c r="N55" i="100"/>
  <c r="N56" i="100"/>
  <c r="N57" i="100"/>
  <c r="N58" i="100"/>
  <c r="N59" i="100"/>
  <c r="N60" i="100"/>
  <c r="N61" i="100"/>
  <c r="N52" i="100"/>
  <c r="B99" i="56"/>
  <c r="R33" i="100"/>
  <c r="S33" i="100"/>
  <c r="T33" i="100"/>
  <c r="R34" i="100"/>
  <c r="S34" i="100"/>
  <c r="T34" i="100"/>
  <c r="R35" i="100"/>
  <c r="S35" i="100"/>
  <c r="T35" i="100"/>
  <c r="R36" i="100"/>
  <c r="S36" i="100"/>
  <c r="T36" i="100"/>
  <c r="R37" i="100"/>
  <c r="S37" i="100"/>
  <c r="T37" i="100"/>
  <c r="R38" i="100"/>
  <c r="S38" i="100"/>
  <c r="T38" i="100"/>
  <c r="R39" i="100"/>
  <c r="S39" i="100"/>
  <c r="T39" i="100"/>
  <c r="R40" i="100"/>
  <c r="S40" i="100"/>
  <c r="T40" i="100"/>
  <c r="R41" i="100"/>
  <c r="S41" i="100"/>
  <c r="T41" i="100"/>
  <c r="R32" i="100"/>
  <c r="S32" i="100"/>
  <c r="T32" i="100"/>
  <c r="B97" i="56"/>
  <c r="B96" i="56"/>
  <c r="Q24" i="160"/>
  <c r="R24" i="160"/>
  <c r="B113" i="56"/>
  <c r="AG12" i="157"/>
  <c r="AG13" i="157"/>
  <c r="AG14" i="157"/>
  <c r="AG15" i="157"/>
  <c r="AG16" i="157"/>
  <c r="AG17" i="157"/>
  <c r="AG18" i="157"/>
  <c r="AG19" i="157"/>
  <c r="AG20" i="157"/>
  <c r="AG21" i="157"/>
  <c r="AG22" i="157"/>
  <c r="AG23" i="157"/>
  <c r="AG24" i="157"/>
  <c r="AG25" i="157"/>
  <c r="AG26" i="157"/>
  <c r="AG27" i="157"/>
  <c r="AG28" i="157"/>
  <c r="AG29" i="157"/>
  <c r="AG30" i="157"/>
  <c r="AF12" i="157"/>
  <c r="AF13" i="157"/>
  <c r="AF15" i="157"/>
  <c r="AF16" i="157"/>
  <c r="AF17" i="157"/>
  <c r="AF18" i="157"/>
  <c r="AF19" i="157"/>
  <c r="AF20" i="157"/>
  <c r="AF21" i="157"/>
  <c r="AF22" i="157"/>
  <c r="AF23" i="157"/>
  <c r="AF24" i="157"/>
  <c r="AF25" i="157"/>
  <c r="AF26" i="157"/>
  <c r="AF27" i="157"/>
  <c r="AF28" i="157"/>
  <c r="AF29" i="157"/>
  <c r="AF30" i="157"/>
  <c r="AD12" i="157"/>
  <c r="AD14" i="157"/>
  <c r="AD15" i="157"/>
  <c r="AD16" i="157"/>
  <c r="AD17" i="157"/>
  <c r="AD18" i="157"/>
  <c r="AD19" i="157"/>
  <c r="AD20" i="157"/>
  <c r="AD21" i="157"/>
  <c r="AD22" i="157"/>
  <c r="AD23" i="157"/>
  <c r="AD24" i="157"/>
  <c r="AD25" i="157"/>
  <c r="AD26" i="157"/>
  <c r="AD27" i="157"/>
  <c r="AD28" i="157"/>
  <c r="AD29" i="157"/>
  <c r="AD30" i="157"/>
  <c r="AC13" i="157"/>
  <c r="AC14" i="157"/>
  <c r="AC15" i="157"/>
  <c r="AC16" i="157"/>
  <c r="AC17" i="157"/>
  <c r="AC18" i="157"/>
  <c r="AC19" i="157"/>
  <c r="AC20" i="157"/>
  <c r="AC21" i="157"/>
  <c r="AC22" i="157"/>
  <c r="AC23" i="157"/>
  <c r="AC24" i="157"/>
  <c r="AC25" i="157"/>
  <c r="AC26" i="157"/>
  <c r="AC12" i="157"/>
  <c r="AC27" i="157"/>
  <c r="AC28" i="157"/>
  <c r="AC29" i="157"/>
  <c r="AC30" i="157"/>
  <c r="Y23" i="100"/>
  <c r="G32" i="159"/>
  <c r="H32" i="159"/>
  <c r="I32" i="159"/>
  <c r="J32" i="159"/>
  <c r="K32" i="159"/>
  <c r="L32" i="159"/>
  <c r="M32" i="159"/>
  <c r="N32" i="159"/>
  <c r="D72" i="165"/>
  <c r="O32" i="159"/>
  <c r="Q32" i="159"/>
  <c r="P32" i="159"/>
  <c r="E32" i="159"/>
  <c r="D73" i="165" a="1"/>
  <c r="D73" i="165"/>
  <c r="AB4" i="159"/>
  <c r="O8" i="159" s="1"/>
  <c r="AB8" i="159" s="1"/>
  <c r="C260" i="101"/>
  <c r="AA4" i="159"/>
  <c r="N9" i="159" s="1"/>
  <c r="Z4" i="159"/>
  <c r="M9" i="159" s="1"/>
  <c r="Z7" i="159" s="1"/>
  <c r="Y4" i="159"/>
  <c r="L9" i="159" s="1"/>
  <c r="Y7" i="159" s="1"/>
  <c r="X4" i="159"/>
  <c r="K9" i="159" s="1"/>
  <c r="X7" i="159" s="1"/>
  <c r="W4" i="159"/>
  <c r="J9" i="159" s="1"/>
  <c r="V4" i="159"/>
  <c r="I9" i="159" s="1"/>
  <c r="V7" i="159" s="1"/>
  <c r="U4" i="159"/>
  <c r="H9" i="159" s="1"/>
  <c r="U7" i="159" s="1"/>
  <c r="T4" i="159"/>
  <c r="G9" i="159" s="1"/>
  <c r="T7" i="159" s="1"/>
  <c r="R4" i="159"/>
  <c r="E9" i="159" s="1"/>
  <c r="R7" i="159" s="1"/>
  <c r="E456" i="101"/>
  <c r="H100" i="86"/>
  <c r="B57" i="56"/>
  <c r="B56" i="56"/>
  <c r="M55" i="86"/>
  <c r="M56" i="86"/>
  <c r="M57" i="86"/>
  <c r="M58" i="86"/>
  <c r="M59" i="86"/>
  <c r="M60" i="86"/>
  <c r="P30" i="86"/>
  <c r="P31" i="86"/>
  <c r="P32" i="86"/>
  <c r="P33" i="86"/>
  <c r="P34" i="86"/>
  <c r="B35" i="56"/>
  <c r="B32" i="56"/>
  <c r="E238" i="61"/>
  <c r="B30" i="56"/>
  <c r="B25" i="56"/>
  <c r="H489" i="61"/>
  <c r="D54" i="165"/>
  <c r="E125" i="61"/>
  <c r="B29" i="56"/>
  <c r="F92" i="61"/>
  <c r="B24" i="56"/>
  <c r="H427" i="61"/>
  <c r="B28" i="56"/>
  <c r="B27" i="56"/>
  <c r="B23" i="56"/>
  <c r="H44" i="61"/>
  <c r="D21" i="165"/>
  <c r="B22" i="56"/>
  <c r="H206" i="61"/>
  <c r="D28" i="165"/>
  <c r="J193" i="61"/>
  <c r="H155" i="61"/>
  <c r="D26" i="165"/>
  <c r="C194" i="61"/>
  <c r="C195" i="61"/>
  <c r="C196" i="61"/>
  <c r="C197" i="61"/>
  <c r="C198" i="61"/>
  <c r="C199" i="61"/>
  <c r="C200" i="61"/>
  <c r="C201" i="61"/>
  <c r="C202" i="61"/>
  <c r="C203" i="61"/>
  <c r="C204" i="61"/>
  <c r="H60" i="61"/>
  <c r="D22" i="165"/>
  <c r="J50" i="61"/>
  <c r="J51" i="61"/>
  <c r="J52" i="61"/>
  <c r="J53" i="61"/>
  <c r="J54" i="61"/>
  <c r="J55" i="61"/>
  <c r="E121" i="101"/>
  <c r="C50" i="61"/>
  <c r="C51" i="61"/>
  <c r="C52" i="61"/>
  <c r="C53" i="61"/>
  <c r="C54" i="61"/>
  <c r="C55" i="61"/>
  <c r="C56" i="61"/>
  <c r="C57" i="61"/>
  <c r="C58" i="61"/>
  <c r="E117" i="65"/>
  <c r="D18" i="165"/>
  <c r="B18" i="56"/>
  <c r="D101" i="65"/>
  <c r="D17" i="165"/>
  <c r="B15" i="56"/>
  <c r="F49" i="65"/>
  <c r="F50" i="65"/>
  <c r="F48" i="65"/>
  <c r="D56" i="65"/>
  <c r="D15" i="165"/>
  <c r="D43" i="65"/>
  <c r="D14" i="165"/>
  <c r="F57" i="126"/>
  <c r="D9" i="56"/>
  <c r="I22" i="65"/>
  <c r="I23" i="65"/>
  <c r="I21" i="65"/>
  <c r="I11" i="65"/>
  <c r="I12" i="65"/>
  <c r="D77" i="65"/>
  <c r="D16" i="165"/>
  <c r="B13" i="56"/>
  <c r="K42" i="126"/>
  <c r="D24" i="165"/>
  <c r="E53" i="101"/>
  <c r="E106" i="101"/>
  <c r="E54" i="101"/>
  <c r="E107" i="101"/>
  <c r="E55" i="101"/>
  <c r="D28" i="56"/>
  <c r="D57" i="56"/>
  <c r="D70" i="165"/>
  <c r="D24" i="56"/>
  <c r="D30" i="56"/>
  <c r="D14" i="56"/>
  <c r="D15" i="56"/>
  <c r="D17" i="56"/>
  <c r="D18" i="56"/>
  <c r="D16" i="56"/>
  <c r="O9" i="159"/>
  <c r="AB7" i="159" s="1"/>
  <c r="D41" i="56"/>
  <c r="D46" i="56"/>
  <c r="D22" i="56"/>
  <c r="D23" i="56"/>
  <c r="D27" i="56"/>
  <c r="D25" i="56"/>
  <c r="E452" i="101"/>
  <c r="G8" i="159" s="1"/>
  <c r="T8" i="159" s="1"/>
  <c r="E455" i="101"/>
  <c r="J8" i="159" s="1"/>
  <c r="W8" i="159" s="1"/>
  <c r="E454" i="101"/>
  <c r="E453" i="101"/>
  <c r="E105" i="101"/>
  <c r="E450" i="101"/>
  <c r="E8" i="159" s="1"/>
  <c r="R8" i="159" s="1"/>
  <c r="W7" i="159"/>
  <c r="K28" i="160"/>
  <c r="F41" i="160"/>
  <c r="H28" i="160"/>
  <c r="J28" i="160"/>
  <c r="D197" i="165"/>
  <c r="E584" i="101"/>
  <c r="E583" i="101"/>
  <c r="K111" i="100" s="1"/>
  <c r="T111" i="100" s="1"/>
  <c r="E64" i="101"/>
  <c r="E65" i="101"/>
  <c r="E63" i="101"/>
  <c r="E56" i="101"/>
  <c r="E57" i="101"/>
  <c r="E58" i="101"/>
  <c r="E59" i="101"/>
  <c r="E61" i="101"/>
  <c r="E60" i="101"/>
  <c r="E62" i="101"/>
  <c r="D89" i="56"/>
  <c r="E580" i="101"/>
  <c r="H111" i="100" s="1"/>
  <c r="Q111" i="100" s="1"/>
  <c r="E578" i="101"/>
  <c r="E579" i="101"/>
  <c r="E577" i="101"/>
  <c r="E582" i="101"/>
  <c r="J111" i="100"/>
  <c r="S111" i="100" s="1"/>
  <c r="E581" i="101"/>
  <c r="I111" i="100" s="1"/>
  <c r="R111" i="100" s="1"/>
  <c r="E585" i="101"/>
  <c r="M111" i="100" s="1"/>
  <c r="V111" i="100" s="1"/>
  <c r="L111" i="100"/>
  <c r="U111" i="100" s="1"/>
  <c r="P7" i="160"/>
  <c r="O7" i="160"/>
  <c r="N7" i="160"/>
  <c r="M14" i="160"/>
  <c r="L15" i="160"/>
  <c r="M15" i="160"/>
  <c r="L16" i="160"/>
  <c r="M16" i="160"/>
  <c r="L17" i="160"/>
  <c r="M17" i="160"/>
  <c r="L18" i="160"/>
  <c r="M18" i="160"/>
  <c r="L19" i="160"/>
  <c r="M19" i="160"/>
  <c r="L20" i="160"/>
  <c r="M20" i="160"/>
  <c r="L21" i="160"/>
  <c r="M21" i="160"/>
  <c r="L22" i="160"/>
  <c r="M22" i="160"/>
  <c r="M13" i="160"/>
  <c r="C14" i="160"/>
  <c r="C15" i="160"/>
  <c r="C16" i="160"/>
  <c r="C17" i="160"/>
  <c r="C18" i="160"/>
  <c r="C19" i="160"/>
  <c r="C20" i="160"/>
  <c r="C21" i="160"/>
  <c r="C22" i="160"/>
  <c r="AG2" i="157"/>
  <c r="AF2" i="157"/>
  <c r="AE2" i="157"/>
  <c r="AD2" i="157"/>
  <c r="AD10" i="157" s="1"/>
  <c r="AC2" i="157"/>
  <c r="AB2" i="157"/>
  <c r="AA2" i="157"/>
  <c r="Z2" i="157"/>
  <c r="Y2" i="157"/>
  <c r="X2" i="157"/>
  <c r="W2" i="157"/>
  <c r="V2" i="157"/>
  <c r="H166" i="100"/>
  <c r="I166" i="100"/>
  <c r="H167" i="100"/>
  <c r="I167" i="100"/>
  <c r="H168" i="100"/>
  <c r="I168" i="100"/>
  <c r="H169" i="100"/>
  <c r="I169" i="100"/>
  <c r="H170" i="100"/>
  <c r="I170" i="100"/>
  <c r="H171" i="100"/>
  <c r="I171" i="100"/>
  <c r="H172" i="100"/>
  <c r="I172" i="100"/>
  <c r="H173" i="100"/>
  <c r="I173" i="100"/>
  <c r="H174" i="100"/>
  <c r="I174" i="100"/>
  <c r="H165" i="100"/>
  <c r="I165" i="100"/>
  <c r="P176" i="100"/>
  <c r="E176" i="100"/>
  <c r="K163" i="100"/>
  <c r="L130" i="100"/>
  <c r="K130" i="100"/>
  <c r="Q143" i="100"/>
  <c r="J143" i="100"/>
  <c r="E143" i="100"/>
  <c r="S49" i="100"/>
  <c r="T49" i="100"/>
  <c r="S50" i="100"/>
  <c r="T50" i="100"/>
  <c r="J63" i="100"/>
  <c r="K63" i="100"/>
  <c r="L63" i="100"/>
  <c r="R50" i="100"/>
  <c r="H63" i="100"/>
  <c r="U49" i="100"/>
  <c r="P107" i="100"/>
  <c r="O107" i="100"/>
  <c r="N107" i="100"/>
  <c r="Y9" i="100"/>
  <c r="X6" i="100"/>
  <c r="W6" i="100"/>
  <c r="V6" i="100"/>
  <c r="J11" i="100" s="1"/>
  <c r="V9" i="100" s="1"/>
  <c r="U6" i="100"/>
  <c r="T6" i="100"/>
  <c r="Y10" i="100"/>
  <c r="S6" i="100"/>
  <c r="R6" i="100"/>
  <c r="Q6" i="100"/>
  <c r="K43" i="100"/>
  <c r="L43" i="100"/>
  <c r="O26" i="100"/>
  <c r="N26" i="100"/>
  <c r="M26" i="100"/>
  <c r="E31" i="100" s="1"/>
  <c r="M29" i="100" s="1"/>
  <c r="L71" i="100"/>
  <c r="X69" i="100" s="1"/>
  <c r="K70" i="100"/>
  <c r="W70" i="100" s="1"/>
  <c r="J71" i="100"/>
  <c r="V69" i="100" s="1"/>
  <c r="V49" i="100"/>
  <c r="P46" i="100"/>
  <c r="O46" i="100"/>
  <c r="N46" i="100"/>
  <c r="AC87" i="100"/>
  <c r="P91" i="100" s="1"/>
  <c r="AC91" i="100" s="1"/>
  <c r="AB87" i="100"/>
  <c r="V87" i="100"/>
  <c r="U87" i="100"/>
  <c r="T87" i="100"/>
  <c r="T88" i="100" s="1"/>
  <c r="N92" i="100"/>
  <c r="AA90" i="100" s="1"/>
  <c r="M92" i="100"/>
  <c r="Z90" i="100" s="1"/>
  <c r="X124" i="100"/>
  <c r="L92" i="100"/>
  <c r="Y90" i="100" s="1"/>
  <c r="S87" i="100"/>
  <c r="R87" i="100"/>
  <c r="E92" i="100" s="1"/>
  <c r="R90" i="100" s="1"/>
  <c r="AF104" i="100"/>
  <c r="X63" i="100"/>
  <c r="W43" i="100"/>
  <c r="U43" i="100"/>
  <c r="AD83" i="100"/>
  <c r="V50" i="100"/>
  <c r="U50" i="100"/>
  <c r="M23" i="100"/>
  <c r="J43" i="100"/>
  <c r="R170" i="100"/>
  <c r="R168" i="100"/>
  <c r="R167" i="100"/>
  <c r="R171" i="100"/>
  <c r="R173" i="100"/>
  <c r="R172" i="100"/>
  <c r="K11" i="100"/>
  <c r="W9" i="100" s="1"/>
  <c r="G51" i="100"/>
  <c r="P49" i="100" s="1"/>
  <c r="L10" i="100"/>
  <c r="X10" i="100" s="1"/>
  <c r="H92" i="100"/>
  <c r="H104" i="100" s="1"/>
  <c r="S88" i="100"/>
  <c r="O91" i="100"/>
  <c r="AB91" i="100" s="1"/>
  <c r="F30" i="100"/>
  <c r="N30" i="100" s="1"/>
  <c r="E112" i="100"/>
  <c r="N110" i="100" s="1"/>
  <c r="D102" i="56"/>
  <c r="D191" i="165"/>
  <c r="D104" i="56"/>
  <c r="D194" i="165"/>
  <c r="Z23" i="100"/>
  <c r="AG10" i="157"/>
  <c r="AG9" i="157"/>
  <c r="Z9" i="157"/>
  <c r="Z10" i="157"/>
  <c r="AA10" i="157"/>
  <c r="AA9" i="157"/>
  <c r="AB10" i="157"/>
  <c r="AB9" i="157"/>
  <c r="AC10" i="157"/>
  <c r="AC9" i="157"/>
  <c r="Y10" i="157"/>
  <c r="Y9" i="157"/>
  <c r="W10" i="157"/>
  <c r="W9" i="157"/>
  <c r="AE9" i="157"/>
  <c r="AE10" i="157"/>
  <c r="AF10" i="157"/>
  <c r="AF9" i="157"/>
  <c r="E51" i="100"/>
  <c r="E63" i="100" s="1"/>
  <c r="E11" i="100"/>
  <c r="E23" i="100" s="1"/>
  <c r="H176" i="100"/>
  <c r="I176" i="100"/>
  <c r="M24" i="160"/>
  <c r="D196" i="165"/>
  <c r="L24" i="160"/>
  <c r="K24" i="160"/>
  <c r="P71" i="100"/>
  <c r="AB69" i="100" s="1"/>
  <c r="N70" i="100"/>
  <c r="Z70" i="100" s="1"/>
  <c r="F70" i="100"/>
  <c r="R70" i="100" s="1"/>
  <c r="P70" i="100"/>
  <c r="AB70" i="100" s="1"/>
  <c r="O71" i="100"/>
  <c r="AA69" i="100" s="1"/>
  <c r="Q50" i="100"/>
  <c r="I71" i="100"/>
  <c r="U69" i="100" s="1"/>
  <c r="I70" i="100"/>
  <c r="U70" i="100" s="1"/>
  <c r="E91" i="100"/>
  <c r="R91" i="100" s="1"/>
  <c r="H11" i="100"/>
  <c r="T9" i="100" s="1"/>
  <c r="G91" i="100"/>
  <c r="T91" i="100" s="1"/>
  <c r="F11" i="100"/>
  <c r="R9" i="100" s="1"/>
  <c r="G11" i="100"/>
  <c r="S9" i="100" s="1"/>
  <c r="G10" i="100"/>
  <c r="S10" i="100" s="1"/>
  <c r="F10" i="100"/>
  <c r="R10" i="100" s="1"/>
  <c r="R88" i="100"/>
  <c r="G70" i="100"/>
  <c r="S70" i="100" s="1"/>
  <c r="X7" i="100"/>
  <c r="X12" i="100" s="1"/>
  <c r="F71" i="100"/>
  <c r="R69" i="100" s="1"/>
  <c r="L11" i="100"/>
  <c r="X9" i="100" s="1"/>
  <c r="K10" i="100"/>
  <c r="W10" i="100" s="1"/>
  <c r="J10" i="100"/>
  <c r="V10" i="100" s="1"/>
  <c r="G112" i="100"/>
  <c r="P110" i="100" s="1"/>
  <c r="F92" i="100"/>
  <c r="F104" i="100" s="1"/>
  <c r="H70" i="100"/>
  <c r="T70" i="100" s="1"/>
  <c r="H10" i="100"/>
  <c r="T10" i="100" s="1"/>
  <c r="F91" i="100"/>
  <c r="S91" i="100" s="1"/>
  <c r="H71" i="100"/>
  <c r="T69" i="100" s="1"/>
  <c r="E10" i="100"/>
  <c r="Q10" i="100" s="1"/>
  <c r="G71" i="100"/>
  <c r="G83" i="100" s="1"/>
  <c r="F31" i="100"/>
  <c r="N29" i="100" s="1"/>
  <c r="O70" i="100"/>
  <c r="AA70" i="100" s="1"/>
  <c r="N71" i="100"/>
  <c r="Z69" i="100" s="1"/>
  <c r="J70" i="100"/>
  <c r="V70" i="100" s="1"/>
  <c r="L70" i="100"/>
  <c r="X70" i="100" s="1"/>
  <c r="K71" i="100"/>
  <c r="K83" i="100" s="1"/>
  <c r="G50" i="100"/>
  <c r="P50" i="100" s="1"/>
  <c r="E50" i="100"/>
  <c r="N50" i="100" s="1"/>
  <c r="O92" i="100"/>
  <c r="O104" i="100" s="1"/>
  <c r="I92" i="100"/>
  <c r="V90" i="100" s="1"/>
  <c r="G92" i="100"/>
  <c r="T90" i="100" s="1"/>
  <c r="R43" i="100"/>
  <c r="U63" i="100"/>
  <c r="Q63" i="100"/>
  <c r="T43" i="100"/>
  <c r="S43" i="100"/>
  <c r="V63" i="100"/>
  <c r="S63" i="100"/>
  <c r="T63" i="100"/>
  <c r="R63" i="100"/>
  <c r="D88" i="56"/>
  <c r="B9" i="154"/>
  <c r="E59" i="133"/>
  <c r="F59" i="133"/>
  <c r="K47" i="133"/>
  <c r="K48" i="133"/>
  <c r="K49" i="133"/>
  <c r="K50" i="133"/>
  <c r="K51" i="133"/>
  <c r="K52" i="133"/>
  <c r="K53" i="133"/>
  <c r="K54" i="133"/>
  <c r="F33" i="65"/>
  <c r="F34" i="65"/>
  <c r="F35" i="65"/>
  <c r="F36" i="65"/>
  <c r="F37" i="65"/>
  <c r="E208" i="101"/>
  <c r="K59" i="133" s="1"/>
  <c r="E290" i="101"/>
  <c r="E207" i="101"/>
  <c r="E289" i="101"/>
  <c r="E212" i="101"/>
  <c r="E213" i="101"/>
  <c r="E295" i="101"/>
  <c r="E294" i="101"/>
  <c r="E211" i="101"/>
  <c r="E293" i="101"/>
  <c r="AA23" i="100"/>
  <c r="E261" i="101"/>
  <c r="B10" i="154"/>
  <c r="E288" i="101"/>
  <c r="E130" i="101"/>
  <c r="E262" i="101"/>
  <c r="E280" i="101"/>
  <c r="E270" i="101"/>
  <c r="E286" i="101"/>
  <c r="E278" i="101"/>
  <c r="E268" i="101"/>
  <c r="E287" i="101"/>
  <c r="E269" i="101"/>
  <c r="E132" i="101"/>
  <c r="E277" i="101"/>
  <c r="E267" i="101"/>
  <c r="E279" i="101"/>
  <c r="E274" i="101"/>
  <c r="E131" i="101"/>
  <c r="E276" i="101"/>
  <c r="E266" i="101"/>
  <c r="E273" i="101"/>
  <c r="E283" i="101"/>
  <c r="E264" i="101"/>
  <c r="E282" i="101"/>
  <c r="E272" i="101"/>
  <c r="E275" i="101"/>
  <c r="E265" i="101"/>
  <c r="E263" i="101"/>
  <c r="E281" i="101"/>
  <c r="E271" i="101"/>
  <c r="B11" i="154"/>
  <c r="X9" i="157"/>
  <c r="H59" i="133"/>
  <c r="G59" i="133"/>
  <c r="J59" i="133"/>
  <c r="B12" i="154"/>
  <c r="B13" i="154"/>
  <c r="B14" i="154"/>
  <c r="B15" i="154"/>
  <c r="B16" i="154"/>
  <c r="B17" i="154"/>
  <c r="B18" i="154"/>
  <c r="B19" i="154"/>
  <c r="B20" i="154"/>
  <c r="B21" i="154"/>
  <c r="B22" i="154"/>
  <c r="B24" i="154"/>
  <c r="B23" i="154"/>
  <c r="K60" i="133"/>
  <c r="K58" i="133" s="1"/>
  <c r="H60" i="133"/>
  <c r="H58" i="133" s="1"/>
  <c r="F42" i="133" s="1"/>
  <c r="G60" i="133"/>
  <c r="G58" i="133" s="1"/>
  <c r="F41" i="133" s="1"/>
  <c r="E60" i="133"/>
  <c r="E58" i="133" s="1"/>
  <c r="F39" i="133" s="1"/>
  <c r="I60" i="133"/>
  <c r="I58" i="133" s="1"/>
  <c r="F43" i="133" s="1"/>
  <c r="F60" i="133"/>
  <c r="F58" i="133" s="1"/>
  <c r="F40" i="133" s="1"/>
  <c r="J60" i="133"/>
  <c r="X10" i="157"/>
  <c r="F38" i="133"/>
  <c r="M47" i="169"/>
  <c r="N47" i="169" s="1"/>
  <c r="M51" i="169"/>
  <c r="N51" i="169" s="1"/>
  <c r="J58" i="133"/>
  <c r="F37" i="133" s="1"/>
  <c r="D99" i="165"/>
  <c r="D100" i="165"/>
  <c r="D101" i="165"/>
  <c r="D91" i="165"/>
  <c r="D89" i="165"/>
  <c r="D86" i="165"/>
  <c r="C12" i="159"/>
  <c r="C13" i="159"/>
  <c r="C14" i="159"/>
  <c r="C15" i="159"/>
  <c r="C16" i="159"/>
  <c r="C17" i="159"/>
  <c r="C18" i="159"/>
  <c r="C19" i="159"/>
  <c r="C20" i="159"/>
  <c r="C21" i="159"/>
  <c r="C22" i="159"/>
  <c r="C23" i="159"/>
  <c r="C24" i="159"/>
  <c r="C25" i="159"/>
  <c r="C26" i="159"/>
  <c r="C27" i="159"/>
  <c r="C28" i="159"/>
  <c r="C29" i="159"/>
  <c r="C30" i="159"/>
  <c r="N136" i="61"/>
  <c r="F26" i="56" s="1"/>
  <c r="B55" i="56"/>
  <c r="AM32" i="157"/>
  <c r="L32" i="157"/>
  <c r="D181" i="165"/>
  <c r="M32" i="157"/>
  <c r="D182" i="165"/>
  <c r="N32" i="157"/>
  <c r="D177" i="165"/>
  <c r="O32" i="157"/>
  <c r="D180" i="165"/>
  <c r="P32" i="157"/>
  <c r="D183" i="165"/>
  <c r="T32" i="157"/>
  <c r="U12" i="157"/>
  <c r="U13" i="157"/>
  <c r="U14" i="157"/>
  <c r="U15" i="157"/>
  <c r="U16" i="157"/>
  <c r="U17" i="157"/>
  <c r="U18" i="157"/>
  <c r="U19" i="157"/>
  <c r="U20" i="157"/>
  <c r="U21" i="157"/>
  <c r="U22" i="157"/>
  <c r="U23" i="157"/>
  <c r="U24" i="157"/>
  <c r="U25" i="157"/>
  <c r="U26" i="157"/>
  <c r="U27" i="157"/>
  <c r="U28" i="157"/>
  <c r="U29" i="157"/>
  <c r="J32" i="157"/>
  <c r="I32" i="157"/>
  <c r="D179" i="165"/>
  <c r="G32" i="157"/>
  <c r="F32" i="157"/>
  <c r="D178" i="165"/>
  <c r="C12" i="157"/>
  <c r="C13" i="157"/>
  <c r="C14" i="157"/>
  <c r="C15" i="157"/>
  <c r="C16" i="157"/>
  <c r="C17" i="157"/>
  <c r="C18" i="157"/>
  <c r="C19" i="157"/>
  <c r="C20" i="157"/>
  <c r="C21" i="157"/>
  <c r="C22" i="157"/>
  <c r="C23" i="157"/>
  <c r="C24" i="157"/>
  <c r="C25" i="157"/>
  <c r="C26" i="157"/>
  <c r="C27" i="157"/>
  <c r="C28" i="157"/>
  <c r="C29" i="157"/>
  <c r="C30" i="157"/>
  <c r="AP80" i="113"/>
  <c r="AQ80" i="113"/>
  <c r="BC145" i="113"/>
  <c r="BD145" i="113"/>
  <c r="AP112" i="113"/>
  <c r="AS112" i="113"/>
  <c r="AT112" i="113"/>
  <c r="I177" i="113"/>
  <c r="BE177" i="113"/>
  <c r="BH177" i="113"/>
  <c r="BI177" i="113"/>
  <c r="AP81" i="113"/>
  <c r="AQ81" i="113"/>
  <c r="BC146" i="113"/>
  <c r="BD146" i="113"/>
  <c r="AP113" i="113"/>
  <c r="AS113" i="113"/>
  <c r="AT113" i="113"/>
  <c r="I178" i="113"/>
  <c r="BE178" i="113"/>
  <c r="BH178" i="113"/>
  <c r="BI178" i="113"/>
  <c r="AP82" i="113"/>
  <c r="AQ82" i="113"/>
  <c r="BC147" i="113"/>
  <c r="BD147" i="113"/>
  <c r="AP114" i="113"/>
  <c r="AS114" i="113"/>
  <c r="AT114" i="113"/>
  <c r="I179" i="113"/>
  <c r="BE179" i="113"/>
  <c r="BH179" i="113"/>
  <c r="BI179" i="113"/>
  <c r="AP83" i="113"/>
  <c r="AQ83" i="113"/>
  <c r="BC148" i="113"/>
  <c r="BD148" i="113"/>
  <c r="AP115" i="113"/>
  <c r="AS115" i="113"/>
  <c r="AT115" i="113"/>
  <c r="I180" i="113"/>
  <c r="BE180" i="113"/>
  <c r="BH180" i="113"/>
  <c r="BI180" i="113"/>
  <c r="AP84" i="113"/>
  <c r="AQ84" i="113"/>
  <c r="BC149" i="113"/>
  <c r="BD149" i="113"/>
  <c r="AP116" i="113"/>
  <c r="AS116" i="113"/>
  <c r="AT116" i="113"/>
  <c r="I181" i="113"/>
  <c r="BE181" i="113"/>
  <c r="BH181" i="113"/>
  <c r="BI181" i="113"/>
  <c r="AP85" i="113"/>
  <c r="AQ85" i="113"/>
  <c r="BC150" i="113"/>
  <c r="BD150" i="113"/>
  <c r="AP117" i="113"/>
  <c r="AS117" i="113"/>
  <c r="AT117" i="113"/>
  <c r="I182" i="113"/>
  <c r="BE182" i="113"/>
  <c r="BH182" i="113"/>
  <c r="BI182" i="113"/>
  <c r="AP86" i="113"/>
  <c r="AQ86" i="113"/>
  <c r="BC151" i="113"/>
  <c r="BD151" i="113"/>
  <c r="AP118" i="113"/>
  <c r="AS118" i="113"/>
  <c r="AT118" i="113"/>
  <c r="I183" i="113"/>
  <c r="BE183" i="113"/>
  <c r="BH183" i="113"/>
  <c r="BI183" i="113"/>
  <c r="AP87" i="113"/>
  <c r="AQ87" i="113"/>
  <c r="BC152" i="113"/>
  <c r="BD152" i="113"/>
  <c r="AP119" i="113"/>
  <c r="AS119" i="113"/>
  <c r="AT119" i="113"/>
  <c r="I184" i="113"/>
  <c r="BE184" i="113"/>
  <c r="BH184" i="113"/>
  <c r="BI184" i="113"/>
  <c r="AP88" i="113"/>
  <c r="AQ88" i="113"/>
  <c r="BC153" i="113"/>
  <c r="BD153" i="113"/>
  <c r="AP120" i="113"/>
  <c r="AS120" i="113"/>
  <c r="AT120" i="113"/>
  <c r="I185" i="113"/>
  <c r="BE185" i="113"/>
  <c r="BH185" i="113"/>
  <c r="BI185" i="113"/>
  <c r="AP89" i="113"/>
  <c r="AQ89" i="113"/>
  <c r="BC154" i="113"/>
  <c r="BD154" i="113"/>
  <c r="AP121" i="113"/>
  <c r="AS121" i="113"/>
  <c r="AT121" i="113"/>
  <c r="I186" i="113"/>
  <c r="BE186" i="113"/>
  <c r="BH186" i="113"/>
  <c r="BI186" i="113"/>
  <c r="AP90" i="113"/>
  <c r="AQ90" i="113"/>
  <c r="BC155" i="113"/>
  <c r="BD155" i="113"/>
  <c r="AP122" i="113"/>
  <c r="AS122" i="113"/>
  <c r="AT122" i="113"/>
  <c r="I187" i="113"/>
  <c r="BE187" i="113"/>
  <c r="BH187" i="113"/>
  <c r="BI187" i="113"/>
  <c r="AP91" i="113"/>
  <c r="AQ91" i="113"/>
  <c r="BC156" i="113"/>
  <c r="BD156" i="113"/>
  <c r="AP123" i="113"/>
  <c r="AS123" i="113"/>
  <c r="AT123" i="113"/>
  <c r="I188" i="113"/>
  <c r="BE188" i="113"/>
  <c r="BH188" i="113"/>
  <c r="BI188" i="113"/>
  <c r="AP92" i="113"/>
  <c r="AQ92" i="113"/>
  <c r="BC157" i="113"/>
  <c r="BD157" i="113"/>
  <c r="AP124" i="113"/>
  <c r="AS124" i="113"/>
  <c r="AT124" i="113"/>
  <c r="I189" i="113"/>
  <c r="BE189" i="113"/>
  <c r="BH189" i="113"/>
  <c r="BI189" i="113"/>
  <c r="AP93" i="113"/>
  <c r="AQ93" i="113"/>
  <c r="BC158" i="113"/>
  <c r="BD158" i="113"/>
  <c r="AP125" i="113"/>
  <c r="AS125" i="113"/>
  <c r="AT125" i="113"/>
  <c r="I190" i="113"/>
  <c r="BE190" i="113"/>
  <c r="BH190" i="113"/>
  <c r="BI190" i="113"/>
  <c r="AP94" i="113"/>
  <c r="AQ94" i="113"/>
  <c r="BC159" i="113"/>
  <c r="BD159" i="113"/>
  <c r="AP126" i="113"/>
  <c r="AS126" i="113"/>
  <c r="AT126" i="113"/>
  <c r="I191" i="113"/>
  <c r="BE191" i="113"/>
  <c r="BH191" i="113"/>
  <c r="BI191" i="113"/>
  <c r="AP95" i="113"/>
  <c r="AQ95" i="113"/>
  <c r="BC160" i="113"/>
  <c r="BD160" i="113"/>
  <c r="AP127" i="113"/>
  <c r="AS127" i="113"/>
  <c r="AT127" i="113"/>
  <c r="I192" i="113"/>
  <c r="BE192" i="113"/>
  <c r="BH192" i="113"/>
  <c r="BI192" i="113"/>
  <c r="AP96" i="113"/>
  <c r="AQ96" i="113"/>
  <c r="BC161" i="113"/>
  <c r="BD161" i="113"/>
  <c r="AP128" i="113"/>
  <c r="AS128" i="113"/>
  <c r="AT128" i="113"/>
  <c r="I193" i="113"/>
  <c r="BE193" i="113"/>
  <c r="BH193" i="113"/>
  <c r="BI193" i="113"/>
  <c r="AP97" i="113"/>
  <c r="AQ97" i="113"/>
  <c r="BC162" i="113"/>
  <c r="BD162" i="113"/>
  <c r="AP129" i="113"/>
  <c r="AS129" i="113"/>
  <c r="AT129" i="113"/>
  <c r="I194" i="113"/>
  <c r="BE194" i="113"/>
  <c r="BH194" i="113"/>
  <c r="BI194" i="113"/>
  <c r="AP98" i="113"/>
  <c r="AQ98" i="113"/>
  <c r="BC163" i="113"/>
  <c r="BD163" i="113"/>
  <c r="AP130" i="113"/>
  <c r="AS130" i="113"/>
  <c r="AT130" i="113"/>
  <c r="I195" i="113"/>
  <c r="BE195" i="113"/>
  <c r="BH195" i="113"/>
  <c r="BI195" i="113"/>
  <c r="C14" i="113"/>
  <c r="C15" i="113"/>
  <c r="C16" i="113"/>
  <c r="C17" i="113"/>
  <c r="C18" i="113"/>
  <c r="C19" i="113"/>
  <c r="C20" i="113"/>
  <c r="C21" i="113"/>
  <c r="C22" i="113"/>
  <c r="C23" i="113"/>
  <c r="C24" i="113"/>
  <c r="C25" i="113"/>
  <c r="C26" i="113"/>
  <c r="C27" i="113"/>
  <c r="C28" i="113"/>
  <c r="C29" i="113"/>
  <c r="C30" i="113"/>
  <c r="C31" i="113"/>
  <c r="C32" i="113"/>
  <c r="AT165" i="113"/>
  <c r="AO165" i="113"/>
  <c r="AJ165" i="113"/>
  <c r="W100" i="113"/>
  <c r="AB100" i="113"/>
  <c r="AG100" i="113"/>
  <c r="I176" i="113"/>
  <c r="V34" i="113"/>
  <c r="AI177" i="113"/>
  <c r="AI185" i="113"/>
  <c r="AI178" i="113"/>
  <c r="AI186" i="113"/>
  <c r="AI194" i="113"/>
  <c r="AI190" i="113"/>
  <c r="AI179" i="113"/>
  <c r="AI187" i="113"/>
  <c r="AI195" i="113"/>
  <c r="AI189" i="113"/>
  <c r="AI182" i="113"/>
  <c r="AI193" i="113"/>
  <c r="AI180" i="113"/>
  <c r="AI188" i="113"/>
  <c r="AI176" i="113"/>
  <c r="AI181" i="113"/>
  <c r="AI183" i="113"/>
  <c r="AI191" i="113"/>
  <c r="AI184" i="113"/>
  <c r="AI192" i="113"/>
  <c r="M187" i="113"/>
  <c r="O187" i="113"/>
  <c r="M179" i="113"/>
  <c r="O179" i="113"/>
  <c r="M188" i="113"/>
  <c r="O188" i="113"/>
  <c r="M180" i="113"/>
  <c r="O180" i="113"/>
  <c r="M182" i="113"/>
  <c r="O182" i="113"/>
  <c r="M191" i="113"/>
  <c r="O191" i="113"/>
  <c r="M183" i="113"/>
  <c r="O183" i="113"/>
  <c r="M192" i="113"/>
  <c r="O192" i="113"/>
  <c r="M184" i="113"/>
  <c r="O184" i="113"/>
  <c r="M189" i="113"/>
  <c r="O189" i="113"/>
  <c r="M190" i="113"/>
  <c r="O190" i="113"/>
  <c r="M193" i="113"/>
  <c r="O193" i="113"/>
  <c r="M185" i="113"/>
  <c r="O185" i="113"/>
  <c r="M177" i="113"/>
  <c r="O177" i="113"/>
  <c r="M176" i="113"/>
  <c r="O176" i="113"/>
  <c r="M195" i="113"/>
  <c r="O195" i="113"/>
  <c r="O181" i="113"/>
  <c r="M194" i="113"/>
  <c r="O194" i="113"/>
  <c r="M186" i="113"/>
  <c r="O186" i="113"/>
  <c r="M178" i="113"/>
  <c r="O178" i="113"/>
  <c r="E32" i="157"/>
  <c r="D104" i="165"/>
  <c r="F100" i="113"/>
  <c r="Q100" i="113"/>
  <c r="K34" i="113"/>
  <c r="R35" i="113"/>
  <c r="L34" i="113"/>
  <c r="D171" i="165"/>
  <c r="M34" i="113"/>
  <c r="D172" i="165"/>
  <c r="AD165" i="113"/>
  <c r="T132" i="113"/>
  <c r="J197" i="113"/>
  <c r="N197" i="113"/>
  <c r="AH197" i="113"/>
  <c r="E100" i="113"/>
  <c r="Q35" i="113" s="1"/>
  <c r="W66" i="113"/>
  <c r="F66" i="113"/>
  <c r="E34" i="113"/>
  <c r="D167" i="165" s="1"/>
  <c r="AP111" i="113"/>
  <c r="S35" i="113"/>
  <c r="D174" i="165"/>
  <c r="AP132" i="113"/>
  <c r="U132" i="113"/>
  <c r="AZ165" i="113"/>
  <c r="D103" i="165"/>
  <c r="D87" i="165"/>
  <c r="L54" i="162"/>
  <c r="L62" i="162"/>
  <c r="L63" i="162"/>
  <c r="L56" i="162"/>
  <c r="L64" i="162"/>
  <c r="L58" i="162"/>
  <c r="L68" i="162"/>
  <c r="L69" i="162"/>
  <c r="L57" i="162"/>
  <c r="L65" i="162"/>
  <c r="L66" i="162"/>
  <c r="L59" i="162"/>
  <c r="L67" i="162"/>
  <c r="L60" i="162"/>
  <c r="L61" i="162"/>
  <c r="L55" i="162"/>
  <c r="B46" i="56"/>
  <c r="B45" i="56"/>
  <c r="B44" i="56"/>
  <c r="B43" i="56"/>
  <c r="B42" i="56"/>
  <c r="B21" i="56"/>
  <c r="B40" i="56"/>
  <c r="B38" i="56"/>
  <c r="B33" i="56"/>
  <c r="B31" i="56"/>
  <c r="R82" i="86"/>
  <c r="S82" i="86"/>
  <c r="U82" i="86"/>
  <c r="BQ82" i="86"/>
  <c r="BR82" i="86"/>
  <c r="R83" i="86"/>
  <c r="S83" i="86"/>
  <c r="U83" i="86"/>
  <c r="BQ83" i="86"/>
  <c r="BR83" i="86"/>
  <c r="R84" i="86"/>
  <c r="S84" i="86"/>
  <c r="U84" i="86"/>
  <c r="BQ84" i="86"/>
  <c r="BR84" i="86"/>
  <c r="R85" i="86"/>
  <c r="S85" i="86"/>
  <c r="U85" i="86"/>
  <c r="BQ85" i="86"/>
  <c r="BR85" i="86"/>
  <c r="R86" i="86"/>
  <c r="S86" i="86"/>
  <c r="U86" i="86"/>
  <c r="BQ86" i="86"/>
  <c r="BR86" i="86"/>
  <c r="R87" i="86"/>
  <c r="S87" i="86"/>
  <c r="U87" i="86"/>
  <c r="BQ87" i="86"/>
  <c r="BR87" i="86"/>
  <c r="R88" i="86"/>
  <c r="S88" i="86"/>
  <c r="U88" i="86"/>
  <c r="BQ88" i="86"/>
  <c r="BR88" i="86"/>
  <c r="R89" i="86"/>
  <c r="S89" i="86"/>
  <c r="U89" i="86"/>
  <c r="BQ89" i="86"/>
  <c r="BR89" i="86"/>
  <c r="R90" i="86"/>
  <c r="S90" i="86"/>
  <c r="U90" i="86"/>
  <c r="BQ90" i="86"/>
  <c r="BR90" i="86"/>
  <c r="R91" i="86"/>
  <c r="S91" i="86"/>
  <c r="U91" i="86"/>
  <c r="BQ91" i="86"/>
  <c r="BR91" i="86"/>
  <c r="R92" i="86"/>
  <c r="S92" i="86"/>
  <c r="U92" i="86"/>
  <c r="BQ92" i="86"/>
  <c r="BR92" i="86"/>
  <c r="R93" i="86"/>
  <c r="S93" i="86"/>
  <c r="U93" i="86"/>
  <c r="BQ93" i="86"/>
  <c r="BR93" i="86"/>
  <c r="R94" i="86"/>
  <c r="S94" i="86"/>
  <c r="U94" i="86"/>
  <c r="BQ94" i="86"/>
  <c r="BR94" i="86"/>
  <c r="BQ71" i="86"/>
  <c r="BR71" i="86"/>
  <c r="BQ73" i="86"/>
  <c r="BR73" i="86"/>
  <c r="BQ74" i="86"/>
  <c r="BR74" i="86"/>
  <c r="BQ75" i="86"/>
  <c r="BR75" i="86"/>
  <c r="BQ76" i="86"/>
  <c r="BR76" i="86"/>
  <c r="BQ77" i="86"/>
  <c r="BR77" i="86"/>
  <c r="BQ78" i="86"/>
  <c r="BR78" i="86"/>
  <c r="BQ80" i="86"/>
  <c r="BR80" i="86"/>
  <c r="BQ81" i="86"/>
  <c r="BR81" i="86"/>
  <c r="BQ95" i="86"/>
  <c r="BR95" i="86"/>
  <c r="BQ96" i="86"/>
  <c r="BR96" i="86"/>
  <c r="BQ97" i="86"/>
  <c r="BR97" i="86"/>
  <c r="AH69" i="86"/>
  <c r="AH100" i="86"/>
  <c r="R69" i="86"/>
  <c r="C70" i="86"/>
  <c r="C71" i="86"/>
  <c r="C72" i="86"/>
  <c r="C73" i="86"/>
  <c r="C74" i="86"/>
  <c r="C75" i="86"/>
  <c r="C76" i="86"/>
  <c r="C77" i="86"/>
  <c r="C78" i="86"/>
  <c r="C79" i="86"/>
  <c r="C80" i="86"/>
  <c r="C81" i="86"/>
  <c r="C82" i="86"/>
  <c r="C83" i="86"/>
  <c r="C84" i="86"/>
  <c r="C85" i="86"/>
  <c r="C86" i="86"/>
  <c r="C87" i="86"/>
  <c r="C88" i="86"/>
  <c r="C89" i="86"/>
  <c r="C90" i="86"/>
  <c r="C91" i="86"/>
  <c r="H62" i="86"/>
  <c r="D69" i="165"/>
  <c r="M10" i="86"/>
  <c r="C11" i="86"/>
  <c r="C12" i="86"/>
  <c r="C13" i="86"/>
  <c r="C14" i="86"/>
  <c r="C15" i="86"/>
  <c r="C16" i="86"/>
  <c r="C17" i="86"/>
  <c r="C18" i="86"/>
  <c r="C19" i="86"/>
  <c r="C20" i="86"/>
  <c r="C21" i="86"/>
  <c r="C22" i="86"/>
  <c r="C23" i="86"/>
  <c r="C24" i="86"/>
  <c r="C25" i="86"/>
  <c r="C26" i="86"/>
  <c r="C27" i="86"/>
  <c r="C28" i="86"/>
  <c r="C29" i="86"/>
  <c r="C30" i="86"/>
  <c r="C31" i="86"/>
  <c r="C32" i="86"/>
  <c r="C33" i="86"/>
  <c r="C34" i="86"/>
  <c r="C485" i="61"/>
  <c r="H479" i="61"/>
  <c r="D53" i="165"/>
  <c r="J474" i="61"/>
  <c r="C475" i="61"/>
  <c r="C476" i="61"/>
  <c r="C477" i="61"/>
  <c r="J464" i="61"/>
  <c r="C465" i="61"/>
  <c r="C466" i="61"/>
  <c r="C467" i="61"/>
  <c r="H469" i="61"/>
  <c r="D52" i="165"/>
  <c r="H459" i="61"/>
  <c r="J452" i="61"/>
  <c r="J453" i="61"/>
  <c r="J451" i="61"/>
  <c r="J419" i="61"/>
  <c r="J420" i="61"/>
  <c r="J418" i="61"/>
  <c r="H393" i="61"/>
  <c r="H413" i="61"/>
  <c r="D39" i="165"/>
  <c r="E195" i="101"/>
  <c r="E194" i="101"/>
  <c r="R323" i="61"/>
  <c r="S323" i="61"/>
  <c r="R324" i="61"/>
  <c r="S324" i="61"/>
  <c r="R325" i="61"/>
  <c r="S325" i="61"/>
  <c r="R318" i="61"/>
  <c r="S318" i="61"/>
  <c r="R319" i="61"/>
  <c r="S319" i="61"/>
  <c r="R320" i="61"/>
  <c r="S320" i="61"/>
  <c r="R321" i="61"/>
  <c r="S321" i="61"/>
  <c r="R326" i="61"/>
  <c r="S326" i="61"/>
  <c r="R327" i="61"/>
  <c r="S327" i="61"/>
  <c r="R322" i="61"/>
  <c r="S322" i="61"/>
  <c r="H366" i="61"/>
  <c r="U267" i="61"/>
  <c r="V267" i="61"/>
  <c r="U268" i="61"/>
  <c r="V268" i="61"/>
  <c r="U269" i="61"/>
  <c r="V269" i="61"/>
  <c r="U270" i="61"/>
  <c r="V270" i="61"/>
  <c r="U271" i="61"/>
  <c r="V271" i="61"/>
  <c r="U272" i="61"/>
  <c r="V272" i="61"/>
  <c r="U273" i="61"/>
  <c r="V273" i="61"/>
  <c r="U274" i="61"/>
  <c r="V274" i="61"/>
  <c r="U275" i="61"/>
  <c r="V275" i="61"/>
  <c r="U276" i="61"/>
  <c r="V276" i="61"/>
  <c r="H267" i="61"/>
  <c r="H268" i="61"/>
  <c r="H269" i="61"/>
  <c r="H270" i="61"/>
  <c r="H271" i="61"/>
  <c r="H272" i="61"/>
  <c r="H273" i="61"/>
  <c r="H274" i="61"/>
  <c r="H275" i="61"/>
  <c r="H276" i="61"/>
  <c r="W236" i="61"/>
  <c r="X236" i="61"/>
  <c r="H236" i="61"/>
  <c r="O236" i="61"/>
  <c r="P236" i="61"/>
  <c r="S236" i="61"/>
  <c r="W235" i="61"/>
  <c r="X235" i="61"/>
  <c r="H235" i="61"/>
  <c r="O235" i="61"/>
  <c r="P235" i="61"/>
  <c r="S235" i="61"/>
  <c r="W234" i="61"/>
  <c r="X234" i="61"/>
  <c r="H234" i="61"/>
  <c r="O234" i="61"/>
  <c r="P234" i="61"/>
  <c r="S234" i="61"/>
  <c r="W233" i="61"/>
  <c r="X233" i="61"/>
  <c r="H233" i="61"/>
  <c r="O233" i="61"/>
  <c r="P233" i="61"/>
  <c r="S233" i="61"/>
  <c r="W232" i="61"/>
  <c r="X232" i="61"/>
  <c r="H232" i="61"/>
  <c r="O232" i="61"/>
  <c r="P232" i="61"/>
  <c r="S232" i="61"/>
  <c r="W231" i="61"/>
  <c r="X231" i="61"/>
  <c r="H231" i="61"/>
  <c r="O231" i="61"/>
  <c r="P231" i="61"/>
  <c r="S231" i="61"/>
  <c r="W230" i="61"/>
  <c r="X230" i="61"/>
  <c r="H230" i="61"/>
  <c r="O230" i="61"/>
  <c r="P230" i="61"/>
  <c r="S230" i="61"/>
  <c r="W229" i="61"/>
  <c r="X229" i="61"/>
  <c r="H229" i="61"/>
  <c r="O229" i="61"/>
  <c r="P229" i="61"/>
  <c r="S229" i="61"/>
  <c r="W228" i="61"/>
  <c r="X228" i="61"/>
  <c r="H228" i="61"/>
  <c r="O228" i="61"/>
  <c r="P228" i="61"/>
  <c r="S228" i="61"/>
  <c r="W227" i="61"/>
  <c r="X227" i="61"/>
  <c r="H227" i="61"/>
  <c r="O227" i="61"/>
  <c r="P227" i="61"/>
  <c r="S227" i="61"/>
  <c r="W226" i="61"/>
  <c r="X226" i="61"/>
  <c r="H226" i="61"/>
  <c r="O226" i="61"/>
  <c r="P226" i="61"/>
  <c r="S226" i="61"/>
  <c r="W225" i="61"/>
  <c r="X225" i="61"/>
  <c r="H225" i="61"/>
  <c r="O225" i="61"/>
  <c r="P225" i="61"/>
  <c r="S225" i="61"/>
  <c r="W224" i="61"/>
  <c r="X224" i="61"/>
  <c r="H224" i="61"/>
  <c r="O224" i="61"/>
  <c r="P224" i="61"/>
  <c r="S224" i="61"/>
  <c r="W223" i="61"/>
  <c r="X223" i="61"/>
  <c r="H223" i="61"/>
  <c r="O223" i="61"/>
  <c r="P223" i="61"/>
  <c r="S223" i="61"/>
  <c r="W222" i="61"/>
  <c r="X222" i="61"/>
  <c r="H222" i="61"/>
  <c r="O222" i="61"/>
  <c r="P222" i="61"/>
  <c r="S222" i="61"/>
  <c r="W221" i="61"/>
  <c r="X221" i="61"/>
  <c r="H221" i="61"/>
  <c r="O221" i="61"/>
  <c r="P221" i="61"/>
  <c r="S221" i="61"/>
  <c r="W220" i="61"/>
  <c r="X220" i="61"/>
  <c r="H220" i="61"/>
  <c r="O220" i="61"/>
  <c r="P220" i="61"/>
  <c r="S220" i="61"/>
  <c r="W219" i="61"/>
  <c r="X219" i="61"/>
  <c r="H219" i="61"/>
  <c r="O219" i="61"/>
  <c r="W218" i="61"/>
  <c r="X218" i="61"/>
  <c r="H218" i="61"/>
  <c r="O218" i="61"/>
  <c r="P218" i="61"/>
  <c r="S218" i="61"/>
  <c r="C218" i="61"/>
  <c r="C219" i="61"/>
  <c r="C220" i="61"/>
  <c r="C221" i="61"/>
  <c r="C222" i="61"/>
  <c r="C223" i="61"/>
  <c r="C224" i="61"/>
  <c r="C225" i="61"/>
  <c r="C226" i="61"/>
  <c r="C227" i="61"/>
  <c r="C228" i="61"/>
  <c r="C229" i="61"/>
  <c r="C230" i="61"/>
  <c r="C231" i="61"/>
  <c r="C232" i="61"/>
  <c r="C233" i="61"/>
  <c r="C234" i="61"/>
  <c r="C235" i="61"/>
  <c r="C236" i="61"/>
  <c r="W217" i="61"/>
  <c r="X217" i="61"/>
  <c r="H217" i="61"/>
  <c r="O217" i="61"/>
  <c r="P217" i="61"/>
  <c r="S217" i="61"/>
  <c r="P166" i="61"/>
  <c r="Y166" i="61"/>
  <c r="Z166" i="61"/>
  <c r="P167" i="61"/>
  <c r="Q167" i="61"/>
  <c r="R167" i="61"/>
  <c r="U167" i="61"/>
  <c r="Y167" i="61"/>
  <c r="Z167" i="61"/>
  <c r="P168" i="61"/>
  <c r="Y168" i="61"/>
  <c r="Z168" i="61"/>
  <c r="P169" i="61"/>
  <c r="Q169" i="61"/>
  <c r="Y169" i="61"/>
  <c r="Z169" i="61"/>
  <c r="P170" i="61"/>
  <c r="Q170" i="61"/>
  <c r="Y170" i="61"/>
  <c r="Z170" i="61"/>
  <c r="P171" i="61"/>
  <c r="Q171" i="61"/>
  <c r="Y171" i="61"/>
  <c r="Z171" i="61"/>
  <c r="P172" i="61"/>
  <c r="Q172" i="61"/>
  <c r="Y172" i="61"/>
  <c r="Z172" i="61"/>
  <c r="P173" i="61"/>
  <c r="Q173" i="61"/>
  <c r="Y173" i="61"/>
  <c r="Z173" i="61"/>
  <c r="P174" i="61"/>
  <c r="Q174" i="61"/>
  <c r="Y174" i="61"/>
  <c r="Z174" i="61"/>
  <c r="P175" i="61"/>
  <c r="Q175" i="61"/>
  <c r="Y175" i="61"/>
  <c r="Z175" i="61"/>
  <c r="P176" i="61"/>
  <c r="Q176" i="61"/>
  <c r="Y176" i="61"/>
  <c r="Z176" i="61"/>
  <c r="P177" i="61"/>
  <c r="Q177" i="61"/>
  <c r="Y177" i="61"/>
  <c r="Z177" i="61"/>
  <c r="P178" i="61"/>
  <c r="Q178" i="61"/>
  <c r="Y178" i="61"/>
  <c r="Z178" i="61"/>
  <c r="P179" i="61"/>
  <c r="Q179" i="61"/>
  <c r="Y179" i="61"/>
  <c r="Z179" i="61"/>
  <c r="P180" i="61"/>
  <c r="Q180" i="61"/>
  <c r="Y180" i="61"/>
  <c r="Z180" i="61"/>
  <c r="P181" i="61"/>
  <c r="Q181" i="61"/>
  <c r="Y181" i="61"/>
  <c r="Z181" i="61"/>
  <c r="P182" i="61"/>
  <c r="Q182" i="61"/>
  <c r="Y182" i="61"/>
  <c r="Z182" i="61"/>
  <c r="P183" i="61"/>
  <c r="Q183" i="61"/>
  <c r="Y183" i="61"/>
  <c r="Z183" i="61"/>
  <c r="H104" i="61"/>
  <c r="P104" i="61"/>
  <c r="Q104" i="61"/>
  <c r="H105" i="61"/>
  <c r="H106" i="61"/>
  <c r="H107" i="61"/>
  <c r="P107" i="61"/>
  <c r="Q107" i="61"/>
  <c r="T107" i="61"/>
  <c r="H108" i="61"/>
  <c r="H109" i="61"/>
  <c r="P109" i="61"/>
  <c r="Q109" i="61"/>
  <c r="T109" i="61"/>
  <c r="H110" i="61"/>
  <c r="H111" i="61"/>
  <c r="H112" i="61"/>
  <c r="P112" i="61"/>
  <c r="Q112" i="61"/>
  <c r="T112" i="61"/>
  <c r="H113" i="61"/>
  <c r="H114" i="61"/>
  <c r="H115" i="61"/>
  <c r="P115" i="61"/>
  <c r="Q115" i="61"/>
  <c r="T115" i="61"/>
  <c r="H116" i="61"/>
  <c r="H117" i="61"/>
  <c r="P117" i="61"/>
  <c r="Q117" i="61"/>
  <c r="T117" i="61"/>
  <c r="H118" i="61"/>
  <c r="P118" i="61"/>
  <c r="Q118" i="61"/>
  <c r="T118" i="61"/>
  <c r="H119" i="61"/>
  <c r="H120" i="61"/>
  <c r="H121" i="61"/>
  <c r="H122" i="61"/>
  <c r="H123" i="61"/>
  <c r="P123" i="61"/>
  <c r="Q123" i="61"/>
  <c r="T123" i="61"/>
  <c r="X123" i="61"/>
  <c r="Y123" i="61"/>
  <c r="X122" i="61"/>
  <c r="Y122" i="61"/>
  <c r="X121" i="61"/>
  <c r="Y121" i="61"/>
  <c r="X120" i="61"/>
  <c r="Y120" i="61"/>
  <c r="X119" i="61"/>
  <c r="Y119" i="61"/>
  <c r="X118" i="61"/>
  <c r="Y118" i="61"/>
  <c r="X117" i="61"/>
  <c r="Y117" i="61"/>
  <c r="X116" i="61"/>
  <c r="Y116" i="61"/>
  <c r="X115" i="61"/>
  <c r="Y115" i="61"/>
  <c r="X114" i="61"/>
  <c r="Y114" i="61"/>
  <c r="X113" i="61"/>
  <c r="Y113" i="61"/>
  <c r="X112" i="61"/>
  <c r="Y112" i="61"/>
  <c r="X111" i="61"/>
  <c r="Y111" i="61"/>
  <c r="X110" i="61"/>
  <c r="Y110" i="61"/>
  <c r="X109" i="61"/>
  <c r="Y109" i="61"/>
  <c r="X108" i="61"/>
  <c r="Y108" i="61"/>
  <c r="X107" i="61"/>
  <c r="Y107" i="61"/>
  <c r="X106" i="61"/>
  <c r="Y106" i="61"/>
  <c r="X105" i="61"/>
  <c r="Y105" i="61"/>
  <c r="C105" i="61"/>
  <c r="C106" i="61"/>
  <c r="C107" i="61"/>
  <c r="C108" i="61"/>
  <c r="C109" i="61"/>
  <c r="C110" i="61"/>
  <c r="C111" i="61"/>
  <c r="C112" i="61"/>
  <c r="C113" i="61"/>
  <c r="C114" i="61"/>
  <c r="C115" i="61"/>
  <c r="C116" i="61"/>
  <c r="C117" i="61"/>
  <c r="C118" i="61"/>
  <c r="C119" i="61"/>
  <c r="C120" i="61"/>
  <c r="C121" i="61"/>
  <c r="C122" i="61"/>
  <c r="C123" i="61"/>
  <c r="X104" i="61"/>
  <c r="Y104" i="61"/>
  <c r="I165" i="61"/>
  <c r="L165" i="61"/>
  <c r="I166" i="61"/>
  <c r="I167" i="61"/>
  <c r="I168" i="61"/>
  <c r="I169" i="61"/>
  <c r="I170" i="61"/>
  <c r="I171" i="61"/>
  <c r="I172" i="61"/>
  <c r="I173" i="61"/>
  <c r="I174" i="61"/>
  <c r="I175" i="61"/>
  <c r="I176" i="61"/>
  <c r="I177" i="61"/>
  <c r="I178" i="61"/>
  <c r="I179" i="61"/>
  <c r="I180" i="61"/>
  <c r="I181" i="61"/>
  <c r="I182" i="61"/>
  <c r="I183" i="61"/>
  <c r="I184" i="61"/>
  <c r="C166" i="61"/>
  <c r="C167" i="61"/>
  <c r="C168" i="61"/>
  <c r="C169" i="61"/>
  <c r="C170" i="61"/>
  <c r="C171" i="61"/>
  <c r="C172" i="61"/>
  <c r="C173" i="61"/>
  <c r="C174" i="61"/>
  <c r="C175" i="61"/>
  <c r="C176" i="61"/>
  <c r="C177" i="61"/>
  <c r="C178" i="61"/>
  <c r="C179" i="61"/>
  <c r="C180" i="61"/>
  <c r="C181" i="61"/>
  <c r="C182" i="61"/>
  <c r="C183" i="61"/>
  <c r="C184" i="61"/>
  <c r="I85" i="61"/>
  <c r="P85" i="61"/>
  <c r="Q85" i="61"/>
  <c r="R85" i="61"/>
  <c r="U85" i="61"/>
  <c r="Y85" i="61"/>
  <c r="Z85" i="61"/>
  <c r="I86" i="61"/>
  <c r="P86" i="61"/>
  <c r="Q86" i="61"/>
  <c r="R86" i="61"/>
  <c r="U86" i="61"/>
  <c r="Y86" i="61"/>
  <c r="Z86" i="61"/>
  <c r="I87" i="61"/>
  <c r="P87" i="61"/>
  <c r="Q87" i="61"/>
  <c r="R87" i="61"/>
  <c r="U87" i="61"/>
  <c r="Y87" i="61"/>
  <c r="Z87" i="61"/>
  <c r="I88" i="61"/>
  <c r="Y88" i="61"/>
  <c r="Z88" i="61"/>
  <c r="I89" i="61"/>
  <c r="Y89" i="61"/>
  <c r="Z89" i="61"/>
  <c r="I90" i="61"/>
  <c r="P90" i="61"/>
  <c r="Q90" i="61"/>
  <c r="R90" i="61"/>
  <c r="U90" i="61"/>
  <c r="Y90" i="61"/>
  <c r="Z90" i="61"/>
  <c r="C72" i="61"/>
  <c r="C73" i="61"/>
  <c r="C74" i="61"/>
  <c r="C75" i="61"/>
  <c r="C76" i="61"/>
  <c r="C77" i="61"/>
  <c r="C78" i="61"/>
  <c r="C79" i="61"/>
  <c r="C80" i="61"/>
  <c r="C81" i="61"/>
  <c r="C82" i="61"/>
  <c r="C83" i="61"/>
  <c r="C84" i="61"/>
  <c r="C85" i="61"/>
  <c r="C86" i="61"/>
  <c r="C87" i="61"/>
  <c r="C88" i="61"/>
  <c r="C89" i="61"/>
  <c r="C90" i="61"/>
  <c r="H256" i="61"/>
  <c r="D30" i="165"/>
  <c r="J247" i="61"/>
  <c r="J248" i="61"/>
  <c r="J249" i="61"/>
  <c r="J250" i="61"/>
  <c r="J251" i="61"/>
  <c r="J246" i="61"/>
  <c r="J143" i="61"/>
  <c r="J144" i="61"/>
  <c r="J145" i="61"/>
  <c r="J146" i="61"/>
  <c r="J147" i="61"/>
  <c r="J148" i="61"/>
  <c r="J149" i="61"/>
  <c r="J150" i="61"/>
  <c r="J142" i="61"/>
  <c r="J23" i="61"/>
  <c r="J24" i="61"/>
  <c r="J25" i="61"/>
  <c r="J26" i="61"/>
  <c r="J27" i="61"/>
  <c r="J28" i="61"/>
  <c r="J29" i="61"/>
  <c r="J30" i="61"/>
  <c r="J31" i="61"/>
  <c r="J32" i="61"/>
  <c r="J33" i="61"/>
  <c r="J34" i="61"/>
  <c r="J35" i="61"/>
  <c r="J36" i="61"/>
  <c r="J37" i="61"/>
  <c r="J38" i="61"/>
  <c r="J39" i="61"/>
  <c r="B42" i="149"/>
  <c r="B36" i="149"/>
  <c r="J336" i="61"/>
  <c r="J337" i="61"/>
  <c r="J338" i="61"/>
  <c r="J339" i="61"/>
  <c r="J340" i="61"/>
  <c r="J341" i="61"/>
  <c r="J342" i="61"/>
  <c r="J343" i="61"/>
  <c r="J344" i="61"/>
  <c r="J345" i="61"/>
  <c r="J346" i="61"/>
  <c r="J347" i="61"/>
  <c r="J348" i="61"/>
  <c r="J349" i="61"/>
  <c r="J350" i="61"/>
  <c r="J351" i="61"/>
  <c r="J352" i="61"/>
  <c r="J353" i="61"/>
  <c r="J354" i="61"/>
  <c r="J355" i="61"/>
  <c r="J356" i="61"/>
  <c r="J357" i="61"/>
  <c r="J358" i="61"/>
  <c r="J359" i="61"/>
  <c r="J360" i="61"/>
  <c r="J361" i="61"/>
  <c r="J362" i="61"/>
  <c r="J363" i="61"/>
  <c r="J364" i="61"/>
  <c r="B32" i="149"/>
  <c r="B33" i="149"/>
  <c r="B34" i="149"/>
  <c r="B35" i="149"/>
  <c r="I10" i="65"/>
  <c r="V178" i="61"/>
  <c r="L178" i="61"/>
  <c r="V170" i="61"/>
  <c r="L170" i="61"/>
  <c r="V177" i="61"/>
  <c r="L177" i="61"/>
  <c r="V169" i="61"/>
  <c r="L169" i="61"/>
  <c r="V184" i="61"/>
  <c r="L184" i="61"/>
  <c r="V176" i="61"/>
  <c r="L176" i="61"/>
  <c r="V168" i="61"/>
  <c r="L168" i="61"/>
  <c r="V183" i="61"/>
  <c r="L183" i="61"/>
  <c r="V175" i="61"/>
  <c r="L175" i="61"/>
  <c r="V182" i="61"/>
  <c r="L182" i="61"/>
  <c r="V174" i="61"/>
  <c r="L174" i="61"/>
  <c r="V181" i="61"/>
  <c r="L181" i="61"/>
  <c r="V173" i="61"/>
  <c r="L173" i="61"/>
  <c r="V180" i="61"/>
  <c r="L180" i="61"/>
  <c r="V172" i="61"/>
  <c r="L172" i="61"/>
  <c r="D40" i="56"/>
  <c r="V179" i="61"/>
  <c r="L179" i="61"/>
  <c r="V171" i="61"/>
  <c r="L171" i="61"/>
  <c r="T219" i="61"/>
  <c r="P219" i="61"/>
  <c r="S219" i="61"/>
  <c r="V167" i="61"/>
  <c r="L167" i="61"/>
  <c r="V166" i="61"/>
  <c r="L166" i="61"/>
  <c r="AB100" i="86"/>
  <c r="Z100" i="86"/>
  <c r="V165" i="61"/>
  <c r="R168" i="61"/>
  <c r="U168" i="61"/>
  <c r="Q168" i="61"/>
  <c r="Q166" i="61"/>
  <c r="R166" i="61"/>
  <c r="U166" i="61"/>
  <c r="AA55" i="161"/>
  <c r="AA63" i="161"/>
  <c r="AA67" i="161"/>
  <c r="AA56" i="161"/>
  <c r="AA64" i="161"/>
  <c r="AA66" i="161"/>
  <c r="AA68" i="161"/>
  <c r="AA53" i="161"/>
  <c r="AA62" i="161"/>
  <c r="AA57" i="161"/>
  <c r="AA65" i="161"/>
  <c r="AA58" i="161"/>
  <c r="AA60" i="161"/>
  <c r="AA61" i="161"/>
  <c r="AA54" i="161"/>
  <c r="AA59" i="161"/>
  <c r="AH65" i="162"/>
  <c r="AJ65" i="162"/>
  <c r="AH68" i="162"/>
  <c r="AJ68" i="162"/>
  <c r="AH69" i="162"/>
  <c r="AJ69" i="162"/>
  <c r="AH53" i="162"/>
  <c r="AJ53" i="162"/>
  <c r="AH54" i="162"/>
  <c r="AJ54" i="162"/>
  <c r="AH57" i="162"/>
  <c r="AJ57" i="162"/>
  <c r="AH67" i="162"/>
  <c r="AJ67" i="162"/>
  <c r="AH66" i="162"/>
  <c r="AJ66" i="162"/>
  <c r="AH61" i="162"/>
  <c r="AJ61" i="162"/>
  <c r="AH63" i="162"/>
  <c r="AJ63" i="162"/>
  <c r="AH59" i="162"/>
  <c r="AJ59" i="162"/>
  <c r="AH64" i="162"/>
  <c r="AJ64" i="162"/>
  <c r="AH60" i="162"/>
  <c r="AJ60" i="162"/>
  <c r="AH58" i="162"/>
  <c r="AJ58" i="162"/>
  <c r="AH56" i="162"/>
  <c r="AJ56" i="162"/>
  <c r="AH55" i="162"/>
  <c r="AJ55" i="162"/>
  <c r="AH62" i="162"/>
  <c r="AJ62" i="162"/>
  <c r="P238" i="61"/>
  <c r="S238" i="61"/>
  <c r="O108" i="61"/>
  <c r="P108" i="61"/>
  <c r="V87" i="61"/>
  <c r="O122" i="61"/>
  <c r="P122" i="61"/>
  <c r="O114" i="61"/>
  <c r="P114" i="61"/>
  <c r="Q114" i="61"/>
  <c r="T114" i="61"/>
  <c r="O106" i="61"/>
  <c r="P106" i="61"/>
  <c r="O116" i="61"/>
  <c r="P116" i="61"/>
  <c r="O121" i="61"/>
  <c r="P121" i="61"/>
  <c r="O113" i="61"/>
  <c r="P113" i="61"/>
  <c r="Q113" i="61"/>
  <c r="T113" i="61"/>
  <c r="O105" i="61"/>
  <c r="P105" i="61"/>
  <c r="V90" i="61"/>
  <c r="V86" i="61"/>
  <c r="O120" i="61"/>
  <c r="P120" i="61"/>
  <c r="O119" i="61"/>
  <c r="P119" i="61"/>
  <c r="Q119" i="61"/>
  <c r="T119" i="61"/>
  <c r="O111" i="61"/>
  <c r="P111" i="61"/>
  <c r="V85" i="61"/>
  <c r="O110" i="61"/>
  <c r="P110" i="61"/>
  <c r="AW40" i="169"/>
  <c r="AX40" i="169"/>
  <c r="C92" i="86"/>
  <c r="L71" i="162"/>
  <c r="D153" i="165"/>
  <c r="D38" i="56"/>
  <c r="D37" i="165"/>
  <c r="D36" i="56"/>
  <c r="D35" i="165"/>
  <c r="H278" i="61"/>
  <c r="H125" i="61"/>
  <c r="H238" i="61"/>
  <c r="D29" i="165"/>
  <c r="D56" i="56"/>
  <c r="D44" i="56"/>
  <c r="D43" i="56"/>
  <c r="D45" i="56"/>
  <c r="D31" i="56"/>
  <c r="C486" i="61"/>
  <c r="C487" i="61"/>
  <c r="T227" i="61"/>
  <c r="T235" i="61"/>
  <c r="W86" i="86"/>
  <c r="W92" i="86"/>
  <c r="W89" i="86"/>
  <c r="W91" i="86"/>
  <c r="W90" i="86"/>
  <c r="W84" i="86"/>
  <c r="W88" i="86"/>
  <c r="W83" i="86"/>
  <c r="W85" i="86"/>
  <c r="W94" i="86"/>
  <c r="W87" i="86"/>
  <c r="W82" i="86"/>
  <c r="W93" i="86"/>
  <c r="T220" i="61"/>
  <c r="T222" i="61"/>
  <c r="T233" i="61"/>
  <c r="T231" i="61"/>
  <c r="T221" i="61"/>
  <c r="T228" i="61"/>
  <c r="T234" i="61"/>
  <c r="T223" i="61"/>
  <c r="T224" i="61"/>
  <c r="T230" i="61"/>
  <c r="T229" i="61"/>
  <c r="T232" i="61"/>
  <c r="T218" i="61"/>
  <c r="T225" i="61"/>
  <c r="T226" i="61"/>
  <c r="T236" i="61"/>
  <c r="O118" i="61"/>
  <c r="O112" i="61"/>
  <c r="O104" i="61"/>
  <c r="U114" i="61"/>
  <c r="U119" i="61"/>
  <c r="O109" i="61"/>
  <c r="U113" i="61"/>
  <c r="O117" i="61"/>
  <c r="O107" i="61"/>
  <c r="O115" i="61"/>
  <c r="O123" i="61"/>
  <c r="P89" i="61"/>
  <c r="Q89" i="61"/>
  <c r="R89" i="61"/>
  <c r="U89" i="61"/>
  <c r="P88" i="61"/>
  <c r="Q88" i="61"/>
  <c r="R88" i="61"/>
  <c r="U88" i="61"/>
  <c r="U120" i="61"/>
  <c r="Q120" i="61"/>
  <c r="T120" i="61"/>
  <c r="U121" i="61"/>
  <c r="Q121" i="61"/>
  <c r="T121" i="61"/>
  <c r="U122" i="61"/>
  <c r="Q122" i="61"/>
  <c r="T122" i="61"/>
  <c r="U110" i="61"/>
  <c r="Q110" i="61"/>
  <c r="T110" i="61"/>
  <c r="U116" i="61"/>
  <c r="Q116" i="61"/>
  <c r="T116" i="61"/>
  <c r="U108" i="61"/>
  <c r="Q108" i="61"/>
  <c r="T108" i="61"/>
  <c r="U111" i="61"/>
  <c r="Q111" i="61"/>
  <c r="T111" i="61"/>
  <c r="U105" i="61"/>
  <c r="Q105" i="61"/>
  <c r="C93" i="86"/>
  <c r="C94" i="86"/>
  <c r="C95" i="86"/>
  <c r="C96" i="86"/>
  <c r="C97" i="86"/>
  <c r="C98" i="86"/>
  <c r="B66" i="86"/>
  <c r="U106" i="61"/>
  <c r="Q106" i="61"/>
  <c r="T106" i="61"/>
  <c r="AJ71" i="162"/>
  <c r="D151" i="165"/>
  <c r="V89" i="61"/>
  <c r="V88" i="61"/>
  <c r="E248" i="101"/>
  <c r="E223" i="101"/>
  <c r="E231" i="101"/>
  <c r="E239" i="101"/>
  <c r="E247" i="101"/>
  <c r="E252" i="101"/>
  <c r="E256" i="101"/>
  <c r="E224" i="101"/>
  <c r="E232" i="101"/>
  <c r="E240" i="101"/>
  <c r="E249" i="101"/>
  <c r="E225" i="101"/>
  <c r="E233" i="101"/>
  <c r="E241" i="101"/>
  <c r="E244" i="101"/>
  <c r="E253" i="101"/>
  <c r="E257" i="101"/>
  <c r="E226" i="101"/>
  <c r="E234" i="101"/>
  <c r="E242" i="101"/>
  <c r="E236" i="101"/>
  <c r="E250" i="101"/>
  <c r="E227" i="101"/>
  <c r="E235" i="101"/>
  <c r="E243" i="101"/>
  <c r="E254" i="101"/>
  <c r="E258" i="101"/>
  <c r="E220" i="101"/>
  <c r="E228" i="101"/>
  <c r="E221" i="101"/>
  <c r="E229" i="101"/>
  <c r="E237" i="101"/>
  <c r="E245" i="101"/>
  <c r="E251" i="101"/>
  <c r="E255" i="101"/>
  <c r="E259" i="101"/>
  <c r="E222" i="101"/>
  <c r="E230" i="101"/>
  <c r="E238" i="101"/>
  <c r="E246" i="101"/>
  <c r="O125" i="61"/>
  <c r="U112" i="61"/>
  <c r="U118" i="61"/>
  <c r="U117" i="61"/>
  <c r="U123" i="61"/>
  <c r="U109" i="61"/>
  <c r="U115" i="61"/>
  <c r="U107" i="61"/>
  <c r="BO82" i="109"/>
  <c r="CZ53" i="109"/>
  <c r="P125" i="61"/>
  <c r="E219" i="101"/>
  <c r="U104" i="61"/>
  <c r="O238" i="61"/>
  <c r="T217" i="61"/>
  <c r="T238" i="61"/>
  <c r="AA53" i="109"/>
  <c r="AA61" i="109"/>
  <c r="AA56" i="109"/>
  <c r="AA64" i="109"/>
  <c r="AA52" i="109"/>
  <c r="AA57" i="109"/>
  <c r="AA65" i="109"/>
  <c r="AA66" i="109"/>
  <c r="AA54" i="109"/>
  <c r="AA58" i="109"/>
  <c r="AA55" i="109"/>
  <c r="AA59" i="109"/>
  <c r="AA67" i="109"/>
  <c r="AA60" i="109"/>
  <c r="AA68" i="109"/>
  <c r="AA62" i="109"/>
  <c r="AA63" i="109"/>
  <c r="AA70" i="109"/>
  <c r="E108" i="101"/>
  <c r="E109" i="101"/>
  <c r="E110" i="101"/>
  <c r="N125" i="61"/>
  <c r="N238" i="61"/>
  <c r="O186" i="61"/>
  <c r="O92" i="61"/>
  <c r="H44" i="149"/>
  <c r="E148" i="101"/>
  <c r="E143" i="101"/>
  <c r="E147" i="101"/>
  <c r="E145" i="101"/>
  <c r="E142" i="101"/>
  <c r="E149" i="101"/>
  <c r="E146" i="101"/>
  <c r="E144" i="101"/>
  <c r="D318" i="61"/>
  <c r="E111" i="101"/>
  <c r="D325" i="61"/>
  <c r="D323" i="61"/>
  <c r="D324" i="61"/>
  <c r="D321" i="61"/>
  <c r="Y318" i="61"/>
  <c r="AC318" i="61" s="1"/>
  <c r="E442" i="101"/>
  <c r="E74" i="101"/>
  <c r="Y321" i="61"/>
  <c r="AC321" i="61" s="1"/>
  <c r="Y323" i="61"/>
  <c r="AC323" i="61" s="1"/>
  <c r="Y324" i="61"/>
  <c r="AC324" i="61" s="1"/>
  <c r="E447" i="101"/>
  <c r="E445" i="101"/>
  <c r="E77" i="101"/>
  <c r="E438" i="101"/>
  <c r="E70" i="101"/>
  <c r="E444" i="101"/>
  <c r="E76" i="101"/>
  <c r="E437" i="101"/>
  <c r="E69" i="101"/>
  <c r="E436" i="101"/>
  <c r="E68" i="101"/>
  <c r="E439" i="101"/>
  <c r="E71" i="101"/>
  <c r="E443" i="101"/>
  <c r="E75" i="101"/>
  <c r="E135" i="101"/>
  <c r="E136" i="101"/>
  <c r="E137" i="101"/>
  <c r="E138" i="101"/>
  <c r="E133" i="101"/>
  <c r="E134" i="101"/>
  <c r="E48" i="101"/>
  <c r="E49" i="101"/>
  <c r="E50" i="101"/>
  <c r="E51" i="101"/>
  <c r="E52" i="101"/>
  <c r="E117" i="101"/>
  <c r="E118" i="101"/>
  <c r="E119" i="101"/>
  <c r="E120" i="101"/>
  <c r="E113" i="101"/>
  <c r="E114" i="101"/>
  <c r="E112" i="101"/>
  <c r="E115" i="101"/>
  <c r="E116" i="101"/>
  <c r="E88" i="101"/>
  <c r="E101" i="101"/>
  <c r="E93" i="101"/>
  <c r="E99" i="101"/>
  <c r="E91" i="101"/>
  <c r="E103" i="101"/>
  <c r="E95" i="101"/>
  <c r="E102" i="101"/>
  <c r="E94" i="101"/>
  <c r="E100" i="101"/>
  <c r="E97" i="101"/>
  <c r="E92" i="101"/>
  <c r="E98" i="101"/>
  <c r="E89" i="101"/>
  <c r="E104" i="101"/>
  <c r="E90" i="101"/>
  <c r="E96" i="101"/>
  <c r="E87" i="101"/>
  <c r="E47" i="101"/>
  <c r="E361" i="101"/>
  <c r="E309" i="101"/>
  <c r="E359" i="101"/>
  <c r="E329" i="101"/>
  <c r="E324" i="101"/>
  <c r="E344" i="101"/>
  <c r="E315" i="101"/>
  <c r="E343" i="101"/>
  <c r="E338" i="101"/>
  <c r="E376" i="101"/>
  <c r="E332" i="101"/>
  <c r="E355" i="101"/>
  <c r="E321" i="101"/>
  <c r="E345" i="101"/>
  <c r="E306" i="101"/>
  <c r="E340" i="101"/>
  <c r="E358" i="101"/>
  <c r="E410" i="101"/>
  <c r="E311" i="101"/>
  <c r="E328" i="101"/>
  <c r="E387" i="101"/>
  <c r="E320" i="101"/>
  <c r="E380" i="101"/>
  <c r="E424" i="101"/>
  <c r="E363" i="101"/>
  <c r="E322" i="101"/>
  <c r="E326" i="101"/>
  <c r="E378" i="101"/>
  <c r="E431" i="101"/>
  <c r="E360" i="101"/>
  <c r="E348" i="101"/>
  <c r="E400" i="101"/>
  <c r="E391" i="101"/>
  <c r="E331" i="101"/>
  <c r="E421" i="101"/>
  <c r="E346" i="101"/>
  <c r="E374" i="101"/>
  <c r="E327" i="101"/>
  <c r="E323" i="101"/>
  <c r="E383" i="101"/>
  <c r="E316" i="101"/>
  <c r="E368" i="101"/>
  <c r="E394" i="101"/>
  <c r="E377" i="101"/>
  <c r="E389" i="101"/>
  <c r="E314" i="101"/>
  <c r="E342" i="101"/>
  <c r="E386" i="101"/>
  <c r="E403" i="101"/>
  <c r="E336" i="101"/>
  <c r="E422" i="101"/>
  <c r="E375" i="101"/>
  <c r="E384" i="101"/>
  <c r="E372" i="101"/>
  <c r="E390" i="101"/>
  <c r="E412" i="101"/>
  <c r="E362" i="101"/>
  <c r="E357" i="101"/>
  <c r="E401" i="101"/>
  <c r="E373" i="101"/>
  <c r="E366" i="101"/>
  <c r="E418" i="101"/>
  <c r="E319" i="101"/>
  <c r="E371" i="101"/>
  <c r="E304" i="101"/>
  <c r="E385" i="101"/>
  <c r="E313" i="101"/>
  <c r="E325" i="101"/>
  <c r="E369" i="101"/>
  <c r="E405" i="101"/>
  <c r="E398" i="101"/>
  <c r="E351" i="101"/>
  <c r="E339" i="101"/>
  <c r="E399" i="101"/>
  <c r="E353" i="101"/>
  <c r="E337" i="101"/>
  <c r="E404" i="101"/>
  <c r="E302" i="101"/>
  <c r="E354" i="101"/>
  <c r="E414" i="101"/>
  <c r="E307" i="101"/>
  <c r="E367" i="101"/>
  <c r="E301" i="101"/>
  <c r="E416" i="101"/>
  <c r="E420" i="101"/>
  <c r="E305" i="101"/>
  <c r="E430" i="101"/>
  <c r="E334" i="101"/>
  <c r="E382" i="101"/>
  <c r="E429" i="101"/>
  <c r="E335" i="101"/>
  <c r="E434" i="101"/>
  <c r="E419" i="101"/>
  <c r="E433" i="101"/>
  <c r="E392" i="101"/>
  <c r="E388" i="101"/>
  <c r="E428" i="101"/>
  <c r="E395" i="101"/>
  <c r="E365" i="101"/>
  <c r="E409" i="101"/>
  <c r="E350" i="101"/>
  <c r="E402" i="101"/>
  <c r="E303" i="101"/>
  <c r="E423" i="101"/>
  <c r="E352" i="101"/>
  <c r="E356" i="101"/>
  <c r="E408" i="101"/>
  <c r="E308" i="101"/>
  <c r="E397" i="101"/>
  <c r="E318" i="101"/>
  <c r="E370" i="101"/>
  <c r="E427" i="101"/>
  <c r="E425" i="101"/>
  <c r="E413" i="101"/>
  <c r="E406" i="101"/>
  <c r="E415" i="101"/>
  <c r="E411" i="101"/>
  <c r="E426" i="101"/>
  <c r="E381" i="101"/>
  <c r="E310" i="101"/>
  <c r="E379" i="101"/>
  <c r="E312" i="101"/>
  <c r="E417" i="101"/>
  <c r="E396" i="101"/>
  <c r="E432" i="101"/>
  <c r="E349" i="101"/>
  <c r="E393" i="101"/>
  <c r="E341" i="101"/>
  <c r="E333" i="101"/>
  <c r="E347" i="101"/>
  <c r="E407" i="101"/>
  <c r="E330" i="101"/>
  <c r="E364" i="101"/>
  <c r="E317" i="101"/>
  <c r="E300" i="101"/>
  <c r="M18" i="86"/>
  <c r="M29" i="86"/>
  <c r="AI66" i="109"/>
  <c r="AK66" i="109"/>
  <c r="AI53" i="109"/>
  <c r="AK53" i="109"/>
  <c r="AM53" i="109"/>
  <c r="AI57" i="109"/>
  <c r="AK57" i="109"/>
  <c r="AM57" i="109"/>
  <c r="AI55" i="109"/>
  <c r="AK55" i="109"/>
  <c r="AM55" i="109"/>
  <c r="AI58" i="109"/>
  <c r="AK58" i="109"/>
  <c r="AI59" i="109"/>
  <c r="AK59" i="109"/>
  <c r="AM59" i="109"/>
  <c r="AI67" i="109"/>
  <c r="AK67" i="109"/>
  <c r="AM67" i="109"/>
  <c r="AI60" i="109"/>
  <c r="AK60" i="109"/>
  <c r="AM60" i="109"/>
  <c r="AI61" i="109"/>
  <c r="AK61" i="109"/>
  <c r="AM61" i="109"/>
  <c r="AI54" i="109"/>
  <c r="AK54" i="109"/>
  <c r="AI56" i="109"/>
  <c r="AK56" i="109"/>
  <c r="AM56" i="109"/>
  <c r="AI52" i="109"/>
  <c r="AK52" i="109"/>
  <c r="AI64" i="109"/>
  <c r="AK64" i="109"/>
  <c r="AM64" i="109"/>
  <c r="AI62" i="109"/>
  <c r="AK62" i="109"/>
  <c r="AI65" i="109"/>
  <c r="AK65" i="109"/>
  <c r="AM65" i="109"/>
  <c r="AI63" i="109"/>
  <c r="AK63" i="109"/>
  <c r="AM63" i="109"/>
  <c r="BO61" i="109"/>
  <c r="BQ61" i="109"/>
  <c r="BO57" i="109"/>
  <c r="BQ57" i="109"/>
  <c r="BO65" i="109"/>
  <c r="BQ65" i="109"/>
  <c r="BO66" i="109"/>
  <c r="BQ66" i="109"/>
  <c r="BO53" i="109"/>
  <c r="BQ53" i="109"/>
  <c r="BO67" i="109"/>
  <c r="BQ67" i="109"/>
  <c r="BO63" i="109"/>
  <c r="BQ63" i="109"/>
  <c r="BO68" i="109"/>
  <c r="BQ68" i="109"/>
  <c r="BO54" i="109"/>
  <c r="BQ54" i="109"/>
  <c r="BO62" i="109"/>
  <c r="BQ62" i="109"/>
  <c r="BO55" i="109"/>
  <c r="BQ55" i="109"/>
  <c r="BO64" i="109"/>
  <c r="BQ64" i="109"/>
  <c r="BO56" i="109"/>
  <c r="BQ56" i="109"/>
  <c r="BO59" i="109"/>
  <c r="BQ59" i="109"/>
  <c r="BO60" i="109"/>
  <c r="BQ60" i="109"/>
  <c r="BO58" i="109"/>
  <c r="BQ58" i="109"/>
  <c r="AZ68" i="109"/>
  <c r="BB68" i="109"/>
  <c r="AZ67" i="109"/>
  <c r="BB67" i="109"/>
  <c r="AZ65" i="109"/>
  <c r="BB65" i="109"/>
  <c r="BJ65" i="109"/>
  <c r="AZ58" i="109"/>
  <c r="BB58" i="109"/>
  <c r="BJ58" i="109"/>
  <c r="AZ62" i="109"/>
  <c r="BB62" i="109"/>
  <c r="BJ62" i="109"/>
  <c r="AZ55" i="109"/>
  <c r="BB55" i="109"/>
  <c r="BJ55" i="109"/>
  <c r="AZ57" i="109"/>
  <c r="BB57" i="109"/>
  <c r="BJ57" i="109"/>
  <c r="AZ53" i="109"/>
  <c r="BB53" i="109"/>
  <c r="AZ61" i="109"/>
  <c r="BB61" i="109"/>
  <c r="BJ61" i="109"/>
  <c r="AZ66" i="109"/>
  <c r="BB66" i="109"/>
  <c r="AZ54" i="109"/>
  <c r="BB54" i="109"/>
  <c r="AZ59" i="109"/>
  <c r="BB59" i="109"/>
  <c r="BJ59" i="109"/>
  <c r="AZ64" i="109"/>
  <c r="BB64" i="109"/>
  <c r="BJ64" i="109"/>
  <c r="AZ56" i="109"/>
  <c r="BB56" i="109"/>
  <c r="BJ56" i="109"/>
  <c r="AZ60" i="109"/>
  <c r="BB60" i="109"/>
  <c r="BJ60" i="109"/>
  <c r="AZ63" i="109"/>
  <c r="BB63" i="109"/>
  <c r="BJ63" i="109"/>
  <c r="R54" i="162"/>
  <c r="R62" i="162"/>
  <c r="R53" i="162"/>
  <c r="R55" i="162"/>
  <c r="R63" i="162"/>
  <c r="R56" i="162"/>
  <c r="R57" i="162"/>
  <c r="R65" i="162"/>
  <c r="R66" i="162"/>
  <c r="R68" i="162"/>
  <c r="R69" i="162"/>
  <c r="R58" i="162"/>
  <c r="R59" i="162"/>
  <c r="R67" i="162"/>
  <c r="R60" i="162"/>
  <c r="R61" i="162"/>
  <c r="R64" i="162"/>
  <c r="AI65" i="161"/>
  <c r="AK65" i="161"/>
  <c r="AM65" i="161"/>
  <c r="AI57" i="161"/>
  <c r="AK57" i="161"/>
  <c r="AM57" i="161"/>
  <c r="AI68" i="161"/>
  <c r="AK68" i="161"/>
  <c r="BO57" i="161"/>
  <c r="BQ57" i="161"/>
  <c r="AZ54" i="161"/>
  <c r="BB54" i="161"/>
  <c r="AI61" i="161"/>
  <c r="AK61" i="161"/>
  <c r="AM61" i="161"/>
  <c r="BO59" i="161"/>
  <c r="BQ59" i="161"/>
  <c r="AI54" i="161"/>
  <c r="AK54" i="161"/>
  <c r="AM54" i="161"/>
  <c r="AZ59" i="161"/>
  <c r="BB59" i="161"/>
  <c r="BO63" i="161"/>
  <c r="BQ63" i="161"/>
  <c r="AI66" i="161"/>
  <c r="AK66" i="161"/>
  <c r="AM66" i="161"/>
  <c r="AZ60" i="161"/>
  <c r="BB60" i="161"/>
  <c r="BO55" i="161"/>
  <c r="BQ55" i="161"/>
  <c r="AZ61" i="161"/>
  <c r="BB61" i="161"/>
  <c r="BO54" i="161"/>
  <c r="BQ54" i="161"/>
  <c r="BO61" i="161"/>
  <c r="BQ61" i="161"/>
  <c r="AI60" i="161"/>
  <c r="AK60" i="161"/>
  <c r="AM60" i="161"/>
  <c r="AZ57" i="161"/>
  <c r="BB57" i="161"/>
  <c r="BO62" i="161"/>
  <c r="BQ62" i="161"/>
  <c r="AI59" i="161"/>
  <c r="AK59" i="161"/>
  <c r="AM59" i="161"/>
  <c r="AZ68" i="161"/>
  <c r="BB68" i="161"/>
  <c r="AI63" i="161"/>
  <c r="AK63" i="161"/>
  <c r="AM63" i="161"/>
  <c r="AZ66" i="161"/>
  <c r="BB66" i="161"/>
  <c r="BO53" i="161"/>
  <c r="BQ53" i="161"/>
  <c r="AI56" i="161"/>
  <c r="AK56" i="161"/>
  <c r="AM56" i="161"/>
  <c r="AI64" i="161"/>
  <c r="AK64" i="161"/>
  <c r="AM64" i="161"/>
  <c r="AZ53" i="161"/>
  <c r="BB53" i="161" s="1"/>
  <c r="AZ64" i="161"/>
  <c r="BB64" i="161"/>
  <c r="BO60" i="161"/>
  <c r="BQ60" i="161"/>
  <c r="AZ55" i="161"/>
  <c r="BB55" i="161"/>
  <c r="BO56" i="161"/>
  <c r="BQ56" i="161"/>
  <c r="BO58" i="161"/>
  <c r="BQ58" i="161"/>
  <c r="AZ65" i="161"/>
  <c r="BB65" i="161"/>
  <c r="BO66" i="161"/>
  <c r="BQ66" i="161"/>
  <c r="AI55" i="161"/>
  <c r="AK55" i="161"/>
  <c r="AM55" i="161"/>
  <c r="AZ62" i="161"/>
  <c r="BB62" i="161"/>
  <c r="AI58" i="161"/>
  <c r="AK58" i="161"/>
  <c r="AM58" i="161"/>
  <c r="BO68" i="161"/>
  <c r="BQ68" i="161"/>
  <c r="AI67" i="161"/>
  <c r="AK67" i="161"/>
  <c r="AM67" i="161"/>
  <c r="AZ63" i="161"/>
  <c r="BB63" i="161"/>
  <c r="AZ56" i="161"/>
  <c r="BB56" i="161"/>
  <c r="AI62" i="161"/>
  <c r="AK62" i="161"/>
  <c r="AM62" i="161"/>
  <c r="AZ67" i="161"/>
  <c r="BB67" i="161"/>
  <c r="BO67" i="161"/>
  <c r="BQ67" i="161"/>
  <c r="BO64" i="161"/>
  <c r="BQ64" i="161"/>
  <c r="AZ58" i="161"/>
  <c r="BB58" i="161"/>
  <c r="BO65" i="161"/>
  <c r="BQ65" i="161"/>
  <c r="AI53" i="161"/>
  <c r="AK53" i="161" s="1"/>
  <c r="AX57" i="162"/>
  <c r="AZ57" i="162"/>
  <c r="BB57" i="162"/>
  <c r="AX56" i="162"/>
  <c r="AZ56" i="162"/>
  <c r="BB56" i="162"/>
  <c r="BP68" i="162"/>
  <c r="BR68" i="162"/>
  <c r="BP57" i="162"/>
  <c r="BR57" i="162"/>
  <c r="CE54" i="162"/>
  <c r="CG54" i="162"/>
  <c r="CE66" i="162"/>
  <c r="CG66" i="162"/>
  <c r="AX64" i="162"/>
  <c r="AZ64" i="162"/>
  <c r="BB64" i="162"/>
  <c r="AX54" i="162"/>
  <c r="AZ54" i="162"/>
  <c r="BB54" i="162"/>
  <c r="BP61" i="162"/>
  <c r="BR61" i="162"/>
  <c r="BP69" i="162"/>
  <c r="BR69" i="162"/>
  <c r="BZ69" i="162"/>
  <c r="CE58" i="162"/>
  <c r="CG58" i="162"/>
  <c r="CE64" i="162"/>
  <c r="CG64" i="162"/>
  <c r="AX66" i="162"/>
  <c r="AZ66" i="162"/>
  <c r="BB66" i="162"/>
  <c r="AX60" i="162"/>
  <c r="AZ60" i="162"/>
  <c r="BB60" i="162"/>
  <c r="AX59" i="162"/>
  <c r="AZ59" i="162"/>
  <c r="BB59" i="162"/>
  <c r="BP54" i="162"/>
  <c r="BR54" i="162"/>
  <c r="BT54" i="162"/>
  <c r="BP53" i="162"/>
  <c r="BR53" i="162"/>
  <c r="BZ53" i="162"/>
  <c r="CE61" i="162"/>
  <c r="CG61" i="162"/>
  <c r="CE55" i="162"/>
  <c r="CG55" i="162"/>
  <c r="AX69" i="162"/>
  <c r="AZ69" i="162"/>
  <c r="AX55" i="162"/>
  <c r="AZ55" i="162"/>
  <c r="BB55" i="162"/>
  <c r="BP55" i="162"/>
  <c r="BR55" i="162"/>
  <c r="BP56" i="162"/>
  <c r="BR56" i="162"/>
  <c r="CE69" i="162"/>
  <c r="CG69" i="162"/>
  <c r="CE65" i="162"/>
  <c r="CG65" i="162"/>
  <c r="AX58" i="162"/>
  <c r="AZ58" i="162"/>
  <c r="BB58" i="162"/>
  <c r="AX63" i="162"/>
  <c r="AZ63" i="162"/>
  <c r="BB63" i="162"/>
  <c r="BP65" i="162"/>
  <c r="BR65" i="162"/>
  <c r="BP60" i="162"/>
  <c r="BR60" i="162"/>
  <c r="BP66" i="162"/>
  <c r="BR66" i="162"/>
  <c r="CE56" i="162"/>
  <c r="CG56" i="162"/>
  <c r="CE59" i="162"/>
  <c r="CG59" i="162"/>
  <c r="AX65" i="162"/>
  <c r="AZ65" i="162"/>
  <c r="BB65" i="162"/>
  <c r="AX53" i="162"/>
  <c r="AZ53" i="162"/>
  <c r="BP62" i="162"/>
  <c r="BR62" i="162"/>
  <c r="BP58" i="162"/>
  <c r="BR58" i="162"/>
  <c r="CE62" i="162"/>
  <c r="CG62" i="162"/>
  <c r="CE67" i="162"/>
  <c r="CG67" i="162"/>
  <c r="CE68" i="162"/>
  <c r="CG68" i="162"/>
  <c r="AX68" i="162"/>
  <c r="AZ68" i="162"/>
  <c r="BB68" i="162"/>
  <c r="AX62" i="162"/>
  <c r="AZ62" i="162"/>
  <c r="BB62" i="162"/>
  <c r="BP59" i="162"/>
  <c r="BR59" i="162"/>
  <c r="BP64" i="162"/>
  <c r="BR64" i="162"/>
  <c r="CE60" i="162"/>
  <c r="CG60" i="162"/>
  <c r="CE57" i="162"/>
  <c r="CG57" i="162"/>
  <c r="AX61" i="162"/>
  <c r="AZ61" i="162"/>
  <c r="BB61" i="162"/>
  <c r="AX67" i="162"/>
  <c r="AZ67" i="162"/>
  <c r="BB67" i="162"/>
  <c r="BP63" i="162"/>
  <c r="BR63" i="162"/>
  <c r="BP67" i="162"/>
  <c r="BR67" i="162"/>
  <c r="CE63" i="162"/>
  <c r="CG63" i="162"/>
  <c r="CE53" i="162"/>
  <c r="CG53" i="162"/>
  <c r="AZ52" i="109"/>
  <c r="BB52" i="109"/>
  <c r="BO52" i="109"/>
  <c r="BQ52" i="109"/>
  <c r="BQ70" i="109"/>
  <c r="AI68" i="109"/>
  <c r="AK68" i="109"/>
  <c r="BD62" i="109"/>
  <c r="AM58" i="109"/>
  <c r="BD63" i="109"/>
  <c r="BD59" i="109"/>
  <c r="BD60" i="109"/>
  <c r="BD65" i="109"/>
  <c r="BD57" i="109"/>
  <c r="BD56" i="109"/>
  <c r="AM54" i="109"/>
  <c r="AM66" i="109"/>
  <c r="BD58" i="109"/>
  <c r="BD64" i="109"/>
  <c r="BD66" i="109"/>
  <c r="BD67" i="109"/>
  <c r="BD61" i="109"/>
  <c r="AM62" i="109"/>
  <c r="D92" i="165"/>
  <c r="BT66" i="162"/>
  <c r="BT55" i="162"/>
  <c r="BZ55" i="162"/>
  <c r="CA55" i="162" s="1"/>
  <c r="BT60" i="162"/>
  <c r="BZ60" i="162"/>
  <c r="BT58" i="162"/>
  <c r="BT65" i="162"/>
  <c r="BZ65" i="162"/>
  <c r="CA65" i="162" s="1"/>
  <c r="BT57" i="162"/>
  <c r="BZ57" i="162"/>
  <c r="CA57" i="162" s="1"/>
  <c r="BT59" i="162"/>
  <c r="CA59" i="162" s="1"/>
  <c r="BZ59" i="162"/>
  <c r="BT56" i="162"/>
  <c r="BZ56" i="162"/>
  <c r="CA56" i="162" s="1"/>
  <c r="BT64" i="162"/>
  <c r="BZ64" i="162"/>
  <c r="CA64" i="162" s="1"/>
  <c r="BT62" i="162"/>
  <c r="BZ62" i="162"/>
  <c r="CA62" i="162" s="1"/>
  <c r="BT68" i="162"/>
  <c r="CA68" i="162" s="1"/>
  <c r="BZ68" i="162"/>
  <c r="BT61" i="162"/>
  <c r="BZ61" i="162"/>
  <c r="CA61" i="162" s="1"/>
  <c r="BT67" i="162"/>
  <c r="BT63" i="162"/>
  <c r="BZ63" i="162"/>
  <c r="CA63" i="162" s="1"/>
  <c r="BD58" i="161"/>
  <c r="BD57" i="161"/>
  <c r="BD55" i="161"/>
  <c r="BD59" i="161"/>
  <c r="BD60" i="161"/>
  <c r="BD62" i="161"/>
  <c r="BD63" i="161"/>
  <c r="BJ63" i="161"/>
  <c r="BD64" i="161"/>
  <c r="BJ64" i="161"/>
  <c r="BD61" i="161"/>
  <c r="BD65" i="161"/>
  <c r="BJ65" i="161"/>
  <c r="BD67" i="161"/>
  <c r="BJ67" i="161"/>
  <c r="BD66" i="161"/>
  <c r="BJ66" i="161"/>
  <c r="BD56" i="161"/>
  <c r="BJ68" i="161"/>
  <c r="BD54" i="161"/>
  <c r="BB70" i="109"/>
  <c r="R71" i="162"/>
  <c r="D152" i="165"/>
  <c r="AK70" i="109"/>
  <c r="CG71" i="162"/>
  <c r="D159" i="165"/>
  <c r="BR71" i="162"/>
  <c r="D157" i="165"/>
  <c r="AZ71" i="162"/>
  <c r="D155" i="165"/>
  <c r="G108" i="65"/>
  <c r="G109" i="65"/>
  <c r="G107" i="65"/>
  <c r="F32" i="65"/>
  <c r="I39" i="65"/>
  <c r="I40" i="65"/>
  <c r="I41" i="65"/>
  <c r="I38" i="65"/>
  <c r="Y165" i="61"/>
  <c r="Z165" i="61"/>
  <c r="Y184" i="61"/>
  <c r="Z184" i="61"/>
  <c r="F186" i="61"/>
  <c r="C143" i="61"/>
  <c r="C23" i="61"/>
  <c r="C24" i="61"/>
  <c r="C25" i="61"/>
  <c r="C26" i="61"/>
  <c r="C27" i="61"/>
  <c r="C28" i="61"/>
  <c r="C29" i="61"/>
  <c r="C30" i="61"/>
  <c r="C31" i="61"/>
  <c r="C32" i="61"/>
  <c r="C33" i="61"/>
  <c r="C34" i="61"/>
  <c r="C35" i="61"/>
  <c r="C36" i="61"/>
  <c r="C37" i="61"/>
  <c r="C38" i="61"/>
  <c r="C39" i="61"/>
  <c r="C40" i="61"/>
  <c r="C41" i="61"/>
  <c r="C42" i="61"/>
  <c r="Y71" i="61"/>
  <c r="Z71" i="61"/>
  <c r="Y72" i="61"/>
  <c r="Z72" i="61"/>
  <c r="Y73" i="61"/>
  <c r="Z73" i="61"/>
  <c r="Y74" i="61"/>
  <c r="Z74" i="61"/>
  <c r="Y75" i="61"/>
  <c r="Z75" i="61"/>
  <c r="Y76" i="61"/>
  <c r="Z76" i="61"/>
  <c r="Y77" i="61"/>
  <c r="Z77" i="61"/>
  <c r="Y78" i="61"/>
  <c r="Z78" i="61"/>
  <c r="Y79" i="61"/>
  <c r="Z79" i="61"/>
  <c r="Y80" i="61"/>
  <c r="Z80" i="61"/>
  <c r="Y81" i="61"/>
  <c r="Z81" i="61"/>
  <c r="Y82" i="61"/>
  <c r="Z82" i="61"/>
  <c r="Y83" i="61"/>
  <c r="Z83" i="61"/>
  <c r="Y84" i="61"/>
  <c r="Z84" i="61"/>
  <c r="B30" i="149"/>
  <c r="B31" i="149"/>
  <c r="B17" i="149"/>
  <c r="B18" i="149"/>
  <c r="B21" i="149"/>
  <c r="B22" i="149"/>
  <c r="B23" i="149"/>
  <c r="B24" i="149"/>
  <c r="B25" i="149"/>
  <c r="B26" i="149"/>
  <c r="B27" i="149"/>
  <c r="B28" i="149"/>
  <c r="B29" i="149"/>
  <c r="B7" i="149"/>
  <c r="B8" i="149"/>
  <c r="B9" i="149"/>
  <c r="B10" i="149"/>
  <c r="B11" i="149"/>
  <c r="C11" i="149" s="1"/>
  <c r="B12" i="149"/>
  <c r="B13" i="149"/>
  <c r="B14" i="149"/>
  <c r="B15" i="149"/>
  <c r="B16" i="149"/>
  <c r="DI71" i="162"/>
  <c r="D163" i="165"/>
  <c r="CP70" i="109"/>
  <c r="D29" i="56"/>
  <c r="C144" i="61"/>
  <c r="C145" i="61"/>
  <c r="C146" i="61"/>
  <c r="C147" i="61"/>
  <c r="C148" i="61"/>
  <c r="C149" i="61"/>
  <c r="C150" i="61"/>
  <c r="E166" i="101"/>
  <c r="E158" i="101"/>
  <c r="E184" i="101"/>
  <c r="E180" i="101"/>
  <c r="E164" i="101"/>
  <c r="E178" i="101"/>
  <c r="E168" i="101"/>
  <c r="C19" i="149" s="1"/>
  <c r="E162" i="101"/>
  <c r="E183" i="101"/>
  <c r="E172" i="101"/>
  <c r="E170" i="101"/>
  <c r="E175" i="101"/>
  <c r="E181" i="101"/>
  <c r="E176" i="101"/>
  <c r="C27" i="149" s="1"/>
  <c r="E185" i="101"/>
  <c r="C36" i="149" s="1"/>
  <c r="E167" i="101"/>
  <c r="E173" i="101"/>
  <c r="C24" i="149" s="1"/>
  <c r="E179" i="101"/>
  <c r="E177" i="101"/>
  <c r="E159" i="101"/>
  <c r="E165" i="101"/>
  <c r="E171" i="101"/>
  <c r="E169" i="101"/>
  <c r="C20" i="149" s="1"/>
  <c r="E182" i="101"/>
  <c r="E157" i="101"/>
  <c r="E163" i="101"/>
  <c r="E161" i="101"/>
  <c r="E174" i="101"/>
  <c r="E160" i="101"/>
  <c r="C32" i="149"/>
  <c r="C15" i="149"/>
  <c r="C28" i="149"/>
  <c r="C35" i="149"/>
  <c r="C9" i="149"/>
  <c r="C34" i="149"/>
  <c r="C17" i="149"/>
  <c r="C151" i="61"/>
  <c r="C152" i="61"/>
  <c r="C153" i="61"/>
  <c r="K113" i="61"/>
  <c r="K108" i="61"/>
  <c r="K104" i="61"/>
  <c r="K110" i="61"/>
  <c r="L90" i="61"/>
  <c r="K107" i="61"/>
  <c r="L87" i="61"/>
  <c r="K114" i="61"/>
  <c r="K118" i="61"/>
  <c r="K116" i="61"/>
  <c r="K105" i="61"/>
  <c r="K106" i="61"/>
  <c r="K111" i="61"/>
  <c r="K112" i="61"/>
  <c r="K123" i="61"/>
  <c r="K109" i="61"/>
  <c r="L85" i="61"/>
  <c r="K121" i="61"/>
  <c r="L86" i="61"/>
  <c r="K122" i="61"/>
  <c r="K120" i="61"/>
  <c r="L88" i="61"/>
  <c r="L89" i="61"/>
  <c r="K117" i="61"/>
  <c r="K115" i="61"/>
  <c r="K119" i="61"/>
  <c r="K234" i="61"/>
  <c r="K220" i="61"/>
  <c r="K236" i="61"/>
  <c r="K222" i="61"/>
  <c r="K238" i="61" s="1"/>
  <c r="K224" i="61"/>
  <c r="K225" i="61"/>
  <c r="K221" i="61"/>
  <c r="K230" i="61"/>
  <c r="K223" i="61"/>
  <c r="K232" i="61"/>
  <c r="K233" i="61"/>
  <c r="K229" i="61"/>
  <c r="K231" i="61"/>
  <c r="K219" i="61"/>
  <c r="K227" i="61"/>
  <c r="K228" i="61"/>
  <c r="K226" i="61"/>
  <c r="K218" i="61"/>
  <c r="K235" i="61"/>
  <c r="E156" i="101"/>
  <c r="K217" i="61"/>
  <c r="L267" i="61"/>
  <c r="L276" i="61"/>
  <c r="L269" i="61"/>
  <c r="L273" i="61"/>
  <c r="L275" i="61"/>
  <c r="L272" i="61"/>
  <c r="L274" i="61"/>
  <c r="L271" i="61"/>
  <c r="L278" i="61" s="1"/>
  <c r="L268" i="61"/>
  <c r="L270" i="61"/>
  <c r="G16" i="65"/>
  <c r="D11" i="165"/>
  <c r="D12" i="56"/>
  <c r="BH176" i="113"/>
  <c r="BI176" i="113"/>
  <c r="AS111" i="113"/>
  <c r="AT111" i="113"/>
  <c r="BC144" i="113"/>
  <c r="BD144" i="113"/>
  <c r="AP79" i="113"/>
  <c r="AQ79" i="113"/>
  <c r="A474" i="101"/>
  <c r="A473" i="101"/>
  <c r="A471" i="101"/>
  <c r="A470" i="101"/>
  <c r="AT96" i="109"/>
  <c r="AT87" i="109"/>
  <c r="AT81" i="109"/>
  <c r="AW81" i="109" s="1"/>
  <c r="AT95" i="109"/>
  <c r="AW95" i="109" s="1"/>
  <c r="AT90" i="109"/>
  <c r="AT84" i="109"/>
  <c r="AT89" i="109"/>
  <c r="AT94" i="109"/>
  <c r="AT86" i="109"/>
  <c r="AT82" i="109"/>
  <c r="AT92" i="109"/>
  <c r="AW92" i="109" s="1"/>
  <c r="AT91" i="109"/>
  <c r="AW91" i="109" s="1"/>
  <c r="AT93" i="109"/>
  <c r="AT83" i="109"/>
  <c r="AT97" i="109"/>
  <c r="AT88" i="109"/>
  <c r="AT85" i="109"/>
  <c r="CW65" i="162"/>
  <c r="CW63" i="162"/>
  <c r="CZ63" i="162" s="1"/>
  <c r="CW61" i="162"/>
  <c r="CZ61" i="162" s="1"/>
  <c r="CW60" i="162"/>
  <c r="CW59" i="162"/>
  <c r="CW67" i="162"/>
  <c r="CW66" i="162"/>
  <c r="CW62" i="162"/>
  <c r="CW58" i="162"/>
  <c r="CW57" i="162"/>
  <c r="CW68" i="162"/>
  <c r="CW54" i="162"/>
  <c r="CW53" i="162"/>
  <c r="CW69" i="162"/>
  <c r="CW55" i="162"/>
  <c r="CW64" i="162"/>
  <c r="CW56" i="162"/>
  <c r="CD68" i="161"/>
  <c r="CG68" i="161" s="1"/>
  <c r="CD58" i="161"/>
  <c r="CD54" i="161"/>
  <c r="CD54" i="109"/>
  <c r="CD56" i="109"/>
  <c r="CD61" i="109"/>
  <c r="CD67" i="109"/>
  <c r="CD60" i="161"/>
  <c r="CD59" i="109"/>
  <c r="CG59" i="109" s="1"/>
  <c r="CD64" i="109"/>
  <c r="CD63" i="161"/>
  <c r="CD62" i="161"/>
  <c r="CD57" i="109"/>
  <c r="CD63" i="109"/>
  <c r="CD65" i="109"/>
  <c r="CD66" i="109"/>
  <c r="CD53" i="161"/>
  <c r="CD56" i="161"/>
  <c r="CD67" i="161"/>
  <c r="CD57" i="161"/>
  <c r="CD55" i="109"/>
  <c r="CD60" i="109"/>
  <c r="CD65" i="161"/>
  <c r="CD52" i="161"/>
  <c r="CD52" i="109"/>
  <c r="CD62" i="109"/>
  <c r="CD61" i="161"/>
  <c r="CD55" i="161"/>
  <c r="CD53" i="109"/>
  <c r="CD58" i="109"/>
  <c r="CD68" i="109"/>
  <c r="CD66" i="161"/>
  <c r="CD64" i="161"/>
  <c r="CG64" i="161" s="1"/>
  <c r="CD59" i="161"/>
  <c r="CG59" i="161" s="1"/>
  <c r="AR81" i="109"/>
  <c r="AR83" i="109"/>
  <c r="AR96" i="109"/>
  <c r="AR87" i="109"/>
  <c r="AR82" i="109"/>
  <c r="AR95" i="109"/>
  <c r="AR90" i="109"/>
  <c r="AW90" i="109" s="1"/>
  <c r="AR84" i="109"/>
  <c r="AW84" i="109" s="1"/>
  <c r="AR94" i="109"/>
  <c r="AR86" i="109"/>
  <c r="AR88" i="109"/>
  <c r="AR85" i="109"/>
  <c r="AR92" i="109"/>
  <c r="AR91" i="109"/>
  <c r="AR93" i="109"/>
  <c r="AW93" i="109" s="1"/>
  <c r="AR97" i="109"/>
  <c r="AR89" i="109"/>
  <c r="CU64" i="162"/>
  <c r="CU56" i="162"/>
  <c r="CU65" i="162"/>
  <c r="CU63" i="162"/>
  <c r="CU61" i="162"/>
  <c r="CU67" i="162"/>
  <c r="CZ67" i="162" s="1"/>
  <c r="CU66" i="162"/>
  <c r="CZ66" i="162" s="1"/>
  <c r="CU62" i="162"/>
  <c r="CU58" i="162"/>
  <c r="CU57" i="162"/>
  <c r="CU68" i="162"/>
  <c r="CU54" i="162"/>
  <c r="CU53" i="162"/>
  <c r="CU69" i="162"/>
  <c r="CU55" i="162"/>
  <c r="CU60" i="162"/>
  <c r="CU59" i="162"/>
  <c r="CB55" i="161"/>
  <c r="CB59" i="109"/>
  <c r="CB64" i="109"/>
  <c r="CB68" i="109"/>
  <c r="CB58" i="161"/>
  <c r="CB54" i="161"/>
  <c r="CB63" i="109"/>
  <c r="CB65" i="109"/>
  <c r="CB66" i="109"/>
  <c r="CB52" i="161"/>
  <c r="CB68" i="161"/>
  <c r="CB63" i="161"/>
  <c r="CB60" i="161"/>
  <c r="CB55" i="109"/>
  <c r="CG55" i="109" s="1"/>
  <c r="CB60" i="109"/>
  <c r="CB53" i="161"/>
  <c r="CB62" i="161"/>
  <c r="CB53" i="109"/>
  <c r="CB67" i="161"/>
  <c r="CB57" i="161"/>
  <c r="CB52" i="109"/>
  <c r="CB62" i="109"/>
  <c r="CG62" i="109" s="1"/>
  <c r="CB65" i="161"/>
  <c r="CB58" i="109"/>
  <c r="CB66" i="161"/>
  <c r="CB64" i="161"/>
  <c r="CB61" i="161"/>
  <c r="CB59" i="161"/>
  <c r="CB56" i="161"/>
  <c r="CB54" i="109"/>
  <c r="CG54" i="109" s="1"/>
  <c r="CB56" i="109"/>
  <c r="CB61" i="109"/>
  <c r="CB67" i="109"/>
  <c r="CB57" i="109"/>
  <c r="AV95" i="109"/>
  <c r="AV90" i="109"/>
  <c r="AV84" i="109"/>
  <c r="AV94" i="109"/>
  <c r="AW94" i="109" s="1"/>
  <c r="AV86" i="109"/>
  <c r="AV82" i="109"/>
  <c r="AV92" i="109"/>
  <c r="AV91" i="109"/>
  <c r="AV81" i="109"/>
  <c r="AV93" i="109"/>
  <c r="AV83" i="109"/>
  <c r="AW83" i="109" s="1"/>
  <c r="AV97" i="109"/>
  <c r="AV88" i="109"/>
  <c r="AV85" i="109"/>
  <c r="AV89" i="109"/>
  <c r="AV96" i="109"/>
  <c r="AV87" i="109"/>
  <c r="CY67" i="162"/>
  <c r="CY66" i="162"/>
  <c r="CY56" i="162"/>
  <c r="CZ56" i="162" s="1"/>
  <c r="CY62" i="162"/>
  <c r="CY58" i="162"/>
  <c r="CY57" i="162"/>
  <c r="CY68" i="162"/>
  <c r="CY54" i="162"/>
  <c r="CY53" i="162"/>
  <c r="CY64" i="162"/>
  <c r="CZ64" i="162" s="1"/>
  <c r="CY69" i="162"/>
  <c r="CY55" i="162"/>
  <c r="CY60" i="162"/>
  <c r="CY59" i="162"/>
  <c r="CY65" i="162"/>
  <c r="CY63" i="162"/>
  <c r="CY61" i="162"/>
  <c r="CF63" i="161"/>
  <c r="CG63" i="161" s="1"/>
  <c r="CF60" i="161"/>
  <c r="CF53" i="109"/>
  <c r="CF58" i="109"/>
  <c r="CF62" i="161"/>
  <c r="CF67" i="161"/>
  <c r="CF57" i="161"/>
  <c r="CF59" i="109"/>
  <c r="CF64" i="109"/>
  <c r="CF68" i="109"/>
  <c r="CG68" i="109" s="1"/>
  <c r="CF65" i="161"/>
  <c r="CF57" i="109"/>
  <c r="CF63" i="109"/>
  <c r="CF65" i="109"/>
  <c r="CF66" i="109"/>
  <c r="CF61" i="161"/>
  <c r="CF52" i="109"/>
  <c r="CF53" i="161"/>
  <c r="CF52" i="161"/>
  <c r="CF55" i="109"/>
  <c r="CF60" i="109"/>
  <c r="CF66" i="161"/>
  <c r="CF64" i="161"/>
  <c r="CF59" i="161"/>
  <c r="CF56" i="161"/>
  <c r="CF55" i="161"/>
  <c r="CF62" i="109"/>
  <c r="CF68" i="161"/>
  <c r="CF58" i="161"/>
  <c r="CF54" i="161"/>
  <c r="CF54" i="109"/>
  <c r="CF56" i="109"/>
  <c r="CG56" i="109" s="1"/>
  <c r="CF61" i="109"/>
  <c r="CG61" i="109" s="1"/>
  <c r="CF67" i="109"/>
  <c r="CG67" i="109" s="1"/>
  <c r="AX35" i="169"/>
  <c r="AX51" i="169" s="1"/>
  <c r="AV35" i="169"/>
  <c r="AO35" i="169"/>
  <c r="AO42" i="169" s="1"/>
  <c r="AQ35" i="169"/>
  <c r="AQ44" i="169" s="1"/>
  <c r="AS35" i="169"/>
  <c r="AS45" i="169" s="1"/>
  <c r="CG57" i="161"/>
  <c r="CG57" i="109"/>
  <c r="CG53" i="109"/>
  <c r="CG52" i="161"/>
  <c r="CZ68" i="162"/>
  <c r="AW85" i="109"/>
  <c r="AW87" i="109"/>
  <c r="CG60" i="109"/>
  <c r="CG66" i="161"/>
  <c r="CG62" i="161"/>
  <c r="CG66" i="109"/>
  <c r="CG55" i="161"/>
  <c r="CZ57" i="162"/>
  <c r="AW88" i="109"/>
  <c r="AW96" i="109"/>
  <c r="CG58" i="109"/>
  <c r="CG65" i="109"/>
  <c r="CZ59" i="162"/>
  <c r="CZ58" i="162"/>
  <c r="AW86" i="109"/>
  <c r="CG65" i="161"/>
  <c r="CG63" i="109"/>
  <c r="CZ60" i="162"/>
  <c r="CZ62" i="162"/>
  <c r="AW89" i="109"/>
  <c r="CG67" i="161"/>
  <c r="CG54" i="161"/>
  <c r="CZ55" i="162"/>
  <c r="CG60" i="161"/>
  <c r="CZ69" i="162"/>
  <c r="CZ53" i="162"/>
  <c r="CZ65" i="162"/>
  <c r="CG61" i="161"/>
  <c r="CG64" i="109"/>
  <c r="CZ54" i="162"/>
  <c r="AW82" i="109"/>
  <c r="AS42" i="169"/>
  <c r="AS49" i="169"/>
  <c r="AS48" i="169"/>
  <c r="AQ46" i="169"/>
  <c r="AO49" i="169"/>
  <c r="AO48" i="169"/>
  <c r="AO47" i="169"/>
  <c r="AO46" i="169"/>
  <c r="AO45" i="169"/>
  <c r="AO44" i="169"/>
  <c r="AO51" i="169"/>
  <c r="AO43" i="169"/>
  <c r="AO50" i="169"/>
  <c r="AX49" i="169"/>
  <c r="AV42" i="169"/>
  <c r="EK53" i="161"/>
  <c r="EK60" i="161"/>
  <c r="EK55" i="161"/>
  <c r="EK62" i="161"/>
  <c r="EK58" i="161"/>
  <c r="EK56" i="161"/>
  <c r="EK59" i="161"/>
  <c r="EK61" i="161"/>
  <c r="EK68" i="161"/>
  <c r="EK63" i="161"/>
  <c r="EK57" i="161"/>
  <c r="EK64" i="161"/>
  <c r="EK66" i="161"/>
  <c r="EK67" i="161"/>
  <c r="EK65" i="161"/>
  <c r="EK54" i="161"/>
  <c r="ED63" i="109"/>
  <c r="ED64" i="109"/>
  <c r="ED61" i="109"/>
  <c r="ED67" i="109"/>
  <c r="ED56" i="109"/>
  <c r="ED66" i="109"/>
  <c r="ED60" i="109"/>
  <c r="ED55" i="109"/>
  <c r="ED59" i="109"/>
  <c r="ED54" i="109"/>
  <c r="ED53" i="109"/>
  <c r="ED58" i="109"/>
  <c r="ED57" i="109"/>
  <c r="ED62" i="109"/>
  <c r="ED65" i="109"/>
  <c r="ED52" i="109"/>
  <c r="ED68" i="109"/>
  <c r="EX61" i="162"/>
  <c r="EX64" i="162"/>
  <c r="EX54" i="162"/>
  <c r="EX55" i="162"/>
  <c r="EX69" i="162"/>
  <c r="EX57" i="162"/>
  <c r="EX60" i="162"/>
  <c r="EX58" i="162"/>
  <c r="EX62" i="162"/>
  <c r="EX65" i="162"/>
  <c r="EX68" i="162"/>
  <c r="EX59" i="162"/>
  <c r="EX66" i="162"/>
  <c r="EX63" i="162"/>
  <c r="EX67" i="162"/>
  <c r="EX56" i="162"/>
  <c r="EX53" i="162"/>
  <c r="ED70" i="109"/>
  <c r="EX71" i="162"/>
  <c r="U30" i="157"/>
  <c r="W7" i="100"/>
  <c r="W18" i="100" s="1"/>
  <c r="N276" i="61"/>
  <c r="Q276" i="61"/>
  <c r="M275" i="61"/>
  <c r="M276" i="61"/>
  <c r="R276" i="61"/>
  <c r="N275" i="61"/>
  <c r="Q275" i="61"/>
  <c r="R275" i="61"/>
  <c r="R74" i="86"/>
  <c r="S74" i="86"/>
  <c r="U74" i="86"/>
  <c r="R75" i="86"/>
  <c r="S75" i="86"/>
  <c r="U75" i="86"/>
  <c r="R76" i="86"/>
  <c r="S76" i="86"/>
  <c r="U76" i="86"/>
  <c r="R77" i="86"/>
  <c r="S77" i="86"/>
  <c r="U77" i="86"/>
  <c r="R78" i="86"/>
  <c r="S78" i="86"/>
  <c r="U78" i="86"/>
  <c r="R79" i="86"/>
  <c r="S79" i="86"/>
  <c r="U79" i="86"/>
  <c r="R80" i="86"/>
  <c r="S80" i="86"/>
  <c r="U80" i="86"/>
  <c r="R81" i="86"/>
  <c r="S81" i="86"/>
  <c r="U81" i="86"/>
  <c r="R95" i="86"/>
  <c r="S95" i="86"/>
  <c r="U95" i="86"/>
  <c r="R96" i="86"/>
  <c r="S96" i="86"/>
  <c r="U96" i="86"/>
  <c r="W95" i="86"/>
  <c r="W79" i="86"/>
  <c r="W75" i="86"/>
  <c r="W80" i="86"/>
  <c r="W96" i="86"/>
  <c r="W78" i="86"/>
  <c r="W81" i="86"/>
  <c r="W77" i="86"/>
  <c r="W76" i="86"/>
  <c r="W74" i="86"/>
  <c r="C247" i="61"/>
  <c r="C248" i="61"/>
  <c r="C249" i="61"/>
  <c r="C250" i="61"/>
  <c r="C251" i="61"/>
  <c r="C252" i="61"/>
  <c r="C253" i="61"/>
  <c r="C254" i="61"/>
  <c r="C336" i="61"/>
  <c r="C337" i="61"/>
  <c r="C338" i="61"/>
  <c r="C339" i="61"/>
  <c r="C340" i="61"/>
  <c r="C341" i="61"/>
  <c r="C342" i="61"/>
  <c r="C343" i="61"/>
  <c r="C344" i="61"/>
  <c r="C345" i="61"/>
  <c r="C346" i="61"/>
  <c r="C347" i="61"/>
  <c r="C348" i="61"/>
  <c r="C349" i="61"/>
  <c r="C350" i="61"/>
  <c r="C351" i="61"/>
  <c r="C352" i="61"/>
  <c r="C353" i="61"/>
  <c r="C354" i="61"/>
  <c r="C355" i="61"/>
  <c r="C356" i="61"/>
  <c r="C357" i="61"/>
  <c r="C358" i="61"/>
  <c r="C359" i="61"/>
  <c r="C360" i="61"/>
  <c r="C361" i="61"/>
  <c r="C362" i="61"/>
  <c r="C363" i="61"/>
  <c r="C364" i="61"/>
  <c r="J335" i="61"/>
  <c r="N274" i="61"/>
  <c r="Q274" i="61"/>
  <c r="M273" i="61"/>
  <c r="N272" i="61"/>
  <c r="Q272" i="61"/>
  <c r="M271" i="61"/>
  <c r="N270" i="61"/>
  <c r="Q270" i="61"/>
  <c r="N269" i="61"/>
  <c r="Q269" i="61"/>
  <c r="P184" i="61"/>
  <c r="Q184" i="61"/>
  <c r="I84" i="61"/>
  <c r="L84" i="61"/>
  <c r="I83" i="61"/>
  <c r="L83" i="61"/>
  <c r="I82" i="61"/>
  <c r="L82" i="61"/>
  <c r="I81" i="61"/>
  <c r="L81" i="61"/>
  <c r="I80" i="61"/>
  <c r="L80" i="61"/>
  <c r="I79" i="61"/>
  <c r="L79" i="61"/>
  <c r="I78" i="61"/>
  <c r="L78" i="61"/>
  <c r="I77" i="61"/>
  <c r="L77" i="61"/>
  <c r="I76" i="61"/>
  <c r="L76" i="61"/>
  <c r="I75" i="61"/>
  <c r="L75" i="61"/>
  <c r="I74" i="61"/>
  <c r="L74" i="61"/>
  <c r="U98" i="86"/>
  <c r="R98" i="86"/>
  <c r="S98" i="86"/>
  <c r="U97" i="86"/>
  <c r="R97" i="86"/>
  <c r="S97" i="86"/>
  <c r="U73" i="86"/>
  <c r="R73" i="86"/>
  <c r="S73" i="86"/>
  <c r="U72" i="86"/>
  <c r="R72" i="86"/>
  <c r="S72" i="86"/>
  <c r="U71" i="86"/>
  <c r="R71" i="86"/>
  <c r="S71" i="86"/>
  <c r="U70" i="86"/>
  <c r="R70" i="86"/>
  <c r="S70" i="86"/>
  <c r="U69" i="86"/>
  <c r="S69" i="86"/>
  <c r="U100" i="86"/>
  <c r="S100" i="86"/>
  <c r="W72" i="86"/>
  <c r="W97" i="86"/>
  <c r="W98" i="86"/>
  <c r="W73" i="86"/>
  <c r="W69" i="86"/>
  <c r="W70" i="86"/>
  <c r="W71" i="86"/>
  <c r="P79" i="61"/>
  <c r="Q79" i="61"/>
  <c r="R79" i="61"/>
  <c r="U79" i="61"/>
  <c r="P74" i="61"/>
  <c r="Q74" i="61"/>
  <c r="R74" i="61"/>
  <c r="U74" i="61"/>
  <c r="P84" i="61"/>
  <c r="Q84" i="61"/>
  <c r="R84" i="61"/>
  <c r="U84" i="61"/>
  <c r="P82" i="61"/>
  <c r="Q82" i="61"/>
  <c r="R82" i="61"/>
  <c r="U82" i="61"/>
  <c r="P81" i="61"/>
  <c r="Q81" i="61"/>
  <c r="R81" i="61"/>
  <c r="U81" i="61"/>
  <c r="P78" i="61"/>
  <c r="Q78" i="61"/>
  <c r="R78" i="61"/>
  <c r="U78" i="61"/>
  <c r="P83" i="61"/>
  <c r="Q83" i="61"/>
  <c r="R83" i="61"/>
  <c r="U83" i="61"/>
  <c r="P80" i="61"/>
  <c r="Q80" i="61"/>
  <c r="R80" i="61"/>
  <c r="U80" i="61"/>
  <c r="P75" i="61"/>
  <c r="Q75" i="61"/>
  <c r="R75" i="61"/>
  <c r="U75" i="61"/>
  <c r="P76" i="61"/>
  <c r="Q76" i="61"/>
  <c r="R76" i="61"/>
  <c r="U76" i="61"/>
  <c r="P77" i="61"/>
  <c r="Q77" i="61"/>
  <c r="R77" i="61"/>
  <c r="U77" i="61"/>
  <c r="R274" i="61"/>
  <c r="M274" i="61"/>
  <c r="N273" i="61"/>
  <c r="Q273" i="61"/>
  <c r="R273" i="61"/>
  <c r="R270" i="61"/>
  <c r="M272" i="61"/>
  <c r="M270" i="61"/>
  <c r="N271" i="61"/>
  <c r="Q271" i="61"/>
  <c r="R272" i="61"/>
  <c r="R271" i="61"/>
  <c r="R269" i="61"/>
  <c r="M269" i="61"/>
  <c r="W100" i="86"/>
  <c r="V84" i="61"/>
  <c r="V76" i="61"/>
  <c r="V74" i="61"/>
  <c r="V77" i="61"/>
  <c r="V75" i="61"/>
  <c r="V79" i="61"/>
  <c r="V80" i="61"/>
  <c r="V83" i="61"/>
  <c r="V78" i="61"/>
  <c r="V81" i="61"/>
  <c r="V82" i="61"/>
  <c r="C22" i="136"/>
  <c r="D22" i="136" s="1"/>
  <c r="C23" i="136"/>
  <c r="F23" i="136" s="1"/>
  <c r="H23" i="136" s="1"/>
  <c r="C24" i="136"/>
  <c r="D24" i="136" s="1"/>
  <c r="C25" i="136"/>
  <c r="D25" i="136" s="1"/>
  <c r="D102" i="165"/>
  <c r="BE176" i="113"/>
  <c r="H322" i="61"/>
  <c r="N267" i="61"/>
  <c r="Q267" i="61"/>
  <c r="R268" i="61"/>
  <c r="K55" i="126"/>
  <c r="K41" i="126"/>
  <c r="M268" i="61"/>
  <c r="N268" i="61"/>
  <c r="Q268" i="61"/>
  <c r="AL49" i="4"/>
  <c r="N278" i="61"/>
  <c r="Q278" i="61"/>
  <c r="D97" i="165"/>
  <c r="X49" i="4"/>
  <c r="AZ49" i="4"/>
  <c r="J484" i="61"/>
  <c r="AW49" i="4"/>
  <c r="U49" i="4"/>
  <c r="AI49" i="4"/>
  <c r="K36" i="86"/>
  <c r="I73" i="61"/>
  <c r="L73" i="61"/>
  <c r="I72" i="61"/>
  <c r="L72" i="61"/>
  <c r="A465" i="101"/>
  <c r="A467" i="101"/>
  <c r="A468" i="101"/>
  <c r="A464" i="101"/>
  <c r="C11" i="136"/>
  <c r="C12" i="136"/>
  <c r="C13" i="136"/>
  <c r="D13" i="136" s="1"/>
  <c r="C14" i="136"/>
  <c r="C15" i="136"/>
  <c r="C16" i="136"/>
  <c r="C17" i="136"/>
  <c r="C18" i="136"/>
  <c r="C19" i="136"/>
  <c r="C20" i="136"/>
  <c r="C21" i="136"/>
  <c r="D21" i="136" s="1"/>
  <c r="C453" i="61"/>
  <c r="C454" i="61"/>
  <c r="C455" i="61"/>
  <c r="C456" i="61"/>
  <c r="C457" i="61"/>
  <c r="H326" i="61"/>
  <c r="AB326" i="61"/>
  <c r="O326" i="61"/>
  <c r="H327" i="61"/>
  <c r="AB327" i="61"/>
  <c r="O327" i="61"/>
  <c r="I71" i="61"/>
  <c r="L71" i="61"/>
  <c r="L92" i="61" s="1"/>
  <c r="P165" i="61"/>
  <c r="Q165" i="61"/>
  <c r="R267" i="61"/>
  <c r="R278" i="61"/>
  <c r="H33" i="136"/>
  <c r="C34" i="136"/>
  <c r="C35" i="136"/>
  <c r="C36" i="136"/>
  <c r="C37" i="136"/>
  <c r="C38" i="136"/>
  <c r="C39" i="136"/>
  <c r="C40" i="136"/>
  <c r="C41" i="136"/>
  <c r="C42" i="136"/>
  <c r="C43" i="136"/>
  <c r="C44" i="136"/>
  <c r="C45" i="136"/>
  <c r="C46" i="136"/>
  <c r="C47" i="136"/>
  <c r="C48" i="136"/>
  <c r="C49" i="136"/>
  <c r="C50" i="136"/>
  <c r="C51" i="136"/>
  <c r="C52" i="136"/>
  <c r="C53" i="136"/>
  <c r="C54" i="136"/>
  <c r="C55" i="136"/>
  <c r="C56" i="136"/>
  <c r="C57" i="136"/>
  <c r="C58" i="136"/>
  <c r="C59" i="136"/>
  <c r="C60" i="136"/>
  <c r="C61" i="136"/>
  <c r="C62" i="136"/>
  <c r="C10" i="136"/>
  <c r="D10" i="136" s="1"/>
  <c r="K45" i="133"/>
  <c r="K46" i="133"/>
  <c r="B64" i="56"/>
  <c r="J408" i="61"/>
  <c r="C285" i="61"/>
  <c r="C286" i="61"/>
  <c r="C287" i="61"/>
  <c r="C288" i="61"/>
  <c r="C289" i="61"/>
  <c r="B17" i="56"/>
  <c r="B14" i="56"/>
  <c r="B16" i="56"/>
  <c r="B12" i="56"/>
  <c r="C20" i="109"/>
  <c r="C21" i="109"/>
  <c r="C22" i="109"/>
  <c r="C23" i="109"/>
  <c r="C24" i="109"/>
  <c r="C25" i="109"/>
  <c r="C26" i="109"/>
  <c r="C27" i="109"/>
  <c r="C28" i="109"/>
  <c r="C29" i="109"/>
  <c r="C30" i="109"/>
  <c r="C31" i="109"/>
  <c r="C32" i="109"/>
  <c r="C33" i="109"/>
  <c r="C34" i="109"/>
  <c r="C35" i="109"/>
  <c r="C36" i="109"/>
  <c r="C37" i="109"/>
  <c r="C38" i="109"/>
  <c r="E40" i="109"/>
  <c r="D84" i="165" s="1"/>
  <c r="C13" i="100"/>
  <c r="C14" i="100"/>
  <c r="C15" i="100"/>
  <c r="C16" i="100"/>
  <c r="C17" i="100"/>
  <c r="C18" i="100"/>
  <c r="C19" i="100"/>
  <c r="C20" i="100"/>
  <c r="C21" i="100"/>
  <c r="H291" i="61"/>
  <c r="D32" i="165"/>
  <c r="H323" i="61"/>
  <c r="H324" i="61"/>
  <c r="H325" i="61"/>
  <c r="H319" i="61"/>
  <c r="H320" i="61"/>
  <c r="H321" i="61"/>
  <c r="O323" i="61"/>
  <c r="O324" i="61"/>
  <c r="O325" i="61"/>
  <c r="O318" i="61"/>
  <c r="O319" i="61"/>
  <c r="O320" i="61"/>
  <c r="O321" i="61"/>
  <c r="O322" i="61"/>
  <c r="S11" i="113"/>
  <c r="Q11" i="113"/>
  <c r="D90" i="165"/>
  <c r="D88" i="165"/>
  <c r="H329" i="61"/>
  <c r="O329" i="61"/>
  <c r="BD63" i="86"/>
  <c r="BC63" i="86"/>
  <c r="D55" i="56"/>
  <c r="D68" i="165"/>
  <c r="P186" i="61"/>
  <c r="I92" i="61"/>
  <c r="D23" i="165"/>
  <c r="D17" i="136"/>
  <c r="D16" i="136"/>
  <c r="D18" i="136"/>
  <c r="D15" i="136"/>
  <c r="D14" i="136"/>
  <c r="D20" i="136"/>
  <c r="D12" i="136"/>
  <c r="D19" i="136"/>
  <c r="D11" i="136"/>
  <c r="D42" i="56"/>
  <c r="D21" i="56"/>
  <c r="D33" i="56"/>
  <c r="D35" i="56"/>
  <c r="D96" i="165"/>
  <c r="D95" i="165"/>
  <c r="H64" i="136"/>
  <c r="G115" i="56"/>
  <c r="I197" i="113"/>
  <c r="T35" i="113"/>
  <c r="AI197" i="113"/>
  <c r="K197" i="113"/>
  <c r="N149" i="100"/>
  <c r="O149" i="100"/>
  <c r="P149" i="100" s="1"/>
  <c r="BE197" i="113"/>
  <c r="I186" i="61"/>
  <c r="D27" i="165"/>
  <c r="P73" i="61"/>
  <c r="Q73" i="61"/>
  <c r="R73" i="61"/>
  <c r="U73" i="61"/>
  <c r="P72" i="61"/>
  <c r="Q72" i="61"/>
  <c r="R72" i="61"/>
  <c r="U72" i="61"/>
  <c r="P71" i="61"/>
  <c r="J324" i="61"/>
  <c r="M324" i="61"/>
  <c r="J322" i="61"/>
  <c r="M322" i="61"/>
  <c r="J326" i="61"/>
  <c r="M326" i="61"/>
  <c r="E278" i="61"/>
  <c r="M267" i="61"/>
  <c r="J319" i="61"/>
  <c r="M319" i="61"/>
  <c r="J323" i="61"/>
  <c r="M323" i="61"/>
  <c r="J327" i="61"/>
  <c r="M327" i="61"/>
  <c r="J318" i="61"/>
  <c r="D93" i="165"/>
  <c r="J321" i="61"/>
  <c r="M321" i="61"/>
  <c r="J325" i="61"/>
  <c r="M325" i="61"/>
  <c r="J320" i="61"/>
  <c r="M320" i="61"/>
  <c r="M160" i="100"/>
  <c r="BC70" i="86"/>
  <c r="BC97" i="86"/>
  <c r="BC84" i="86"/>
  <c r="BC83" i="86"/>
  <c r="BC78" i="86"/>
  <c r="BC87" i="86"/>
  <c r="BC81" i="86"/>
  <c r="BC80" i="86"/>
  <c r="BC79" i="86"/>
  <c r="BC74" i="86"/>
  <c r="BC82" i="86"/>
  <c r="BC89" i="86"/>
  <c r="BC76" i="86"/>
  <c r="BC75" i="86"/>
  <c r="BC73" i="86"/>
  <c r="BC72" i="86"/>
  <c r="BC71" i="86"/>
  <c r="BC98" i="86"/>
  <c r="BC93" i="86"/>
  <c r="BC69" i="86"/>
  <c r="BC94" i="86"/>
  <c r="BC85" i="86"/>
  <c r="BC77" i="86"/>
  <c r="BC96" i="86"/>
  <c r="BC95" i="86"/>
  <c r="BC90" i="86"/>
  <c r="BC92" i="86"/>
  <c r="BC91" i="86"/>
  <c r="BC86" i="86"/>
  <c r="BC88" i="86"/>
  <c r="BD83" i="86"/>
  <c r="BM83" i="86" s="1"/>
  <c r="BD82" i="86"/>
  <c r="BD80" i="86"/>
  <c r="BM80" i="86" s="1"/>
  <c r="BD75" i="86"/>
  <c r="BM75" i="86" s="1"/>
  <c r="BD85" i="86"/>
  <c r="BD72" i="86"/>
  <c r="BM72" i="86" s="1"/>
  <c r="BD96" i="86"/>
  <c r="BM96" i="86" s="1"/>
  <c r="BD91" i="86"/>
  <c r="BM91" i="86" s="1"/>
  <c r="M318" i="61"/>
  <c r="M329" i="61"/>
  <c r="J329" i="61"/>
  <c r="N150" i="100"/>
  <c r="O150" i="100" s="1"/>
  <c r="P150" i="100" s="1"/>
  <c r="N158" i="100"/>
  <c r="O158" i="100" s="1"/>
  <c r="P158" i="100" s="1"/>
  <c r="N151" i="100"/>
  <c r="O151" i="100" s="1"/>
  <c r="P151" i="100" s="1"/>
  <c r="N152" i="100"/>
  <c r="O152" i="100" s="1"/>
  <c r="P152" i="100" s="1"/>
  <c r="N153" i="100"/>
  <c r="O153" i="100" s="1"/>
  <c r="P153" i="100" s="1"/>
  <c r="N157" i="100"/>
  <c r="O157" i="100"/>
  <c r="P157" i="100" s="1"/>
  <c r="N154" i="100"/>
  <c r="O154" i="100" s="1"/>
  <c r="P154" i="100" s="1"/>
  <c r="N155" i="100"/>
  <c r="O155" i="100" s="1"/>
  <c r="P155" i="100" s="1"/>
  <c r="N156" i="100"/>
  <c r="O156" i="100" s="1"/>
  <c r="P156" i="100" s="1"/>
  <c r="CI46" i="169"/>
  <c r="CI50" i="169"/>
  <c r="CI45" i="169"/>
  <c r="CI49" i="169"/>
  <c r="CI48" i="169"/>
  <c r="CI47" i="169"/>
  <c r="DH35" i="169"/>
  <c r="DH46" i="169" s="1"/>
  <c r="DI35" i="169"/>
  <c r="DI48" i="169" s="1"/>
  <c r="V73" i="61"/>
  <c r="V72" i="61"/>
  <c r="Q186" i="61"/>
  <c r="R165" i="61"/>
  <c r="U165" i="61"/>
  <c r="CI43" i="169"/>
  <c r="CI51" i="169"/>
  <c r="CI44" i="169"/>
  <c r="CI42" i="169"/>
  <c r="M278" i="61"/>
  <c r="W118" i="109"/>
  <c r="Y118" i="109" s="1"/>
  <c r="BM94" i="109"/>
  <c r="BO94" i="109" s="1"/>
  <c r="BM87" i="109"/>
  <c r="BO87" i="109" s="1"/>
  <c r="BM86" i="109"/>
  <c r="BO86" i="109" s="1"/>
  <c r="BM85" i="109"/>
  <c r="BO85" i="109" s="1"/>
  <c r="BM95" i="109"/>
  <c r="BO95" i="109"/>
  <c r="BM84" i="109"/>
  <c r="BO84" i="109" s="1"/>
  <c r="W113" i="109"/>
  <c r="Y113" i="109" s="1"/>
  <c r="W117" i="109"/>
  <c r="Y117" i="109"/>
  <c r="W110" i="109"/>
  <c r="Y110" i="109" s="1"/>
  <c r="BM93" i="109"/>
  <c r="BO93" i="109" s="1"/>
  <c r="BM92" i="109"/>
  <c r="BO92" i="109" s="1"/>
  <c r="BM91" i="109"/>
  <c r="BO91" i="109" s="1"/>
  <c r="BM83" i="109"/>
  <c r="BO83" i="109"/>
  <c r="BM81" i="109"/>
  <c r="BO81" i="109" s="1"/>
  <c r="W116" i="109"/>
  <c r="Y116" i="109" s="1"/>
  <c r="W115" i="109"/>
  <c r="Y115" i="109" s="1"/>
  <c r="W112" i="109"/>
  <c r="Y112" i="109" s="1"/>
  <c r="BM97" i="109"/>
  <c r="BO97" i="109" s="1"/>
  <c r="BM89" i="109"/>
  <c r="BO89" i="109"/>
  <c r="BM88" i="109"/>
  <c r="BO88" i="109" s="1"/>
  <c r="W114" i="109"/>
  <c r="Y114" i="109" s="1"/>
  <c r="BM90" i="109"/>
  <c r="BO90" i="109" s="1"/>
  <c r="W119" i="109"/>
  <c r="Y119" i="109" s="1"/>
  <c r="BM96" i="109"/>
  <c r="BO96" i="109" s="1"/>
  <c r="DR64" i="162"/>
  <c r="DT64" i="162" s="1"/>
  <c r="DR56" i="162"/>
  <c r="DT56" i="162" s="1"/>
  <c r="DR65" i="162"/>
  <c r="DT65" i="162" s="1"/>
  <c r="DR66" i="162"/>
  <c r="DT66" i="162" s="1"/>
  <c r="DR61" i="162"/>
  <c r="DT61" i="162" s="1"/>
  <c r="DR58" i="162"/>
  <c r="DT58" i="162" s="1"/>
  <c r="DR67" i="162"/>
  <c r="DT67" i="162" s="1"/>
  <c r="DR57" i="162"/>
  <c r="DT57" i="162" s="1"/>
  <c r="DR62" i="162"/>
  <c r="DT62" i="162" s="1"/>
  <c r="DR53" i="162"/>
  <c r="DT53" i="162" s="1"/>
  <c r="DR59" i="162"/>
  <c r="DT59" i="162"/>
  <c r="DR69" i="162"/>
  <c r="DT69" i="162" s="1"/>
  <c r="DR68" i="162"/>
  <c r="DT68" i="162" s="1"/>
  <c r="DR55" i="162"/>
  <c r="DT55" i="162" s="1"/>
  <c r="DR63" i="162"/>
  <c r="DT63" i="162" s="1"/>
  <c r="DR60" i="162"/>
  <c r="DT60" i="162" s="1"/>
  <c r="CX52" i="109"/>
  <c r="CZ52" i="109" s="1"/>
  <c r="CX62" i="109"/>
  <c r="CZ62" i="109" s="1"/>
  <c r="DE57" i="161"/>
  <c r="DG57" i="161" s="1"/>
  <c r="DE68" i="161"/>
  <c r="DG68" i="161" s="1"/>
  <c r="DE67" i="161"/>
  <c r="DG67" i="161" s="1"/>
  <c r="DE65" i="161"/>
  <c r="DG65" i="161" s="1"/>
  <c r="CX56" i="109"/>
  <c r="CZ56" i="109" s="1"/>
  <c r="CX61" i="109"/>
  <c r="CZ61" i="109" s="1"/>
  <c r="CX67" i="109"/>
  <c r="CZ67" i="109" s="1"/>
  <c r="CX55" i="109"/>
  <c r="CZ55" i="109" s="1"/>
  <c r="CX60" i="109"/>
  <c r="CZ60" i="109"/>
  <c r="DE66" i="161"/>
  <c r="DG66" i="161" s="1"/>
  <c r="DE64" i="161"/>
  <c r="DG64" i="161" s="1"/>
  <c r="DE52" i="161"/>
  <c r="CX54" i="109"/>
  <c r="CZ54" i="109" s="1"/>
  <c r="CX59" i="109"/>
  <c r="CZ59" i="109" s="1"/>
  <c r="CX64" i="109"/>
  <c r="CZ64" i="109" s="1"/>
  <c r="CX68" i="109"/>
  <c r="CZ68" i="109" s="1"/>
  <c r="DE55" i="161"/>
  <c r="DG55" i="161" s="1"/>
  <c r="CX66" i="109"/>
  <c r="CZ66" i="109" s="1"/>
  <c r="DE61" i="161"/>
  <c r="DG61" i="161"/>
  <c r="DE59" i="161"/>
  <c r="DG59" i="161"/>
  <c r="DE56" i="161"/>
  <c r="DG56" i="161" s="1"/>
  <c r="CX57" i="109"/>
  <c r="CZ57" i="109" s="1"/>
  <c r="CX65" i="109"/>
  <c r="CZ65" i="109" s="1"/>
  <c r="CZ70" i="109" s="1"/>
  <c r="CX63" i="109"/>
  <c r="CZ63" i="109"/>
  <c r="DE54" i="161"/>
  <c r="DG54" i="161" s="1"/>
  <c r="DE63" i="161"/>
  <c r="DG63" i="161" s="1"/>
  <c r="DE62" i="161"/>
  <c r="DG62" i="161"/>
  <c r="DE60" i="161"/>
  <c r="DG60" i="161" s="1"/>
  <c r="CX58" i="109"/>
  <c r="CZ58" i="109" s="1"/>
  <c r="DE58" i="161"/>
  <c r="DG58" i="161" s="1"/>
  <c r="D31" i="165"/>
  <c r="N17" i="61"/>
  <c r="F21" i="56" s="1"/>
  <c r="G114" i="56"/>
  <c r="H114" i="56" s="1"/>
  <c r="H65" i="136"/>
  <c r="F114" i="56"/>
  <c r="Q71" i="61"/>
  <c r="P92" i="61"/>
  <c r="X39" i="113"/>
  <c r="Y39" i="113"/>
  <c r="AB13" i="157"/>
  <c r="AB14" i="157"/>
  <c r="D32" i="56"/>
  <c r="AB88" i="100"/>
  <c r="AC88" i="100"/>
  <c r="O197" i="113"/>
  <c r="L186" i="61"/>
  <c r="BM85" i="86"/>
  <c r="AU125" i="113"/>
  <c r="AU126" i="113"/>
  <c r="AU127" i="113"/>
  <c r="AU128" i="113"/>
  <c r="AU130" i="113"/>
  <c r="AU129" i="113"/>
  <c r="AU124" i="113"/>
  <c r="AU120" i="113"/>
  <c r="AU118" i="113"/>
  <c r="AU116" i="113"/>
  <c r="AU114" i="113"/>
  <c r="AU121" i="113"/>
  <c r="AU112" i="113"/>
  <c r="AU117" i="113"/>
  <c r="AU122" i="113"/>
  <c r="AU119" i="113"/>
  <c r="AU123" i="113"/>
  <c r="AU113" i="113"/>
  <c r="AU115" i="113"/>
  <c r="AU111" i="113"/>
  <c r="V71" i="61"/>
  <c r="R71" i="61"/>
  <c r="R186" i="61"/>
  <c r="U186" i="61"/>
  <c r="BX54" i="162"/>
  <c r="BH52" i="161"/>
  <c r="BH52" i="109"/>
  <c r="BH53" i="109"/>
  <c r="BH53" i="161"/>
  <c r="Y47" i="113"/>
  <c r="Y55" i="113"/>
  <c r="Y49" i="113"/>
  <c r="Y46" i="113"/>
  <c r="Y50" i="113"/>
  <c r="Y54" i="113"/>
  <c r="Y58" i="113"/>
  <c r="Y62" i="113"/>
  <c r="Y59" i="113"/>
  <c r="Y53" i="113"/>
  <c r="Y51" i="113"/>
  <c r="Y63" i="113"/>
  <c r="Y61" i="113"/>
  <c r="Y48" i="113"/>
  <c r="Y52" i="113"/>
  <c r="Y56" i="113"/>
  <c r="Y60" i="113"/>
  <c r="Z60" i="113" s="1"/>
  <c r="Y64" i="113"/>
  <c r="Y45" i="113"/>
  <c r="Y57" i="113"/>
  <c r="X64" i="113"/>
  <c r="X57" i="113"/>
  <c r="X48" i="113"/>
  <c r="X49" i="113"/>
  <c r="X63" i="113"/>
  <c r="Z63" i="113" s="1"/>
  <c r="X60" i="113"/>
  <c r="X52" i="113"/>
  <c r="X62" i="113"/>
  <c r="X59" i="113"/>
  <c r="X56" i="113"/>
  <c r="X58" i="113"/>
  <c r="Z58" i="113" s="1"/>
  <c r="X55" i="113"/>
  <c r="X61" i="113"/>
  <c r="X54" i="113"/>
  <c r="X51" i="113"/>
  <c r="X50" i="113"/>
  <c r="X47" i="113"/>
  <c r="X46" i="113"/>
  <c r="X53" i="113"/>
  <c r="Z53" i="113" s="1"/>
  <c r="Q92" i="61"/>
  <c r="F25" i="136"/>
  <c r="H25" i="136" s="1"/>
  <c r="AE12" i="157"/>
  <c r="D94" i="165"/>
  <c r="D98" i="165"/>
  <c r="V92" i="61"/>
  <c r="AU132" i="113"/>
  <c r="T37" i="159"/>
  <c r="T51" i="159" s="1"/>
  <c r="X37" i="159"/>
  <c r="F21" i="136"/>
  <c r="H21" i="136" s="1"/>
  <c r="F18" i="136"/>
  <c r="H18" i="136" s="1"/>
  <c r="F24" i="136"/>
  <c r="H24" i="136" s="1"/>
  <c r="F17" i="136"/>
  <c r="H17" i="136" s="1"/>
  <c r="Z51" i="113"/>
  <c r="Z55" i="113"/>
  <c r="Z64" i="113"/>
  <c r="Z49" i="113"/>
  <c r="Z46" i="113"/>
  <c r="Z57" i="113"/>
  <c r="Z50" i="113"/>
  <c r="Z61" i="113"/>
  <c r="Z56" i="113"/>
  <c r="Z62" i="113"/>
  <c r="Z54" i="113"/>
  <c r="R92" i="61"/>
  <c r="F22" i="136"/>
  <c r="H22" i="136" s="1"/>
  <c r="R67" i="100"/>
  <c r="R72" i="100" s="1"/>
  <c r="AR73" i="86"/>
  <c r="AR81" i="86"/>
  <c r="AR89" i="86"/>
  <c r="AR74" i="86"/>
  <c r="AR82" i="86"/>
  <c r="AR90" i="86"/>
  <c r="AR98" i="86"/>
  <c r="AR75" i="86"/>
  <c r="AR83" i="86"/>
  <c r="AR91" i="86"/>
  <c r="AR76" i="86"/>
  <c r="AR84" i="86"/>
  <c r="AR92" i="86"/>
  <c r="AR94" i="86"/>
  <c r="AR69" i="86"/>
  <c r="AR77" i="86"/>
  <c r="AR85" i="86"/>
  <c r="AR93" i="86"/>
  <c r="AR70" i="86"/>
  <c r="AR78" i="86"/>
  <c r="AR86" i="86"/>
  <c r="AR71" i="86"/>
  <c r="AR79" i="86"/>
  <c r="AR87" i="86"/>
  <c r="AR95" i="86"/>
  <c r="BA69" i="86"/>
  <c r="BK69" i="86" s="1"/>
  <c r="AR72" i="86"/>
  <c r="AR80" i="86"/>
  <c r="AR88" i="86"/>
  <c r="AR96" i="86"/>
  <c r="AR97" i="86"/>
  <c r="R177" i="113"/>
  <c r="S177" i="113"/>
  <c r="R185" i="113"/>
  <c r="S185" i="113" s="1"/>
  <c r="R193" i="113"/>
  <c r="S193" i="113" s="1"/>
  <c r="R190" i="113"/>
  <c r="S190" i="113" s="1"/>
  <c r="R178" i="113"/>
  <c r="S178" i="113" s="1"/>
  <c r="R186" i="113"/>
  <c r="S186" i="113" s="1"/>
  <c r="R194" i="113"/>
  <c r="S194" i="113" s="1"/>
  <c r="R192" i="113"/>
  <c r="S192" i="113" s="1"/>
  <c r="R179" i="113"/>
  <c r="S179" i="113" s="1"/>
  <c r="R187" i="113"/>
  <c r="S187" i="113"/>
  <c r="R195" i="113"/>
  <c r="S195" i="113" s="1"/>
  <c r="R182" i="113"/>
  <c r="S182" i="113" s="1"/>
  <c r="R180" i="113"/>
  <c r="S180" i="113" s="1"/>
  <c r="R188" i="113"/>
  <c r="S188" i="113"/>
  <c r="R181" i="113"/>
  <c r="S181" i="113" s="1"/>
  <c r="R189" i="113"/>
  <c r="S189" i="113" s="1"/>
  <c r="R183" i="113"/>
  <c r="S183" i="113" s="1"/>
  <c r="S197" i="113" s="1"/>
  <c r="R191" i="113"/>
  <c r="S191" i="113" s="1"/>
  <c r="R184" i="113"/>
  <c r="S184" i="113" s="1"/>
  <c r="V67" i="100"/>
  <c r="V74" i="100" s="1"/>
  <c r="S65" i="161"/>
  <c r="U65" i="161"/>
  <c r="AR54" i="162"/>
  <c r="AS54" i="162"/>
  <c r="AA69" i="162"/>
  <c r="AB69" i="162"/>
  <c r="S62" i="161"/>
  <c r="U62" i="161"/>
  <c r="R176" i="113"/>
  <c r="S176" i="113" s="1"/>
  <c r="T42" i="159"/>
  <c r="S61" i="161"/>
  <c r="U61" i="161" s="1"/>
  <c r="K110" i="109"/>
  <c r="L110" i="109" s="1"/>
  <c r="T48" i="159"/>
  <c r="H36" i="160"/>
  <c r="J36" i="160"/>
  <c r="T47" i="159"/>
  <c r="T46" i="159"/>
  <c r="T50" i="159"/>
  <c r="T43" i="159"/>
  <c r="T45" i="159"/>
  <c r="T44" i="159"/>
  <c r="T49" i="159"/>
  <c r="X47" i="159"/>
  <c r="X48" i="159"/>
  <c r="X49" i="159"/>
  <c r="X50" i="159"/>
  <c r="X43" i="159"/>
  <c r="X51" i="159"/>
  <c r="X44" i="159"/>
  <c r="X42" i="159"/>
  <c r="X45" i="159"/>
  <c r="X46" i="159"/>
  <c r="F11" i="136"/>
  <c r="F15" i="136"/>
  <c r="H15" i="136" s="1"/>
  <c r="F110" i="56"/>
  <c r="F14" i="136"/>
  <c r="H14" i="136" s="1"/>
  <c r="F108" i="56"/>
  <c r="F12" i="136"/>
  <c r="H12" i="136" s="1"/>
  <c r="F20" i="136"/>
  <c r="H20" i="136" s="1"/>
  <c r="F16" i="136"/>
  <c r="H16" i="136" s="1"/>
  <c r="F19" i="136"/>
  <c r="H19" i="136" s="1"/>
  <c r="F109" i="56"/>
  <c r="AA61" i="162"/>
  <c r="AB61" i="162" s="1"/>
  <c r="BJ67" i="162"/>
  <c r="BK67" i="162" s="1"/>
  <c r="BJ66" i="162"/>
  <c r="BK66" i="162" s="1"/>
  <c r="BJ65" i="162"/>
  <c r="BK65" i="162" s="1"/>
  <c r="BJ64" i="162"/>
  <c r="BK64" i="162" s="1"/>
  <c r="BJ56" i="162"/>
  <c r="BK56" i="162" s="1"/>
  <c r="BJ59" i="162"/>
  <c r="BK59" i="162" s="1"/>
  <c r="BJ63" i="162"/>
  <c r="BK63" i="162" s="1"/>
  <c r="BJ68" i="162"/>
  <c r="BK68" i="162" s="1"/>
  <c r="BJ58" i="162"/>
  <c r="BK58" i="162" s="1"/>
  <c r="BJ57" i="162"/>
  <c r="BK57" i="162" s="1"/>
  <c r="BJ62" i="162"/>
  <c r="BK62" i="162"/>
  <c r="S60" i="161"/>
  <c r="U60" i="161" s="1"/>
  <c r="BJ69" i="162"/>
  <c r="BK69" i="162" s="1"/>
  <c r="BJ60" i="162"/>
  <c r="BK60" i="162" s="1"/>
  <c r="BJ55" i="162"/>
  <c r="BK55" i="162" s="1"/>
  <c r="BJ61" i="162"/>
  <c r="BK61" i="162" s="1"/>
  <c r="BA59" i="162"/>
  <c r="BA61" i="162"/>
  <c r="BA67" i="162"/>
  <c r="BA66" i="162"/>
  <c r="BA65" i="162"/>
  <c r="BA64" i="162"/>
  <c r="BA56" i="162"/>
  <c r="BA63" i="162"/>
  <c r="BA68" i="162"/>
  <c r="BA58" i="162"/>
  <c r="BA57" i="162"/>
  <c r="BA53" i="162"/>
  <c r="BB53" i="162"/>
  <c r="BA54" i="162"/>
  <c r="BA62" i="162"/>
  <c r="BA69" i="162"/>
  <c r="BB69" i="162"/>
  <c r="BA60" i="162"/>
  <c r="BA55" i="162"/>
  <c r="AT56" i="161"/>
  <c r="AU56" i="161"/>
  <c r="AT63" i="161"/>
  <c r="AU63" i="161" s="1"/>
  <c r="AT55" i="161"/>
  <c r="AU55" i="161"/>
  <c r="AT67" i="161"/>
  <c r="AU67" i="161"/>
  <c r="AT66" i="161"/>
  <c r="AU66" i="161"/>
  <c r="AT54" i="161"/>
  <c r="AU54" i="161" s="1"/>
  <c r="AT59" i="161"/>
  <c r="AU59" i="161"/>
  <c r="AT68" i="161"/>
  <c r="AU68" i="161"/>
  <c r="AT64" i="161"/>
  <c r="AU64" i="161"/>
  <c r="AT58" i="161"/>
  <c r="AU58" i="161" s="1"/>
  <c r="AT61" i="161"/>
  <c r="AU61" i="161"/>
  <c r="AT62" i="109"/>
  <c r="AU62" i="109"/>
  <c r="AT58" i="109"/>
  <c r="AU58" i="109"/>
  <c r="AT55" i="109"/>
  <c r="AU55" i="109" s="1"/>
  <c r="AT57" i="109"/>
  <c r="AU57" i="109"/>
  <c r="AT67" i="109"/>
  <c r="AU67" i="109"/>
  <c r="AT57" i="161"/>
  <c r="AU57" i="161"/>
  <c r="AT54" i="109"/>
  <c r="AU54" i="109" s="1"/>
  <c r="AT56" i="109"/>
  <c r="AU56" i="109" s="1"/>
  <c r="AT59" i="109"/>
  <c r="AU59" i="109"/>
  <c r="AT63" i="109"/>
  <c r="AU63" i="109"/>
  <c r="AT66" i="109"/>
  <c r="AU66" i="109" s="1"/>
  <c r="AT62" i="161"/>
  <c r="AU62" i="161" s="1"/>
  <c r="AT60" i="161"/>
  <c r="AU60" i="161" s="1"/>
  <c r="AT65" i="161"/>
  <c r="AU65" i="161"/>
  <c r="AT64" i="109"/>
  <c r="AU64" i="109" s="1"/>
  <c r="AT61" i="109"/>
  <c r="AU61" i="109" s="1"/>
  <c r="AT65" i="109"/>
  <c r="AU65" i="109" s="1"/>
  <c r="AT68" i="109"/>
  <c r="AU68" i="109" s="1"/>
  <c r="AT60" i="109"/>
  <c r="AU60" i="109" s="1"/>
  <c r="AL68" i="161"/>
  <c r="AM68" i="161"/>
  <c r="AL64" i="161"/>
  <c r="AL59" i="161"/>
  <c r="AL58" i="161"/>
  <c r="AL65" i="161"/>
  <c r="AL61" i="161"/>
  <c r="AL57" i="161"/>
  <c r="AL62" i="161"/>
  <c r="AL60" i="161"/>
  <c r="AL56" i="161"/>
  <c r="AL63" i="161"/>
  <c r="AL55" i="161"/>
  <c r="AL67" i="161"/>
  <c r="AL52" i="161"/>
  <c r="AL66" i="161"/>
  <c r="AL54" i="161"/>
  <c r="AL53" i="161"/>
  <c r="AL54" i="109"/>
  <c r="AL55" i="109"/>
  <c r="AL57" i="109"/>
  <c r="AL67" i="109"/>
  <c r="AL56" i="109"/>
  <c r="AL53" i="109"/>
  <c r="AL60" i="109"/>
  <c r="AL64" i="109"/>
  <c r="AL68" i="109"/>
  <c r="AM68" i="109"/>
  <c r="AL52" i="109"/>
  <c r="AM52" i="109"/>
  <c r="AM70" i="109" s="1"/>
  <c r="AL62" i="109"/>
  <c r="AL65" i="109"/>
  <c r="AL63" i="109"/>
  <c r="AL66" i="109"/>
  <c r="AL59" i="109"/>
  <c r="AL58" i="109"/>
  <c r="AL61" i="109"/>
  <c r="AE260" i="61"/>
  <c r="X5" i="159"/>
  <c r="X27" i="159" s="1"/>
  <c r="AY86" i="86"/>
  <c r="BI86" i="86" s="1"/>
  <c r="X323" i="61"/>
  <c r="X324" i="61"/>
  <c r="AB324" i="61" s="1"/>
  <c r="X325" i="61"/>
  <c r="X321" i="61"/>
  <c r="X318" i="61"/>
  <c r="AB318" i="61" s="1"/>
  <c r="S5" i="159"/>
  <c r="X24" i="159"/>
  <c r="X17" i="159"/>
  <c r="X18" i="159"/>
  <c r="X12" i="159"/>
  <c r="X20" i="159"/>
  <c r="X11" i="159"/>
  <c r="X14" i="159"/>
  <c r="X22" i="159"/>
  <c r="AE272" i="61"/>
  <c r="AE271" i="61"/>
  <c r="AE273" i="61"/>
  <c r="AE274" i="61"/>
  <c r="AE267" i="61"/>
  <c r="AE275" i="61"/>
  <c r="AE268" i="61"/>
  <c r="AE276" i="61"/>
  <c r="AE269" i="61"/>
  <c r="AE270" i="61"/>
  <c r="H11" i="136"/>
  <c r="BJ53" i="162"/>
  <c r="BK53" i="162"/>
  <c r="S52" i="109"/>
  <c r="U52" i="109" s="1"/>
  <c r="U70" i="109" s="1"/>
  <c r="AA65" i="162"/>
  <c r="AB65" i="162" s="1"/>
  <c r="AA66" i="162"/>
  <c r="AB66" i="162" s="1"/>
  <c r="S64" i="161"/>
  <c r="U64" i="161" s="1"/>
  <c r="AA63" i="162"/>
  <c r="AB63" i="162"/>
  <c r="H30" i="160"/>
  <c r="J30" i="160" s="1"/>
  <c r="H37" i="160"/>
  <c r="J37" i="160" s="1"/>
  <c r="H38" i="160"/>
  <c r="J38" i="160" s="1"/>
  <c r="H34" i="160"/>
  <c r="J34" i="160"/>
  <c r="AA62" i="162"/>
  <c r="AB62" i="162" s="1"/>
  <c r="S68" i="161"/>
  <c r="U68" i="161" s="1"/>
  <c r="AT53" i="109"/>
  <c r="AU53" i="109" s="1"/>
  <c r="AT53" i="161"/>
  <c r="BJ54" i="162"/>
  <c r="BK54" i="162" s="1"/>
  <c r="S61" i="109"/>
  <c r="U61" i="109"/>
  <c r="S62" i="109"/>
  <c r="U62" i="109"/>
  <c r="S65" i="109"/>
  <c r="U65" i="109"/>
  <c r="S64" i="109"/>
  <c r="U64" i="109" s="1"/>
  <c r="S60" i="109"/>
  <c r="U60" i="109"/>
  <c r="S68" i="109"/>
  <c r="U68" i="109" s="1"/>
  <c r="H31" i="160"/>
  <c r="J31" i="160"/>
  <c r="H39" i="160"/>
  <c r="J39" i="160"/>
  <c r="H32" i="160"/>
  <c r="J32" i="160"/>
  <c r="H35" i="160"/>
  <c r="J35" i="160" s="1"/>
  <c r="H33" i="160"/>
  <c r="J33" i="160"/>
  <c r="AT52" i="161"/>
  <c r="AT52" i="109"/>
  <c r="AU52" i="109" s="1"/>
  <c r="AW87" i="86"/>
  <c r="BG87" i="86" s="1"/>
  <c r="AR55" i="162"/>
  <c r="AS55" i="162" s="1"/>
  <c r="BX54" i="161"/>
  <c r="BY54" i="161" s="1"/>
  <c r="S63" i="109"/>
  <c r="U63" i="109" s="1"/>
  <c r="BX54" i="109"/>
  <c r="BY54" i="109"/>
  <c r="CQ55" i="162"/>
  <c r="CR55" i="162" s="1"/>
  <c r="S63" i="161"/>
  <c r="U63" i="161" s="1"/>
  <c r="AA64" i="162"/>
  <c r="AB64" i="162" s="1"/>
  <c r="AP97" i="61"/>
  <c r="AP122" i="61" s="1"/>
  <c r="AR69" i="162"/>
  <c r="AS69" i="162" s="1"/>
  <c r="AR56" i="162"/>
  <c r="AS56" i="162"/>
  <c r="AR68" i="162"/>
  <c r="AS68" i="162" s="1"/>
  <c r="AR62" i="162"/>
  <c r="AS62" i="162"/>
  <c r="AR67" i="162"/>
  <c r="AS67" i="162" s="1"/>
  <c r="AR61" i="162"/>
  <c r="AS61" i="162" s="1"/>
  <c r="AR66" i="162"/>
  <c r="AS66" i="162" s="1"/>
  <c r="AR60" i="162"/>
  <c r="AS60" i="162"/>
  <c r="AR53" i="162"/>
  <c r="AS53" i="162" s="1"/>
  <c r="AR65" i="162"/>
  <c r="AS65" i="162" s="1"/>
  <c r="AR59" i="162"/>
  <c r="AS59" i="162" s="1"/>
  <c r="AR64" i="162"/>
  <c r="AS64" i="162"/>
  <c r="AR58" i="162"/>
  <c r="AS58" i="162" s="1"/>
  <c r="AR63" i="162"/>
  <c r="AS63" i="162" s="1"/>
  <c r="AR57" i="162"/>
  <c r="AS57" i="162" s="1"/>
  <c r="AT57" i="162" s="1"/>
  <c r="J112" i="113"/>
  <c r="K112" i="113" s="1"/>
  <c r="AD177" i="113"/>
  <c r="AE177" i="113"/>
  <c r="AD185" i="113"/>
  <c r="AE185" i="113"/>
  <c r="AD193" i="113"/>
  <c r="AE193" i="113" s="1"/>
  <c r="AF193" i="113" s="1"/>
  <c r="AD178" i="113"/>
  <c r="AE178" i="113" s="1"/>
  <c r="AD186" i="113"/>
  <c r="AE186" i="113"/>
  <c r="AD194" i="113"/>
  <c r="AE194" i="113"/>
  <c r="AD179" i="113"/>
  <c r="AE179" i="113" s="1"/>
  <c r="AD187" i="113"/>
  <c r="AE187" i="113" s="1"/>
  <c r="AD195" i="113"/>
  <c r="AE195" i="113"/>
  <c r="AD192" i="113"/>
  <c r="AE192" i="113"/>
  <c r="AD180" i="113"/>
  <c r="AE180" i="113" s="1"/>
  <c r="AD188" i="113"/>
  <c r="AE188" i="113" s="1"/>
  <c r="AD176" i="113"/>
  <c r="AE176" i="113" s="1"/>
  <c r="AD184" i="113"/>
  <c r="AE184" i="113"/>
  <c r="AF184" i="113" s="1"/>
  <c r="AD181" i="113"/>
  <c r="AE181" i="113" s="1"/>
  <c r="AD189" i="113"/>
  <c r="AE189" i="113" s="1"/>
  <c r="AD182" i="113"/>
  <c r="AE182" i="113" s="1"/>
  <c r="AD190" i="113"/>
  <c r="AE190" i="113"/>
  <c r="AD183" i="113"/>
  <c r="AE183" i="113" s="1"/>
  <c r="AD191" i="113"/>
  <c r="AE191" i="113" s="1"/>
  <c r="J118" i="113"/>
  <c r="K118" i="113" s="1"/>
  <c r="J126" i="113"/>
  <c r="K126" i="113"/>
  <c r="J119" i="113"/>
  <c r="K119" i="113" s="1"/>
  <c r="J127" i="113"/>
  <c r="K127" i="113" s="1"/>
  <c r="J120" i="113"/>
  <c r="K120" i="113" s="1"/>
  <c r="J128" i="113"/>
  <c r="K128" i="113"/>
  <c r="J113" i="113"/>
  <c r="K113" i="113" s="1"/>
  <c r="J121" i="113"/>
  <c r="K121" i="113" s="1"/>
  <c r="J129" i="113"/>
  <c r="K129" i="113" s="1"/>
  <c r="J123" i="113"/>
  <c r="K123" i="113" s="1"/>
  <c r="J117" i="113"/>
  <c r="K117" i="113" s="1"/>
  <c r="J114" i="113"/>
  <c r="K114" i="113" s="1"/>
  <c r="J122" i="113"/>
  <c r="K122" i="113" s="1"/>
  <c r="J130" i="113"/>
  <c r="K130" i="113" s="1"/>
  <c r="J111" i="113"/>
  <c r="K111" i="113" s="1"/>
  <c r="J115" i="113"/>
  <c r="K115" i="113" s="1"/>
  <c r="J116" i="113"/>
  <c r="K116" i="113" s="1"/>
  <c r="J124" i="113"/>
  <c r="K124" i="113"/>
  <c r="J125" i="113"/>
  <c r="K125" i="113" s="1"/>
  <c r="S59" i="109"/>
  <c r="U59" i="109" s="1"/>
  <c r="S59" i="161"/>
  <c r="U59" i="161" s="1"/>
  <c r="AA60" i="162"/>
  <c r="AB60" i="162" s="1"/>
  <c r="AN89" i="109"/>
  <c r="AO89" i="109" s="1"/>
  <c r="AN81" i="109"/>
  <c r="AO81" i="109" s="1"/>
  <c r="AN93" i="109"/>
  <c r="AO93" i="109" s="1"/>
  <c r="AN83" i="109"/>
  <c r="AO83" i="109"/>
  <c r="AN96" i="109"/>
  <c r="AO96" i="109" s="1"/>
  <c r="AP96" i="109" s="1"/>
  <c r="AN87" i="109"/>
  <c r="AO87" i="109" s="1"/>
  <c r="AN95" i="109"/>
  <c r="AO95" i="109" s="1"/>
  <c r="AN90" i="109"/>
  <c r="AO90" i="109" s="1"/>
  <c r="AN84" i="109"/>
  <c r="AO84" i="109" s="1"/>
  <c r="AN94" i="109"/>
  <c r="AO94" i="109" s="1"/>
  <c r="AN86" i="109"/>
  <c r="AO86" i="109" s="1"/>
  <c r="AN92" i="109"/>
  <c r="AO92" i="109" s="1"/>
  <c r="AN91" i="109"/>
  <c r="AO91" i="109" s="1"/>
  <c r="R81" i="109"/>
  <c r="T81" i="109" s="1"/>
  <c r="AN97" i="109"/>
  <c r="AO97" i="109" s="1"/>
  <c r="AN88" i="109"/>
  <c r="AO88" i="109" s="1"/>
  <c r="AN85" i="109"/>
  <c r="AO85" i="109" s="1"/>
  <c r="CQ60" i="162"/>
  <c r="CR60" i="162" s="1"/>
  <c r="CQ59" i="162"/>
  <c r="CR59" i="162" s="1"/>
  <c r="CQ69" i="162"/>
  <c r="CR69" i="162" s="1"/>
  <c r="CQ64" i="162"/>
  <c r="CR64" i="162" s="1"/>
  <c r="CQ56" i="162"/>
  <c r="CR56" i="162" s="1"/>
  <c r="CQ65" i="162"/>
  <c r="CR65" i="162" s="1"/>
  <c r="CQ63" i="162"/>
  <c r="CR63" i="162"/>
  <c r="CQ61" i="162"/>
  <c r="CR61" i="162" s="1"/>
  <c r="CQ67" i="162"/>
  <c r="CR67" i="162" s="1"/>
  <c r="CQ66" i="162"/>
  <c r="CR66" i="162" s="1"/>
  <c r="CQ62" i="162"/>
  <c r="CR62" i="162"/>
  <c r="CQ58" i="162"/>
  <c r="CR58" i="162" s="1"/>
  <c r="CQ57" i="162"/>
  <c r="CR57" i="162" s="1"/>
  <c r="CQ68" i="162"/>
  <c r="CR68" i="162" s="1"/>
  <c r="CQ53" i="162"/>
  <c r="CR53" i="162" s="1"/>
  <c r="BA93" i="109"/>
  <c r="BB93" i="109" s="1"/>
  <c r="BA92" i="109"/>
  <c r="BB92" i="109" s="1"/>
  <c r="BA91" i="109"/>
  <c r="BB91" i="109" s="1"/>
  <c r="BA88" i="109"/>
  <c r="BB88" i="109"/>
  <c r="BA83" i="109"/>
  <c r="BB83" i="109" s="1"/>
  <c r="BA97" i="109"/>
  <c r="BB97" i="109" s="1"/>
  <c r="BA85" i="109"/>
  <c r="BB85" i="109" s="1"/>
  <c r="BA89" i="109"/>
  <c r="BB89" i="109"/>
  <c r="BA96" i="109"/>
  <c r="BB96" i="109"/>
  <c r="BA82" i="109"/>
  <c r="BB82" i="109" s="1"/>
  <c r="BA87" i="109"/>
  <c r="BB87" i="109" s="1"/>
  <c r="BA81" i="109"/>
  <c r="BB81" i="109"/>
  <c r="BA95" i="109"/>
  <c r="BB95" i="109"/>
  <c r="BA94" i="109"/>
  <c r="BB94" i="109" s="1"/>
  <c r="BB99" i="109" s="1"/>
  <c r="BA90" i="109"/>
  <c r="BB90" i="109" s="1"/>
  <c r="BA86" i="109"/>
  <c r="BB86" i="109"/>
  <c r="BA84" i="109"/>
  <c r="BB84" i="109"/>
  <c r="DD68" i="162"/>
  <c r="DE68" i="162" s="1"/>
  <c r="DD54" i="162"/>
  <c r="DE54" i="162" s="1"/>
  <c r="DD69" i="162"/>
  <c r="DE69" i="162"/>
  <c r="DD55" i="162"/>
  <c r="DE55" i="162"/>
  <c r="DD60" i="162"/>
  <c r="DE60" i="162" s="1"/>
  <c r="DD59" i="162"/>
  <c r="DE59" i="162" s="1"/>
  <c r="DD66" i="162"/>
  <c r="DE66" i="162"/>
  <c r="DD63" i="162"/>
  <c r="DE63" i="162"/>
  <c r="DD56" i="162"/>
  <c r="DE56" i="162" s="1"/>
  <c r="DD64" i="162"/>
  <c r="DE64" i="162" s="1"/>
  <c r="DD65" i="162"/>
  <c r="DE65" i="162"/>
  <c r="DD61" i="162"/>
  <c r="DE61" i="162"/>
  <c r="DD67" i="162"/>
  <c r="DE67" i="162" s="1"/>
  <c r="DD62" i="162"/>
  <c r="DE62" i="162" s="1"/>
  <c r="DD58" i="162"/>
  <c r="DE58" i="162"/>
  <c r="DD57" i="162"/>
  <c r="DE57" i="162"/>
  <c r="DD53" i="162"/>
  <c r="DE53" i="162" s="1"/>
  <c r="AA54" i="162"/>
  <c r="AB54" i="162" s="1"/>
  <c r="S53" i="109"/>
  <c r="U53" i="109"/>
  <c r="S53" i="161"/>
  <c r="U53" i="161"/>
  <c r="S58" i="109"/>
  <c r="U58" i="109" s="1"/>
  <c r="S58" i="161"/>
  <c r="U58" i="161" s="1"/>
  <c r="AA59" i="162"/>
  <c r="AB59" i="162"/>
  <c r="AA58" i="162"/>
  <c r="AB58" i="162"/>
  <c r="S57" i="109"/>
  <c r="U57" i="109" s="1"/>
  <c r="S57" i="161"/>
  <c r="U57" i="161" s="1"/>
  <c r="AA149" i="113"/>
  <c r="AB149" i="113"/>
  <c r="AA157" i="113"/>
  <c r="AB157" i="113"/>
  <c r="AA155" i="113"/>
  <c r="AB155" i="113" s="1"/>
  <c r="AA150" i="113"/>
  <c r="AB150" i="113" s="1"/>
  <c r="AA158" i="113"/>
  <c r="AB158" i="113"/>
  <c r="AA151" i="113"/>
  <c r="AB151" i="113"/>
  <c r="AA159" i="113"/>
  <c r="AB159" i="113" s="1"/>
  <c r="AA152" i="113"/>
  <c r="AB152" i="113" s="1"/>
  <c r="AA160" i="113"/>
  <c r="AB160" i="113"/>
  <c r="AA145" i="113"/>
  <c r="AB145" i="113"/>
  <c r="AA153" i="113"/>
  <c r="AB153" i="113" s="1"/>
  <c r="AA161" i="113"/>
  <c r="AB161" i="113" s="1"/>
  <c r="AA147" i="113"/>
  <c r="AB147" i="113"/>
  <c r="AA146" i="113"/>
  <c r="AB146" i="113"/>
  <c r="AA154" i="113"/>
  <c r="AB154" i="113" s="1"/>
  <c r="AA162" i="113"/>
  <c r="AB162" i="113" s="1"/>
  <c r="AA163" i="113"/>
  <c r="AB163" i="113"/>
  <c r="AA148" i="113"/>
  <c r="AB148" i="113"/>
  <c r="AA156" i="113"/>
  <c r="AB156" i="113" s="1"/>
  <c r="AN82" i="109"/>
  <c r="AO82" i="109" s="1"/>
  <c r="CQ54" i="162"/>
  <c r="CR54" i="162"/>
  <c r="K118" i="109"/>
  <c r="L118" i="109"/>
  <c r="K111" i="109"/>
  <c r="L111" i="109" s="1"/>
  <c r="K119" i="109"/>
  <c r="L119" i="109" s="1"/>
  <c r="K112" i="109"/>
  <c r="L112" i="109"/>
  <c r="K113" i="109"/>
  <c r="L113" i="109"/>
  <c r="K114" i="109"/>
  <c r="L114" i="109" s="1"/>
  <c r="K115" i="109"/>
  <c r="L115" i="109" s="1"/>
  <c r="K117" i="109"/>
  <c r="L117" i="109"/>
  <c r="K116" i="109"/>
  <c r="L116" i="109"/>
  <c r="R96" i="109"/>
  <c r="T96" i="109" s="1"/>
  <c r="R87" i="109"/>
  <c r="T87" i="109" s="1"/>
  <c r="R85" i="109"/>
  <c r="T85" i="109"/>
  <c r="R88" i="109"/>
  <c r="T88" i="109"/>
  <c r="R95" i="109"/>
  <c r="T95" i="109" s="1"/>
  <c r="R82" i="109"/>
  <c r="T82" i="109" s="1"/>
  <c r="R89" i="109"/>
  <c r="T89" i="109"/>
  <c r="R84" i="109"/>
  <c r="T84" i="109"/>
  <c r="R86" i="109"/>
  <c r="T86" i="109" s="1"/>
  <c r="R97" i="109"/>
  <c r="T97" i="109" s="1"/>
  <c r="R92" i="109"/>
  <c r="T92" i="109"/>
  <c r="R94" i="109"/>
  <c r="T94" i="109"/>
  <c r="R90" i="109"/>
  <c r="T90" i="109" s="1"/>
  <c r="R83" i="109"/>
  <c r="T83" i="109" s="1"/>
  <c r="R93" i="109"/>
  <c r="T93" i="109"/>
  <c r="R91" i="109"/>
  <c r="T91" i="109"/>
  <c r="S67" i="109"/>
  <c r="U67" i="109" s="1"/>
  <c r="S66" i="161"/>
  <c r="U66" i="161" s="1"/>
  <c r="AA68" i="162"/>
  <c r="AB68" i="162"/>
  <c r="S67" i="161"/>
  <c r="U67" i="161"/>
  <c r="S66" i="109"/>
  <c r="U66" i="109" s="1"/>
  <c r="AA67" i="162"/>
  <c r="AB67" i="162" s="1"/>
  <c r="S55" i="109"/>
  <c r="U55" i="109"/>
  <c r="AA56" i="162"/>
  <c r="AB56" i="162"/>
  <c r="S55" i="161"/>
  <c r="U55" i="161" s="1"/>
  <c r="S52" i="161"/>
  <c r="U52" i="161" s="1"/>
  <c r="AA53" i="162"/>
  <c r="AB53" i="162"/>
  <c r="AA57" i="162"/>
  <c r="AB57" i="162"/>
  <c r="S56" i="109"/>
  <c r="U56" i="109" s="1"/>
  <c r="S56" i="161"/>
  <c r="U56" i="161" s="1"/>
  <c r="S54" i="161"/>
  <c r="U54" i="161"/>
  <c r="AA55" i="162"/>
  <c r="AB55" i="162"/>
  <c r="S54" i="109"/>
  <c r="U54" i="109" s="1"/>
  <c r="BX53" i="161"/>
  <c r="BY53" i="161" s="1"/>
  <c r="BX53" i="109"/>
  <c r="BY53" i="109"/>
  <c r="BX66" i="161"/>
  <c r="BY66" i="161"/>
  <c r="BX65" i="161"/>
  <c r="BY65" i="161" s="1"/>
  <c r="BZ65" i="161" s="1"/>
  <c r="BX57" i="161"/>
  <c r="BY57" i="161" s="1"/>
  <c r="BZ57" i="161" s="1"/>
  <c r="BX52" i="161"/>
  <c r="BX67" i="161"/>
  <c r="BY67" i="161"/>
  <c r="BX52" i="109"/>
  <c r="BY52" i="109" s="1"/>
  <c r="BX63" i="161"/>
  <c r="BY63" i="161" s="1"/>
  <c r="BX55" i="161"/>
  <c r="BY55" i="161"/>
  <c r="BX64" i="161"/>
  <c r="BY64" i="161"/>
  <c r="BX60" i="161"/>
  <c r="BY60" i="161" s="1"/>
  <c r="BZ60" i="161" s="1"/>
  <c r="BX59" i="161"/>
  <c r="BY59" i="161" s="1"/>
  <c r="BX56" i="161"/>
  <c r="BY56" i="161"/>
  <c r="BX68" i="161"/>
  <c r="BY68" i="161"/>
  <c r="BX62" i="161"/>
  <c r="BY62" i="161"/>
  <c r="BX58" i="161"/>
  <c r="BY58" i="161" s="1"/>
  <c r="BX56" i="109"/>
  <c r="BY56" i="109"/>
  <c r="BX61" i="161"/>
  <c r="BY61" i="161"/>
  <c r="BX55" i="109"/>
  <c r="BY55" i="109" s="1"/>
  <c r="BX64" i="109"/>
  <c r="BY64" i="109" s="1"/>
  <c r="BX57" i="109"/>
  <c r="BY57" i="109"/>
  <c r="BX59" i="109"/>
  <c r="BY59" i="109"/>
  <c r="BX58" i="109"/>
  <c r="BY58" i="109" s="1"/>
  <c r="BZ58" i="109" s="1"/>
  <c r="BX67" i="109"/>
  <c r="BY67" i="109" s="1"/>
  <c r="BX63" i="109"/>
  <c r="BY63" i="109"/>
  <c r="BX66" i="109"/>
  <c r="BY66" i="109"/>
  <c r="BX68" i="109"/>
  <c r="BY68" i="109"/>
  <c r="BX60" i="109"/>
  <c r="BY60" i="109" s="1"/>
  <c r="BX62" i="109"/>
  <c r="BY62" i="109"/>
  <c r="BX61" i="109"/>
  <c r="BY61" i="109"/>
  <c r="BX65" i="109"/>
  <c r="BY65" i="109"/>
  <c r="BZ65" i="109" s="1"/>
  <c r="CK66" i="161"/>
  <c r="CL66" i="161" s="1"/>
  <c r="CK61" i="161"/>
  <c r="CL61" i="161"/>
  <c r="CK65" i="161"/>
  <c r="CL65" i="161"/>
  <c r="CK57" i="161"/>
  <c r="CL57" i="161"/>
  <c r="CK52" i="161"/>
  <c r="CL52" i="161" s="1"/>
  <c r="CK53" i="109"/>
  <c r="CL53" i="109"/>
  <c r="CK67" i="161"/>
  <c r="CL67" i="161"/>
  <c r="CK64" i="161"/>
  <c r="CL64" i="161" s="1"/>
  <c r="CK63" i="161"/>
  <c r="CL63" i="161" s="1"/>
  <c r="CK60" i="161"/>
  <c r="CL60" i="161"/>
  <c r="CK55" i="161"/>
  <c r="CL55" i="161"/>
  <c r="CK62" i="161"/>
  <c r="CL62" i="161" s="1"/>
  <c r="CK54" i="161"/>
  <c r="CL54" i="161" s="1"/>
  <c r="CK53" i="161"/>
  <c r="CL53" i="161"/>
  <c r="CK59" i="161"/>
  <c r="CL59" i="161"/>
  <c r="CK52" i="109"/>
  <c r="CL52" i="109"/>
  <c r="CK68" i="161"/>
  <c r="CL68" i="161" s="1"/>
  <c r="CK54" i="109"/>
  <c r="CL54" i="109"/>
  <c r="CK56" i="109"/>
  <c r="CL56" i="109"/>
  <c r="CK58" i="109"/>
  <c r="CL58" i="109" s="1"/>
  <c r="CK60" i="109"/>
  <c r="CL60" i="109" s="1"/>
  <c r="CK68" i="109"/>
  <c r="CL68" i="109"/>
  <c r="CK56" i="161"/>
  <c r="CL56" i="161"/>
  <c r="CK55" i="109"/>
  <c r="CL55" i="109" s="1"/>
  <c r="CK57" i="109"/>
  <c r="CL57" i="109" s="1"/>
  <c r="CK64" i="109"/>
  <c r="CL64" i="109"/>
  <c r="CK58" i="161"/>
  <c r="CL58" i="161"/>
  <c r="CK65" i="109"/>
  <c r="CL65" i="109" s="1"/>
  <c r="CK59" i="109"/>
  <c r="CL59" i="109" s="1"/>
  <c r="CK61" i="109"/>
  <c r="CL61" i="109"/>
  <c r="CK62" i="109"/>
  <c r="CL62" i="109"/>
  <c r="CK63" i="109"/>
  <c r="CL63" i="109"/>
  <c r="CK66" i="109"/>
  <c r="CL66" i="109" s="1"/>
  <c r="CK67" i="109"/>
  <c r="CL67" i="109"/>
  <c r="AO158" i="61"/>
  <c r="AO165" i="61" s="1"/>
  <c r="AR165" i="61" s="1"/>
  <c r="AQ64" i="61"/>
  <c r="AQ71" i="61" s="1"/>
  <c r="AM210" i="61"/>
  <c r="AM217" i="61" s="1"/>
  <c r="U67" i="100"/>
  <c r="U75" i="100" s="1"/>
  <c r="U5" i="159"/>
  <c r="U15" i="159" s="1"/>
  <c r="W5" i="159"/>
  <c r="W29" i="159" s="1"/>
  <c r="T5" i="159"/>
  <c r="T21" i="159" s="1"/>
  <c r="R73" i="100"/>
  <c r="AY69" i="86"/>
  <c r="BI69" i="86" s="1"/>
  <c r="AY74" i="86"/>
  <c r="BI74" i="86"/>
  <c r="AY72" i="86"/>
  <c r="BI72" i="86"/>
  <c r="AY94" i="86"/>
  <c r="BI94" i="86" s="1"/>
  <c r="AY71" i="86"/>
  <c r="BI71" i="86" s="1"/>
  <c r="AY87" i="86"/>
  <c r="BI87" i="86"/>
  <c r="AY78" i="86"/>
  <c r="BI78" i="86"/>
  <c r="AY90" i="86"/>
  <c r="BI90" i="86" s="1"/>
  <c r="AY70" i="86"/>
  <c r="BI70" i="86" s="1"/>
  <c r="AY91" i="86"/>
  <c r="BI91" i="86"/>
  <c r="AY73" i="86"/>
  <c r="BI73" i="86"/>
  <c r="AY92" i="86"/>
  <c r="BI92" i="86" s="1"/>
  <c r="AY80" i="86"/>
  <c r="BI80" i="86" s="1"/>
  <c r="AY76" i="86"/>
  <c r="BI76" i="86"/>
  <c r="AY95" i="86"/>
  <c r="BI95" i="86"/>
  <c r="AY97" i="86"/>
  <c r="BI97" i="86" s="1"/>
  <c r="AY89" i="86"/>
  <c r="BI89" i="86" s="1"/>
  <c r="AY88" i="86"/>
  <c r="BI88" i="86"/>
  <c r="AY79" i="86"/>
  <c r="BI79" i="86"/>
  <c r="AY81" i="86"/>
  <c r="BI81" i="86" s="1"/>
  <c r="AY83" i="86"/>
  <c r="BI83" i="86" s="1"/>
  <c r="AY85" i="86"/>
  <c r="BI85" i="86"/>
  <c r="AY75" i="86"/>
  <c r="BI75" i="86"/>
  <c r="AY77" i="86"/>
  <c r="BI77" i="86" s="1"/>
  <c r="AY93" i="86"/>
  <c r="BI93" i="86" s="1"/>
  <c r="AY82" i="86"/>
  <c r="BI82" i="86"/>
  <c r="AY98" i="86"/>
  <c r="BI98" i="86"/>
  <c r="AY96" i="86"/>
  <c r="BI96" i="86" s="1"/>
  <c r="AY84" i="86"/>
  <c r="BI84" i="86" s="1"/>
  <c r="O47" i="100"/>
  <c r="S67" i="100"/>
  <c r="S73" i="100" s="1"/>
  <c r="T67" i="100"/>
  <c r="T74" i="100" s="1"/>
  <c r="P47" i="100"/>
  <c r="L90" i="113"/>
  <c r="L82" i="113"/>
  <c r="L87" i="113"/>
  <c r="L85" i="113"/>
  <c r="L86" i="113"/>
  <c r="L81" i="113"/>
  <c r="L83" i="113"/>
  <c r="L84" i="113"/>
  <c r="L80" i="113"/>
  <c r="L93" i="113"/>
  <c r="L94" i="113"/>
  <c r="L89" i="113"/>
  <c r="L92" i="113"/>
  <c r="L97" i="113"/>
  <c r="L88" i="113"/>
  <c r="L95" i="113"/>
  <c r="L96" i="113"/>
  <c r="L98" i="113"/>
  <c r="L91" i="113"/>
  <c r="L79" i="113"/>
  <c r="W325" i="61"/>
  <c r="AA325" i="61" s="1"/>
  <c r="W323" i="61"/>
  <c r="W321" i="61"/>
  <c r="AA321" i="61" s="1"/>
  <c r="W318" i="61"/>
  <c r="BA84" i="86"/>
  <c r="BK84" i="86" s="1"/>
  <c r="BA91" i="86"/>
  <c r="BK91" i="86" s="1"/>
  <c r="BA86" i="86"/>
  <c r="BK86" i="86" s="1"/>
  <c r="BA94" i="86"/>
  <c r="BK94" i="86"/>
  <c r="BA89" i="86"/>
  <c r="BK89" i="86" s="1"/>
  <c r="BA82" i="86"/>
  <c r="BK82" i="86" s="1"/>
  <c r="BA88" i="86"/>
  <c r="BK88" i="86" s="1"/>
  <c r="BA85" i="86"/>
  <c r="BK85" i="86"/>
  <c r="BA93" i="86"/>
  <c r="BK93" i="86" s="1"/>
  <c r="BA87" i="86"/>
  <c r="BK87" i="86" s="1"/>
  <c r="BA92" i="86"/>
  <c r="BK92" i="86" s="1"/>
  <c r="BA90" i="86"/>
  <c r="BK90" i="86"/>
  <c r="BA83" i="86"/>
  <c r="BK83" i="86" s="1"/>
  <c r="BA72" i="86"/>
  <c r="BK72" i="86"/>
  <c r="BA80" i="86"/>
  <c r="BK80" i="86"/>
  <c r="BA73" i="86"/>
  <c r="BK73" i="86" s="1"/>
  <c r="BA81" i="86"/>
  <c r="BK81" i="86" s="1"/>
  <c r="BA74" i="86"/>
  <c r="BK74" i="86"/>
  <c r="BA75" i="86"/>
  <c r="BK75" i="86" s="1"/>
  <c r="BA95" i="86"/>
  <c r="BK95" i="86" s="1"/>
  <c r="BA76" i="86"/>
  <c r="BK76" i="86" s="1"/>
  <c r="BA96" i="86"/>
  <c r="BK96" i="86" s="1"/>
  <c r="BA77" i="86"/>
  <c r="BK77" i="86" s="1"/>
  <c r="BA97" i="86"/>
  <c r="BK97" i="86" s="1"/>
  <c r="BA70" i="86"/>
  <c r="BK70" i="86" s="1"/>
  <c r="BA78" i="86"/>
  <c r="BK78" i="86" s="1"/>
  <c r="BA98" i="86"/>
  <c r="BK98" i="86" s="1"/>
  <c r="BA71" i="86"/>
  <c r="BK71" i="86" s="1"/>
  <c r="BA79" i="86"/>
  <c r="BK79" i="86" s="1"/>
  <c r="V5" i="159"/>
  <c r="V27" i="159" s="1"/>
  <c r="AW76" i="86"/>
  <c r="BG76" i="86" s="1"/>
  <c r="W13" i="159"/>
  <c r="W21" i="159"/>
  <c r="W28" i="159"/>
  <c r="W14" i="159"/>
  <c r="W22" i="159"/>
  <c r="W20" i="159"/>
  <c r="W15" i="159"/>
  <c r="W23" i="159"/>
  <c r="W24" i="159"/>
  <c r="W17" i="159"/>
  <c r="W25" i="159"/>
  <c r="W18" i="159"/>
  <c r="W26" i="159"/>
  <c r="W11" i="159"/>
  <c r="W27" i="159"/>
  <c r="U23" i="159"/>
  <c r="U16" i="159"/>
  <c r="U19" i="159"/>
  <c r="U12" i="159"/>
  <c r="T28" i="159"/>
  <c r="T13" i="159"/>
  <c r="T19" i="159"/>
  <c r="T11" i="159"/>
  <c r="T15" i="159"/>
  <c r="T17" i="159"/>
  <c r="T18" i="159"/>
  <c r="T26" i="159"/>
  <c r="AW97" i="86"/>
  <c r="BG97" i="86" s="1"/>
  <c r="BG54" i="109"/>
  <c r="BJ54" i="109" s="1"/>
  <c r="F107" i="56"/>
  <c r="CR57" i="161"/>
  <c r="CS57" i="161"/>
  <c r="CR65" i="161"/>
  <c r="CS65" i="161"/>
  <c r="CR59" i="161"/>
  <c r="CS59" i="161"/>
  <c r="CR67" i="161"/>
  <c r="CS67" i="161" s="1"/>
  <c r="CS70" i="161" s="1"/>
  <c r="CR62" i="161"/>
  <c r="CS62" i="161"/>
  <c r="CR55" i="161"/>
  <c r="CS55" i="161"/>
  <c r="CR64" i="161"/>
  <c r="CS64" i="161"/>
  <c r="CR58" i="161"/>
  <c r="CS58" i="161" s="1"/>
  <c r="CR66" i="161"/>
  <c r="CS66" i="161"/>
  <c r="CR56" i="161"/>
  <c r="CS56" i="161"/>
  <c r="CR52" i="161"/>
  <c r="CS52" i="161"/>
  <c r="CR60" i="161"/>
  <c r="CS60" i="161" s="1"/>
  <c r="CR68" i="161"/>
  <c r="CS68" i="161"/>
  <c r="CR53" i="161"/>
  <c r="CS53" i="161"/>
  <c r="CR61" i="161"/>
  <c r="CS61" i="161"/>
  <c r="CR54" i="161"/>
  <c r="CS54" i="161" s="1"/>
  <c r="CR63" i="161"/>
  <c r="CS63" i="161"/>
  <c r="AW75" i="86"/>
  <c r="BG75" i="86" s="1"/>
  <c r="AW78" i="86"/>
  <c r="BG78" i="86" s="1"/>
  <c r="AW72" i="86"/>
  <c r="BG72" i="86" s="1"/>
  <c r="AW88" i="86"/>
  <c r="BG88" i="86" s="1"/>
  <c r="AW79" i="86"/>
  <c r="BG79" i="86" s="1"/>
  <c r="AW81" i="86"/>
  <c r="BG81" i="86" s="1"/>
  <c r="AW91" i="86"/>
  <c r="BG91" i="86" s="1"/>
  <c r="BP91" i="86" s="1"/>
  <c r="AW84" i="86"/>
  <c r="BG84" i="86" s="1"/>
  <c r="AW82" i="86"/>
  <c r="BG82" i="86" s="1"/>
  <c r="AW85" i="86"/>
  <c r="BG85" i="86" s="1"/>
  <c r="AW93" i="86"/>
  <c r="BG93" i="86" s="1"/>
  <c r="AW98" i="86"/>
  <c r="BG98" i="86" s="1"/>
  <c r="AW94" i="86"/>
  <c r="BG94" i="86" s="1"/>
  <c r="AW89" i="86"/>
  <c r="BG89" i="86" s="1"/>
  <c r="AA5" i="159"/>
  <c r="AA26" i="159" s="1"/>
  <c r="AW80" i="86"/>
  <c r="BG80" i="86" s="1"/>
  <c r="AW71" i="86"/>
  <c r="BG71" i="86" s="1"/>
  <c r="AW90" i="86"/>
  <c r="BG90" i="86"/>
  <c r="AW70" i="86"/>
  <c r="BG70" i="86" s="1"/>
  <c r="AW73" i="86"/>
  <c r="BG73" i="86" s="1"/>
  <c r="AW69" i="86"/>
  <c r="BG69" i="86" s="1"/>
  <c r="AW77" i="86"/>
  <c r="BG77" i="86" s="1"/>
  <c r="AW74" i="86"/>
  <c r="BG74" i="86" s="1"/>
  <c r="AW96" i="86"/>
  <c r="BG96" i="86" s="1"/>
  <c r="AW95" i="86"/>
  <c r="BG95" i="86" s="1"/>
  <c r="AW86" i="86"/>
  <c r="BG86" i="86"/>
  <c r="AW92" i="86"/>
  <c r="BG92" i="86" s="1"/>
  <c r="AW83" i="86"/>
  <c r="BG83" i="86" s="1"/>
  <c r="Y53" i="159"/>
  <c r="N46" i="113"/>
  <c r="AQ87" i="61"/>
  <c r="AQ90" i="61"/>
  <c r="AQ86" i="61"/>
  <c r="AQ89" i="61"/>
  <c r="AQ88" i="61"/>
  <c r="AQ84" i="61"/>
  <c r="AQ82" i="61"/>
  <c r="AQ75" i="61"/>
  <c r="AQ78" i="61"/>
  <c r="AQ74" i="61"/>
  <c r="AQ76" i="61"/>
  <c r="AQ83" i="61"/>
  <c r="AQ80" i="61"/>
  <c r="AQ73" i="61"/>
  <c r="AQ72" i="61"/>
  <c r="AP111" i="61"/>
  <c r="AP119" i="61"/>
  <c r="AP114" i="61"/>
  <c r="AP110" i="61"/>
  <c r="AP116" i="61"/>
  <c r="AP121" i="61"/>
  <c r="AP113" i="61"/>
  <c r="AP105" i="61"/>
  <c r="AP120" i="61"/>
  <c r="AP117" i="61"/>
  <c r="AP118" i="61"/>
  <c r="AP123" i="61"/>
  <c r="AP107" i="61"/>
  <c r="AP112" i="61"/>
  <c r="AP104" i="61"/>
  <c r="W144" i="113"/>
  <c r="W152" i="113"/>
  <c r="W160" i="113"/>
  <c r="X160" i="113" s="1"/>
  <c r="W159" i="113"/>
  <c r="W153" i="113"/>
  <c r="X153" i="113" s="1"/>
  <c r="W161" i="113"/>
  <c r="W146" i="113"/>
  <c r="X146" i="113" s="1"/>
  <c r="W154" i="113"/>
  <c r="W162" i="113"/>
  <c r="W147" i="113"/>
  <c r="W155" i="113"/>
  <c r="W163" i="113"/>
  <c r="W148" i="113"/>
  <c r="X148" i="113" s="1"/>
  <c r="W156" i="113"/>
  <c r="X156" i="113" s="1"/>
  <c r="W151" i="113"/>
  <c r="W149" i="113"/>
  <c r="W157" i="113"/>
  <c r="W150" i="113"/>
  <c r="X150" i="113" s="1"/>
  <c r="W158" i="113"/>
  <c r="BK62" i="109"/>
  <c r="BK58" i="109"/>
  <c r="BK61" i="109"/>
  <c r="BK56" i="109"/>
  <c r="BK57" i="109"/>
  <c r="BK60" i="109"/>
  <c r="BK59" i="109"/>
  <c r="L53" i="113"/>
  <c r="L61" i="113"/>
  <c r="L54" i="113"/>
  <c r="L62" i="113"/>
  <c r="L47" i="113"/>
  <c r="L55" i="113"/>
  <c r="L63" i="113"/>
  <c r="L48" i="113"/>
  <c r="L56" i="113"/>
  <c r="L64" i="113"/>
  <c r="L51" i="113"/>
  <c r="L49" i="113"/>
  <c r="L57" i="113"/>
  <c r="L45" i="113"/>
  <c r="L66" i="113" s="1"/>
  <c r="L50" i="113"/>
  <c r="L58" i="113"/>
  <c r="L59" i="113"/>
  <c r="L52" i="113"/>
  <c r="L60" i="113"/>
  <c r="BG52" i="161"/>
  <c r="AO170" i="61"/>
  <c r="AR170" i="61" s="1"/>
  <c r="AO177" i="61"/>
  <c r="AR177" i="61" s="1"/>
  <c r="AO169" i="61"/>
  <c r="AR169" i="61"/>
  <c r="AO176" i="61"/>
  <c r="AR176" i="61" s="1"/>
  <c r="AO175" i="61"/>
  <c r="AR175" i="61" s="1"/>
  <c r="AO167" i="61"/>
  <c r="AR167" i="61" s="1"/>
  <c r="AO172" i="61"/>
  <c r="AR172" i="61" s="1"/>
  <c r="AO182" i="61"/>
  <c r="AR182" i="61" s="1"/>
  <c r="AO179" i="61"/>
  <c r="AR179" i="61" s="1"/>
  <c r="AO181" i="61"/>
  <c r="AR181" i="61" s="1"/>
  <c r="AO180" i="61"/>
  <c r="AR180" i="61" s="1"/>
  <c r="AO174" i="61"/>
  <c r="AR174" i="61" s="1"/>
  <c r="AO184" i="61"/>
  <c r="AR184" i="61" s="1"/>
  <c r="AO166" i="61"/>
  <c r="AR166" i="61" s="1"/>
  <c r="AO171" i="61"/>
  <c r="AR171" i="61" s="1"/>
  <c r="AO168" i="61"/>
  <c r="AR168" i="61" s="1"/>
  <c r="AO173" i="61"/>
  <c r="AR173" i="61" s="1"/>
  <c r="AO178" i="61"/>
  <c r="AR178" i="61" s="1"/>
  <c r="AO183" i="61"/>
  <c r="AR183" i="61" s="1"/>
  <c r="N47" i="100"/>
  <c r="AM221" i="61"/>
  <c r="AP221" i="61" s="1"/>
  <c r="AM223" i="61"/>
  <c r="AP223" i="61" s="1"/>
  <c r="AM227" i="61"/>
  <c r="AP227" i="61"/>
  <c r="AM222" i="61"/>
  <c r="AP222" i="61" s="1"/>
  <c r="AM231" i="61"/>
  <c r="AP231" i="61" s="1"/>
  <c r="AM224" i="61"/>
  <c r="AP224" i="61" s="1"/>
  <c r="AM233" i="61"/>
  <c r="AP233" i="61" s="1"/>
  <c r="AM230" i="61"/>
  <c r="AP230" i="61" s="1"/>
  <c r="AM219" i="61"/>
  <c r="AP219" i="61" s="1"/>
  <c r="AM232" i="61"/>
  <c r="AP232" i="61" s="1"/>
  <c r="AM225" i="61"/>
  <c r="AP225" i="61" s="1"/>
  <c r="AZ89" i="86"/>
  <c r="BJ89" i="86" s="1"/>
  <c r="BW54" i="162"/>
  <c r="BZ54" i="162"/>
  <c r="W324" i="61"/>
  <c r="AA324" i="61" s="1"/>
  <c r="V19" i="159"/>
  <c r="V24" i="159"/>
  <c r="V11" i="159"/>
  <c r="V12" i="159"/>
  <c r="V14" i="159"/>
  <c r="V29" i="159"/>
  <c r="V18" i="159"/>
  <c r="V13" i="159"/>
  <c r="V26" i="159"/>
  <c r="V23" i="159"/>
  <c r="V25" i="159"/>
  <c r="V15" i="159"/>
  <c r="V20" i="159"/>
  <c r="V30" i="159"/>
  <c r="CH43" i="169"/>
  <c r="CJ43" i="169" s="1"/>
  <c r="K169" i="100"/>
  <c r="L169" i="100" s="1"/>
  <c r="K172" i="100"/>
  <c r="L172" i="100"/>
  <c r="K173" i="100"/>
  <c r="L173" i="100" s="1"/>
  <c r="K174" i="100"/>
  <c r="L174" i="100" s="1"/>
  <c r="K167" i="100"/>
  <c r="L167" i="100" s="1"/>
  <c r="K165" i="100"/>
  <c r="L165" i="100"/>
  <c r="K168" i="100"/>
  <c r="L168" i="100" s="1"/>
  <c r="K166" i="100"/>
  <c r="L166" i="100" s="1"/>
  <c r="K171" i="100"/>
  <c r="L171" i="100" s="1"/>
  <c r="K170" i="100"/>
  <c r="L170" i="100" s="1"/>
  <c r="AA25" i="159"/>
  <c r="AA20" i="159"/>
  <c r="AA13" i="159"/>
  <c r="AA24" i="159"/>
  <c r="CH42" i="169"/>
  <c r="CJ42" i="169"/>
  <c r="CH51" i="169"/>
  <c r="CJ51" i="169" s="1"/>
  <c r="CH48" i="169"/>
  <c r="CJ48" i="169"/>
  <c r="CH46" i="169"/>
  <c r="CJ46" i="169" s="1"/>
  <c r="CH45" i="169"/>
  <c r="CJ45" i="169"/>
  <c r="BG52" i="109"/>
  <c r="BJ52" i="109" s="1"/>
  <c r="CH44" i="169"/>
  <c r="CJ44" i="169"/>
  <c r="CH50" i="169"/>
  <c r="CJ50" i="169" s="1"/>
  <c r="CH49" i="169"/>
  <c r="CJ49" i="169"/>
  <c r="CH47" i="169"/>
  <c r="CJ47" i="169" s="1"/>
  <c r="CL55" i="162"/>
  <c r="CS55" i="162"/>
  <c r="I149" i="100"/>
  <c r="Q149" i="100" s="1"/>
  <c r="S149" i="100" s="1"/>
  <c r="BF56" i="162"/>
  <c r="BL56" i="162" s="1"/>
  <c r="X145" i="113"/>
  <c r="CL45" i="169"/>
  <c r="CL46" i="169"/>
  <c r="CL48" i="169"/>
  <c r="CL50" i="169"/>
  <c r="CL47" i="169"/>
  <c r="CL49" i="169"/>
  <c r="T53" i="159"/>
  <c r="X53" i="159"/>
  <c r="AA323" i="61"/>
  <c r="AB323" i="61"/>
  <c r="AB325" i="61"/>
  <c r="AB321" i="61"/>
  <c r="CL51" i="169"/>
  <c r="CL44" i="169"/>
  <c r="CL43" i="169"/>
  <c r="CL42" i="169"/>
  <c r="BK64" i="161"/>
  <c r="BK67" i="161"/>
  <c r="BK63" i="161"/>
  <c r="BK65" i="161"/>
  <c r="BK66" i="161"/>
  <c r="BK63" i="109"/>
  <c r="BK64" i="109"/>
  <c r="BK65" i="109"/>
  <c r="DT71" i="162"/>
  <c r="BG53" i="161"/>
  <c r="BG53" i="109"/>
  <c r="BJ53" i="109"/>
  <c r="Q165" i="113"/>
  <c r="D60" i="56"/>
  <c r="Y5" i="159"/>
  <c r="Y28" i="159" s="1"/>
  <c r="Z5" i="159"/>
  <c r="AZ71" i="86"/>
  <c r="BJ71" i="86" s="1"/>
  <c r="AZ95" i="86"/>
  <c r="BJ95" i="86" s="1"/>
  <c r="AZ97" i="86"/>
  <c r="BJ97" i="86"/>
  <c r="AZ81" i="86"/>
  <c r="BJ81" i="86" s="1"/>
  <c r="AZ87" i="86"/>
  <c r="BJ87" i="86" s="1"/>
  <c r="AZ94" i="86"/>
  <c r="BJ94" i="86" s="1"/>
  <c r="AZ70" i="86"/>
  <c r="BJ70" i="86"/>
  <c r="AZ93" i="86"/>
  <c r="BJ93" i="86"/>
  <c r="AZ77" i="86"/>
  <c r="BJ77" i="86" s="1"/>
  <c r="AZ91" i="86"/>
  <c r="BJ91" i="86" s="1"/>
  <c r="AZ79" i="86"/>
  <c r="BJ79" i="86"/>
  <c r="AZ73" i="86"/>
  <c r="BJ73" i="86" s="1"/>
  <c r="AZ88" i="86"/>
  <c r="BJ88" i="86" s="1"/>
  <c r="AZ75" i="86"/>
  <c r="BJ75" i="86" s="1"/>
  <c r="AZ76" i="86"/>
  <c r="BJ76" i="86"/>
  <c r="AZ83" i="86"/>
  <c r="BJ83" i="86"/>
  <c r="AZ69" i="86"/>
  <c r="BJ69" i="86" s="1"/>
  <c r="AZ72" i="86"/>
  <c r="BJ72" i="86" s="1"/>
  <c r="AZ82" i="86"/>
  <c r="BJ82" i="86"/>
  <c r="AZ74" i="86"/>
  <c r="BJ74" i="86" s="1"/>
  <c r="AZ92" i="86"/>
  <c r="BJ92" i="86" s="1"/>
  <c r="AZ85" i="86"/>
  <c r="BJ85" i="86" s="1"/>
  <c r="AZ98" i="86"/>
  <c r="BJ98" i="86"/>
  <c r="AZ96" i="86"/>
  <c r="BJ96" i="86"/>
  <c r="AZ84" i="86"/>
  <c r="BJ84" i="86" s="1"/>
  <c r="AZ86" i="86"/>
  <c r="BJ86" i="86" s="1"/>
  <c r="AZ78" i="86"/>
  <c r="BJ78" i="86"/>
  <c r="AZ80" i="86"/>
  <c r="BJ80" i="86" s="1"/>
  <c r="AZ90" i="86"/>
  <c r="BJ90" i="86" s="1"/>
  <c r="K117" i="65"/>
  <c r="T48" i="113"/>
  <c r="U48" i="113" s="1"/>
  <c r="V58" i="162"/>
  <c r="AE58" i="161"/>
  <c r="AE55" i="161"/>
  <c r="AE58" i="109"/>
  <c r="AK82" i="109"/>
  <c r="AP82" i="109"/>
  <c r="AB83" i="109"/>
  <c r="AE60" i="109"/>
  <c r="AK88" i="109"/>
  <c r="AP88" i="109" s="1"/>
  <c r="W193" i="113"/>
  <c r="T54" i="113"/>
  <c r="U54" i="113" s="1"/>
  <c r="AA54" i="113" s="1"/>
  <c r="P22" i="113" s="1"/>
  <c r="W189" i="113"/>
  <c r="AQ52" i="109"/>
  <c r="AV52" i="109" s="1"/>
  <c r="DN68" i="162"/>
  <c r="DU68" i="162" s="1"/>
  <c r="V95" i="113"/>
  <c r="AQ66" i="109"/>
  <c r="DN56" i="162"/>
  <c r="DU56" i="162" s="1"/>
  <c r="AQ67" i="161"/>
  <c r="AV67" i="161" s="1"/>
  <c r="DN53" i="162"/>
  <c r="DU53" i="162"/>
  <c r="AR236" i="61"/>
  <c r="R127" i="113"/>
  <c r="AB94" i="109"/>
  <c r="AT165" i="61"/>
  <c r="AA189" i="113"/>
  <c r="AF189" i="113"/>
  <c r="AQ230" i="61"/>
  <c r="Z14" i="159"/>
  <c r="Z22" i="159"/>
  <c r="Z30" i="159"/>
  <c r="Z11" i="159"/>
  <c r="Z15" i="159"/>
  <c r="Z23" i="159"/>
  <c r="Z29" i="159"/>
  <c r="Z16" i="159"/>
  <c r="Z24" i="159"/>
  <c r="Z17" i="159"/>
  <c r="Z25" i="159"/>
  <c r="Z13" i="159"/>
  <c r="Z18" i="159"/>
  <c r="Z26" i="159"/>
  <c r="Z21" i="159"/>
  <c r="Z19" i="159"/>
  <c r="Z27" i="159"/>
  <c r="Z12" i="159"/>
  <c r="Z20" i="159"/>
  <c r="Z28" i="159"/>
  <c r="Y11" i="159"/>
  <c r="Y19" i="159"/>
  <c r="Y18" i="159"/>
  <c r="Y12" i="159"/>
  <c r="Y20" i="159"/>
  <c r="Y13" i="159"/>
  <c r="Y21" i="159"/>
  <c r="Y29" i="159"/>
  <c r="Y22" i="159"/>
  <c r="Y30" i="159"/>
  <c r="Y15" i="159"/>
  <c r="Y16" i="159"/>
  <c r="Y24" i="159"/>
  <c r="Y17" i="159"/>
  <c r="Y26" i="159"/>
  <c r="M27" i="65"/>
  <c r="F13" i="56" s="1"/>
  <c r="AI147" i="113"/>
  <c r="AS71" i="61"/>
  <c r="AR218" i="61"/>
  <c r="AI163" i="113"/>
  <c r="AI148" i="113"/>
  <c r="AR225" i="61"/>
  <c r="R116" i="113"/>
  <c r="AO228" i="61"/>
  <c r="AA195" i="113"/>
  <c r="AF195" i="113"/>
  <c r="AO231" i="61"/>
  <c r="AM177" i="113"/>
  <c r="AN54" i="162"/>
  <c r="AT54" i="162"/>
  <c r="BL97" i="86"/>
  <c r="AG276" i="61"/>
  <c r="BL69" i="86"/>
  <c r="DA64" i="161"/>
  <c r="DH64" i="161" s="1"/>
  <c r="AQ217" i="61"/>
  <c r="BU56" i="109"/>
  <c r="BZ56" i="109" s="1"/>
  <c r="BU58" i="161"/>
  <c r="BZ58" i="161"/>
  <c r="BI95" i="109"/>
  <c r="BP95" i="109" s="1"/>
  <c r="BI90" i="109"/>
  <c r="BP90" i="109" s="1"/>
  <c r="AS175" i="61"/>
  <c r="AD325" i="61"/>
  <c r="AR73" i="61"/>
  <c r="CT68" i="109"/>
  <c r="DA68" i="109" s="1"/>
  <c r="AQ222" i="61"/>
  <c r="W182" i="113"/>
  <c r="W194" i="113"/>
  <c r="V79" i="113"/>
  <c r="AE53" i="109"/>
  <c r="AE52" i="109"/>
  <c r="AE57" i="109"/>
  <c r="AE67" i="161"/>
  <c r="AE61" i="161"/>
  <c r="AQ63" i="109"/>
  <c r="AV63" i="109"/>
  <c r="AQ63" i="161"/>
  <c r="AV63" i="161" s="1"/>
  <c r="AK93" i="109"/>
  <c r="AP93" i="109" s="1"/>
  <c r="AK87" i="109"/>
  <c r="AP87" i="109" s="1"/>
  <c r="AK97" i="109"/>
  <c r="AK99" i="109" s="1"/>
  <c r="AP97" i="109"/>
  <c r="T51" i="113"/>
  <c r="T46" i="113"/>
  <c r="DN69" i="162"/>
  <c r="DU69" i="162" s="1"/>
  <c r="DN64" i="162"/>
  <c r="DU64" i="162"/>
  <c r="AB92" i="109"/>
  <c r="AI161" i="113"/>
  <c r="AI158" i="113"/>
  <c r="Y111" i="113"/>
  <c r="R119" i="113"/>
  <c r="R121" i="113"/>
  <c r="AA187" i="113"/>
  <c r="AF187" i="113"/>
  <c r="AA192" i="113"/>
  <c r="AF192" i="113"/>
  <c r="AA181" i="113"/>
  <c r="V69" i="162"/>
  <c r="V65" i="162"/>
  <c r="AQ165" i="61"/>
  <c r="V53" i="162"/>
  <c r="AR221" i="61"/>
  <c r="AR232" i="61"/>
  <c r="AO224" i="61"/>
  <c r="AO227" i="61"/>
  <c r="V54" i="162"/>
  <c r="R111" i="113"/>
  <c r="W178" i="113"/>
  <c r="AQ56" i="109"/>
  <c r="AV56" i="109" s="1"/>
  <c r="AQ67" i="109"/>
  <c r="DN62" i="162"/>
  <c r="DU62" i="162"/>
  <c r="AR228" i="61"/>
  <c r="W183" i="113"/>
  <c r="W188" i="113"/>
  <c r="W186" i="113"/>
  <c r="AQ56" i="161"/>
  <c r="AE56" i="109"/>
  <c r="AE62" i="109"/>
  <c r="AE57" i="161"/>
  <c r="AE68" i="161"/>
  <c r="AQ53" i="109"/>
  <c r="AQ65" i="109"/>
  <c r="AV65" i="109"/>
  <c r="AQ65" i="161"/>
  <c r="AV65" i="161" s="1"/>
  <c r="AK94" i="109"/>
  <c r="AP94" i="109" s="1"/>
  <c r="AK83" i="109"/>
  <c r="AP83" i="109"/>
  <c r="AB81" i="109"/>
  <c r="T63" i="113"/>
  <c r="T61" i="113"/>
  <c r="U61" i="113" s="1"/>
  <c r="DN67" i="162"/>
  <c r="DU67" i="162" s="1"/>
  <c r="DN60" i="162"/>
  <c r="DU60" i="162" s="1"/>
  <c r="AB89" i="109"/>
  <c r="AB84" i="109"/>
  <c r="AI160" i="113"/>
  <c r="Y112" i="113"/>
  <c r="Y115" i="113"/>
  <c r="R118" i="113"/>
  <c r="R115" i="113"/>
  <c r="AA194" i="113"/>
  <c r="AF194" i="113"/>
  <c r="AA191" i="113"/>
  <c r="AF191" i="113" s="1"/>
  <c r="V68" i="162"/>
  <c r="V63" i="162"/>
  <c r="AS73" i="61"/>
  <c r="AO233" i="61"/>
  <c r="AR224" i="61"/>
  <c r="AR235" i="61"/>
  <c r="AO226" i="61"/>
  <c r="AO217" i="61"/>
  <c r="W179" i="113"/>
  <c r="AE63" i="161"/>
  <c r="AK96" i="109"/>
  <c r="T50" i="113"/>
  <c r="AI153" i="113"/>
  <c r="AA188" i="113"/>
  <c r="AF188" i="113" s="1"/>
  <c r="V57" i="162"/>
  <c r="V71" i="162" s="1"/>
  <c r="W180" i="113"/>
  <c r="W177" i="113"/>
  <c r="V80" i="113"/>
  <c r="AE53" i="161"/>
  <c r="AE61" i="109"/>
  <c r="AE66" i="109"/>
  <c r="AE59" i="161"/>
  <c r="AE64" i="161"/>
  <c r="AQ54" i="109"/>
  <c r="AQ64" i="109"/>
  <c r="AV64" i="109" s="1"/>
  <c r="AQ57" i="109"/>
  <c r="AV57" i="109"/>
  <c r="AK90" i="109"/>
  <c r="AP90" i="109"/>
  <c r="AK89" i="109"/>
  <c r="AP89" i="109" s="1"/>
  <c r="T58" i="113"/>
  <c r="T55" i="113"/>
  <c r="T53" i="113"/>
  <c r="U53" i="113" s="1"/>
  <c r="DN58" i="162"/>
  <c r="DU58" i="162" s="1"/>
  <c r="DN63" i="162"/>
  <c r="DU63" i="162"/>
  <c r="AB96" i="109"/>
  <c r="AB91" i="109"/>
  <c r="AI152" i="113"/>
  <c r="AI145" i="113"/>
  <c r="AI146" i="113"/>
  <c r="R125" i="113"/>
  <c r="R130" i="113"/>
  <c r="AA186" i="113"/>
  <c r="AF186" i="113" s="1"/>
  <c r="AA183" i="113"/>
  <c r="AF183" i="113"/>
  <c r="V60" i="162"/>
  <c r="V64" i="162"/>
  <c r="AS72" i="61"/>
  <c r="AS74" i="61"/>
  <c r="AO229" i="61"/>
  <c r="AR220" i="61"/>
  <c r="AR231" i="61"/>
  <c r="AR234" i="61"/>
  <c r="AR217" i="61"/>
  <c r="AQ62" i="109"/>
  <c r="AV62" i="109"/>
  <c r="W187" i="113"/>
  <c r="AE67" i="109"/>
  <c r="AB82" i="109"/>
  <c r="AB87" i="109"/>
  <c r="R126" i="113"/>
  <c r="AN53" i="162"/>
  <c r="AT53" i="162" s="1"/>
  <c r="AO220" i="61"/>
  <c r="W184" i="113"/>
  <c r="W195" i="113"/>
  <c r="V98" i="113"/>
  <c r="AE64" i="109"/>
  <c r="AE65" i="109"/>
  <c r="AE60" i="161"/>
  <c r="AQ55" i="161"/>
  <c r="AQ54" i="161"/>
  <c r="AQ64" i="161"/>
  <c r="AV64" i="161" s="1"/>
  <c r="AQ57" i="161"/>
  <c r="AK95" i="109"/>
  <c r="AP95" i="109"/>
  <c r="AK91" i="109"/>
  <c r="AP91" i="109"/>
  <c r="T49" i="113"/>
  <c r="T47" i="113"/>
  <c r="DN61" i="162"/>
  <c r="DU61" i="162" s="1"/>
  <c r="DN59" i="162"/>
  <c r="DU59" i="162" s="1"/>
  <c r="AB85" i="109"/>
  <c r="AB95" i="109"/>
  <c r="AI155" i="113"/>
  <c r="AI157" i="113"/>
  <c r="R128" i="113"/>
  <c r="R117" i="113"/>
  <c r="R122" i="113"/>
  <c r="AA193" i="113"/>
  <c r="AA190" i="113"/>
  <c r="AF190" i="113"/>
  <c r="V67" i="162"/>
  <c r="V62" i="162"/>
  <c r="AQ166" i="61"/>
  <c r="AR106" i="61"/>
  <c r="AR107" i="61"/>
  <c r="AO225" i="61"/>
  <c r="AO234" i="61"/>
  <c r="AR227" i="61"/>
  <c r="AR230" i="61"/>
  <c r="AR219" i="61"/>
  <c r="W181" i="113"/>
  <c r="AE62" i="161"/>
  <c r="AK86" i="109"/>
  <c r="AP86" i="109"/>
  <c r="T57" i="113"/>
  <c r="U57" i="113" s="1"/>
  <c r="AB97" i="109"/>
  <c r="R123" i="113"/>
  <c r="R132" i="113" s="1"/>
  <c r="AO230" i="61"/>
  <c r="W191" i="113"/>
  <c r="W190" i="113"/>
  <c r="V81" i="113"/>
  <c r="AE63" i="109"/>
  <c r="AQ55" i="109"/>
  <c r="AV55" i="109"/>
  <c r="AE65" i="161"/>
  <c r="AE66" i="161"/>
  <c r="AQ68" i="161"/>
  <c r="AV68" i="161" s="1"/>
  <c r="AK81" i="109"/>
  <c r="AP81" i="109"/>
  <c r="AK84" i="109"/>
  <c r="AP84" i="109"/>
  <c r="T64" i="113"/>
  <c r="T59" i="113"/>
  <c r="T60" i="113"/>
  <c r="DN66" i="162"/>
  <c r="DU66" i="162" s="1"/>
  <c r="AB88" i="109"/>
  <c r="AB86" i="109"/>
  <c r="AI162" i="113"/>
  <c r="AI159" i="113"/>
  <c r="AI149" i="113"/>
  <c r="R120" i="113"/>
  <c r="R129" i="113"/>
  <c r="AA179" i="113"/>
  <c r="AF179" i="113"/>
  <c r="AA185" i="113"/>
  <c r="AF185" i="113" s="1"/>
  <c r="AA182" i="113"/>
  <c r="AF182" i="113" s="1"/>
  <c r="V59" i="162"/>
  <c r="AR104" i="61"/>
  <c r="AR233" i="61"/>
  <c r="AO221" i="61"/>
  <c r="AO236" i="61"/>
  <c r="AR223" i="61"/>
  <c r="AR226" i="61"/>
  <c r="AO218" i="61"/>
  <c r="DN57" i="162"/>
  <c r="DU57" i="162" s="1"/>
  <c r="AI150" i="113"/>
  <c r="AA184" i="113"/>
  <c r="V61" i="162"/>
  <c r="AO223" i="61"/>
  <c r="W185" i="113"/>
  <c r="W192" i="113"/>
  <c r="V83" i="113"/>
  <c r="AE55" i="109"/>
  <c r="AE59" i="109"/>
  <c r="AE56" i="161"/>
  <c r="AQ68" i="109"/>
  <c r="AQ66" i="161"/>
  <c r="AV66" i="161" s="1"/>
  <c r="AK92" i="109"/>
  <c r="AP92" i="109" s="1"/>
  <c r="AK85" i="109"/>
  <c r="AP85" i="109"/>
  <c r="T56" i="113"/>
  <c r="T62" i="113"/>
  <c r="T52" i="113"/>
  <c r="DN65" i="162"/>
  <c r="DU65" i="162" s="1"/>
  <c r="AB93" i="109"/>
  <c r="AB90" i="109"/>
  <c r="AI154" i="113"/>
  <c r="AI151" i="113"/>
  <c r="AI156" i="113"/>
  <c r="R112" i="113"/>
  <c r="R124" i="113"/>
  <c r="R114" i="113"/>
  <c r="AA177" i="113"/>
  <c r="AF177" i="113" s="1"/>
  <c r="AA180" i="113"/>
  <c r="AF180" i="113"/>
  <c r="V66" i="162"/>
  <c r="AT166" i="61"/>
  <c r="AR105" i="61"/>
  <c r="AR229" i="61"/>
  <c r="AO222" i="61"/>
  <c r="AO232" i="61"/>
  <c r="AO235" i="61"/>
  <c r="AR222" i="61"/>
  <c r="AO219" i="61"/>
  <c r="DN54" i="162"/>
  <c r="BL95" i="86"/>
  <c r="AR71" i="61"/>
  <c r="DA60" i="161"/>
  <c r="DH60" i="161" s="1"/>
  <c r="BU60" i="109"/>
  <c r="BZ60" i="109" s="1"/>
  <c r="BI82" i="109"/>
  <c r="BP82" i="109" s="1"/>
  <c r="AQ104" i="61"/>
  <c r="AQ235" i="61"/>
  <c r="AF271" i="61"/>
  <c r="AD320" i="61"/>
  <c r="BL89" i="86"/>
  <c r="CT53" i="109"/>
  <c r="DA53" i="109" s="1"/>
  <c r="BU68" i="161"/>
  <c r="BZ68" i="161"/>
  <c r="AQ218" i="61"/>
  <c r="AQ224" i="61"/>
  <c r="AQ238" i="61" s="1"/>
  <c r="AF270" i="61"/>
  <c r="AD318" i="61"/>
  <c r="BL82" i="86"/>
  <c r="K33" i="160"/>
  <c r="M33" i="160" s="1"/>
  <c r="CT67" i="109"/>
  <c r="DA67" i="109" s="1"/>
  <c r="CT55" i="109"/>
  <c r="DA55" i="109" s="1"/>
  <c r="BU55" i="161"/>
  <c r="BZ55" i="161" s="1"/>
  <c r="AS180" i="61"/>
  <c r="AQ223" i="61"/>
  <c r="AO121" i="61"/>
  <c r="BL80" i="86"/>
  <c r="BL91" i="86"/>
  <c r="K39" i="160"/>
  <c r="M39" i="160" s="1"/>
  <c r="S114" i="109"/>
  <c r="AS168" i="61"/>
  <c r="AG273" i="61"/>
  <c r="DA56" i="161"/>
  <c r="DH56" i="161" s="1"/>
  <c r="BU66" i="109"/>
  <c r="BZ66" i="109"/>
  <c r="BU66" i="161"/>
  <c r="BZ66" i="161" s="1"/>
  <c r="BI83" i="109"/>
  <c r="BP83" i="109" s="1"/>
  <c r="S111" i="109"/>
  <c r="BL70" i="86"/>
  <c r="CT56" i="109"/>
  <c r="DA56" i="109"/>
  <c r="BU64" i="109"/>
  <c r="BZ64" i="109" s="1"/>
  <c r="S112" i="109"/>
  <c r="BF54" i="162"/>
  <c r="BL54" i="162" s="1"/>
  <c r="AF275" i="61"/>
  <c r="AD322" i="61"/>
  <c r="AD319" i="61"/>
  <c r="AD329" i="61" s="1"/>
  <c r="BL72" i="86"/>
  <c r="AG271" i="61"/>
  <c r="BL75" i="86"/>
  <c r="BL92" i="86"/>
  <c r="BL86" i="86"/>
  <c r="AR74" i="61"/>
  <c r="K38" i="160"/>
  <c r="M38" i="160"/>
  <c r="M41" i="160" s="1"/>
  <c r="G89" i="56" s="1"/>
  <c r="H89" i="56" s="1"/>
  <c r="CT64" i="109"/>
  <c r="DA64" i="109" s="1"/>
  <c r="DA61" i="161"/>
  <c r="DH61" i="161" s="1"/>
  <c r="DA59" i="161"/>
  <c r="DH59" i="161" s="1"/>
  <c r="DA57" i="161"/>
  <c r="DH57" i="161"/>
  <c r="BU63" i="109"/>
  <c r="BU61" i="161"/>
  <c r="BZ61" i="161" s="1"/>
  <c r="BU62" i="161"/>
  <c r="BZ62" i="161"/>
  <c r="BU63" i="161"/>
  <c r="BZ63" i="161"/>
  <c r="BI84" i="109"/>
  <c r="BP84" i="109" s="1"/>
  <c r="BI96" i="109"/>
  <c r="BP96" i="109" s="1"/>
  <c r="S110" i="109"/>
  <c r="AS166" i="61"/>
  <c r="AS172" i="61"/>
  <c r="AQ219" i="61"/>
  <c r="AQ227" i="61"/>
  <c r="AQ231" i="61"/>
  <c r="AF268" i="61"/>
  <c r="AD324" i="61"/>
  <c r="BL73" i="86"/>
  <c r="BL79" i="86"/>
  <c r="BL77" i="86"/>
  <c r="AG268" i="61"/>
  <c r="BL93" i="86"/>
  <c r="AP72" i="61"/>
  <c r="K32" i="160"/>
  <c r="M32" i="160" s="1"/>
  <c r="CT60" i="109"/>
  <c r="DA60" i="109" s="1"/>
  <c r="BU53" i="161"/>
  <c r="BZ53" i="161" s="1"/>
  <c r="DA58" i="161"/>
  <c r="DH58" i="161" s="1"/>
  <c r="BU59" i="109"/>
  <c r="BZ59" i="109" s="1"/>
  <c r="BU58" i="109"/>
  <c r="BU54" i="161"/>
  <c r="BZ54" i="161" s="1"/>
  <c r="BU67" i="161"/>
  <c r="BZ67" i="161" s="1"/>
  <c r="BI91" i="109"/>
  <c r="BP91" i="109" s="1"/>
  <c r="BI85" i="109"/>
  <c r="BP85" i="109" s="1"/>
  <c r="AF273" i="61"/>
  <c r="AS182" i="61"/>
  <c r="AS179" i="61"/>
  <c r="AQ106" i="61"/>
  <c r="AS165" i="61"/>
  <c r="AQ229" i="61"/>
  <c r="AQ234" i="61"/>
  <c r="S115" i="109"/>
  <c r="AF274" i="61"/>
  <c r="AD327" i="61"/>
  <c r="AG275" i="61"/>
  <c r="BL71" i="86"/>
  <c r="AG270" i="61"/>
  <c r="BL74" i="86"/>
  <c r="BL87" i="86"/>
  <c r="AP71" i="61"/>
  <c r="K36" i="160"/>
  <c r="M36" i="160"/>
  <c r="AR72" i="61"/>
  <c r="CT61" i="109"/>
  <c r="DA61" i="109" s="1"/>
  <c r="CT58" i="109"/>
  <c r="DA58" i="109"/>
  <c r="CT62" i="109"/>
  <c r="DA62" i="109" s="1"/>
  <c r="DA62" i="161"/>
  <c r="DH62" i="161" s="1"/>
  <c r="DA65" i="161"/>
  <c r="DH65" i="161" s="1"/>
  <c r="BU52" i="109"/>
  <c r="BZ52" i="109"/>
  <c r="BU56" i="161"/>
  <c r="BZ56" i="161" s="1"/>
  <c r="BU54" i="109"/>
  <c r="BZ54" i="109"/>
  <c r="BI92" i="109"/>
  <c r="BP92" i="109" s="1"/>
  <c r="BI86" i="109"/>
  <c r="BP86" i="109" s="1"/>
  <c r="AS177" i="61"/>
  <c r="AS174" i="61"/>
  <c r="AS171" i="61"/>
  <c r="AO104" i="61"/>
  <c r="AQ221" i="61"/>
  <c r="AQ226" i="61"/>
  <c r="CL62" i="162"/>
  <c r="CS62" i="162"/>
  <c r="AF276" i="61"/>
  <c r="AF269" i="61"/>
  <c r="AD323" i="61"/>
  <c r="AG274" i="61"/>
  <c r="AG272" i="61"/>
  <c r="BL96" i="86"/>
  <c r="BL84" i="86"/>
  <c r="BL90" i="86"/>
  <c r="AP74" i="61"/>
  <c r="K30" i="160"/>
  <c r="M30" i="160" s="1"/>
  <c r="K37" i="160"/>
  <c r="M37" i="160"/>
  <c r="CT59" i="109"/>
  <c r="DA59" i="109" s="1"/>
  <c r="BU53" i="109"/>
  <c r="BZ53" i="109"/>
  <c r="DA66" i="161"/>
  <c r="DH66" i="161" s="1"/>
  <c r="DA67" i="161"/>
  <c r="DH67" i="161" s="1"/>
  <c r="BU67" i="109"/>
  <c r="BZ67" i="109" s="1"/>
  <c r="BU59" i="161"/>
  <c r="BZ59" i="161"/>
  <c r="BI93" i="109"/>
  <c r="BP93" i="109" s="1"/>
  <c r="BI87" i="109"/>
  <c r="BP87" i="109" s="1"/>
  <c r="AS184" i="61"/>
  <c r="AS181" i="61"/>
  <c r="AS178" i="61"/>
  <c r="AO106" i="61"/>
  <c r="AO107" i="61"/>
  <c r="AQ236" i="61"/>
  <c r="AQ233" i="61"/>
  <c r="CL63" i="162"/>
  <c r="CS63" i="162" s="1"/>
  <c r="AF272" i="61"/>
  <c r="BL81" i="86"/>
  <c r="BL98" i="86"/>
  <c r="BL76" i="86"/>
  <c r="BL100" i="86" s="1"/>
  <c r="BL85" i="86"/>
  <c r="BL94" i="86"/>
  <c r="AP73" i="61"/>
  <c r="K35" i="160"/>
  <c r="M35" i="160"/>
  <c r="K31" i="160"/>
  <c r="M31" i="160"/>
  <c r="CT66" i="109"/>
  <c r="DA66" i="109" s="1"/>
  <c r="CT65" i="109"/>
  <c r="DA68" i="161"/>
  <c r="DH68" i="161" s="1"/>
  <c r="DA63" i="161"/>
  <c r="DH63" i="161" s="1"/>
  <c r="BU55" i="109"/>
  <c r="BZ55" i="109"/>
  <c r="BU62" i="109"/>
  <c r="BZ62" i="109" s="1"/>
  <c r="BU60" i="161"/>
  <c r="BU57" i="161"/>
  <c r="BI89" i="109"/>
  <c r="BP89" i="109"/>
  <c r="BI94" i="109"/>
  <c r="BP94" i="109" s="1"/>
  <c r="AS176" i="61"/>
  <c r="AS173" i="61"/>
  <c r="AS170" i="61"/>
  <c r="AQ105" i="61"/>
  <c r="AQ107" i="61"/>
  <c r="AQ228" i="61"/>
  <c r="AQ225" i="61"/>
  <c r="AF267" i="61"/>
  <c r="AG267" i="61"/>
  <c r="BL78" i="86"/>
  <c r="AG269" i="61"/>
  <c r="BL83" i="86"/>
  <c r="BL88" i="86"/>
  <c r="K34" i="160"/>
  <c r="M34" i="160"/>
  <c r="CT57" i="109"/>
  <c r="DA57" i="109" s="1"/>
  <c r="DA55" i="161"/>
  <c r="DH55" i="161" s="1"/>
  <c r="BU65" i="109"/>
  <c r="BU57" i="109"/>
  <c r="BZ57" i="109" s="1"/>
  <c r="BU64" i="161"/>
  <c r="BZ64" i="161"/>
  <c r="BU65" i="161"/>
  <c r="BI97" i="109"/>
  <c r="BP97" i="109"/>
  <c r="BI88" i="109"/>
  <c r="BP88" i="109" s="1"/>
  <c r="AS183" i="61"/>
  <c r="AS169" i="61"/>
  <c r="AO105" i="61"/>
  <c r="AQ220" i="61"/>
  <c r="AQ232" i="61"/>
  <c r="CL65" i="162"/>
  <c r="CS65" i="162" s="1"/>
  <c r="BF63" i="162"/>
  <c r="BL63" i="162" s="1"/>
  <c r="BF67" i="162"/>
  <c r="BL67" i="162" s="1"/>
  <c r="CL53" i="162"/>
  <c r="CS53" i="162"/>
  <c r="BF62" i="162"/>
  <c r="BL62" i="162" s="1"/>
  <c r="CL60" i="162"/>
  <c r="CS60" i="162" s="1"/>
  <c r="U44" i="169"/>
  <c r="V44" i="169"/>
  <c r="V53" i="169" s="1"/>
  <c r="CL66" i="162"/>
  <c r="CS66" i="162"/>
  <c r="BF68" i="162"/>
  <c r="BL68" i="162" s="1"/>
  <c r="BF58" i="162"/>
  <c r="BL58" i="162" s="1"/>
  <c r="BF60" i="162"/>
  <c r="BL60" i="162" s="1"/>
  <c r="BF55" i="162"/>
  <c r="BL55" i="162"/>
  <c r="X154" i="113"/>
  <c r="X149" i="113"/>
  <c r="X157" i="113"/>
  <c r="X155" i="113"/>
  <c r="X158" i="113"/>
  <c r="X152" i="113"/>
  <c r="X147" i="113"/>
  <c r="X151" i="113"/>
  <c r="X159" i="113"/>
  <c r="X144" i="113"/>
  <c r="X163" i="113"/>
  <c r="X161" i="113"/>
  <c r="X162" i="113"/>
  <c r="CL69" i="162"/>
  <c r="CS69" i="162"/>
  <c r="CL57" i="162"/>
  <c r="CS57" i="162" s="1"/>
  <c r="CS71" i="162" s="1"/>
  <c r="BF66" i="162"/>
  <c r="BL66" i="162" s="1"/>
  <c r="CL54" i="162"/>
  <c r="CS54" i="162" s="1"/>
  <c r="CL61" i="162"/>
  <c r="CS61" i="162"/>
  <c r="BF65" i="162"/>
  <c r="BL65" i="162" s="1"/>
  <c r="CL68" i="162"/>
  <c r="CS68" i="162" s="1"/>
  <c r="BF64" i="162"/>
  <c r="BL64" i="162"/>
  <c r="CL58" i="162"/>
  <c r="CS58" i="162"/>
  <c r="CL67" i="162"/>
  <c r="CS67" i="162" s="1"/>
  <c r="AQ62" i="161"/>
  <c r="BF57" i="162"/>
  <c r="BL57" i="162"/>
  <c r="BF59" i="162"/>
  <c r="BL59" i="162"/>
  <c r="CL64" i="162"/>
  <c r="CS64" i="162" s="1"/>
  <c r="CL59" i="162"/>
  <c r="CS59" i="162" s="1"/>
  <c r="BF69" i="162"/>
  <c r="BL69" i="162"/>
  <c r="CL56" i="162"/>
  <c r="CS56" i="162"/>
  <c r="AR77" i="61"/>
  <c r="BF53" i="162"/>
  <c r="AA176" i="113"/>
  <c r="Y116" i="113"/>
  <c r="Y121" i="113"/>
  <c r="Y132" i="113" s="1"/>
  <c r="Y118" i="113"/>
  <c r="AO119" i="61"/>
  <c r="V84" i="113"/>
  <c r="V88" i="113"/>
  <c r="Y123" i="113"/>
  <c r="Y113" i="113"/>
  <c r="AM176" i="113"/>
  <c r="AO111" i="61"/>
  <c r="AP75" i="61"/>
  <c r="V87" i="113"/>
  <c r="V89" i="113"/>
  <c r="V93" i="113"/>
  <c r="AE54" i="161"/>
  <c r="Y122" i="113"/>
  <c r="Y120" i="113"/>
  <c r="V56" i="162"/>
  <c r="AO116" i="61"/>
  <c r="V97" i="113"/>
  <c r="Y130" i="113"/>
  <c r="W176" i="113"/>
  <c r="V85" i="113"/>
  <c r="V91" i="113"/>
  <c r="Y114" i="113"/>
  <c r="Y127" i="113"/>
  <c r="V55" i="162"/>
  <c r="AO123" i="61"/>
  <c r="V86" i="113"/>
  <c r="V90" i="113"/>
  <c r="Y125" i="113"/>
  <c r="Y117" i="113"/>
  <c r="Y119" i="113"/>
  <c r="AO115" i="61"/>
  <c r="V82" i="113"/>
  <c r="AE54" i="109"/>
  <c r="Y128" i="113"/>
  <c r="V94" i="113"/>
  <c r="V96" i="113"/>
  <c r="Y124" i="113"/>
  <c r="Y129" i="113"/>
  <c r="Y126" i="113"/>
  <c r="AO120" i="61"/>
  <c r="AO112" i="61"/>
  <c r="AO113" i="61"/>
  <c r="AO122" i="61"/>
  <c r="AO118" i="61"/>
  <c r="AO114" i="61"/>
  <c r="AO110" i="61"/>
  <c r="AO117" i="61"/>
  <c r="AO108" i="61"/>
  <c r="AO109" i="61"/>
  <c r="N92" i="113"/>
  <c r="O92" i="113" s="1"/>
  <c r="AQ60" i="109"/>
  <c r="AV60" i="109" s="1"/>
  <c r="U51" i="169"/>
  <c r="V51" i="169"/>
  <c r="V42" i="169"/>
  <c r="U50" i="169"/>
  <c r="V50" i="169"/>
  <c r="U46" i="169"/>
  <c r="V46" i="169"/>
  <c r="U48" i="169"/>
  <c r="V48" i="169"/>
  <c r="U45" i="169"/>
  <c r="V45" i="169" s="1"/>
  <c r="U47" i="169"/>
  <c r="V47" i="169"/>
  <c r="U49" i="169"/>
  <c r="V49" i="169"/>
  <c r="U43" i="169"/>
  <c r="V43" i="169"/>
  <c r="S117" i="109"/>
  <c r="S118" i="109"/>
  <c r="S116" i="109"/>
  <c r="S119" i="109"/>
  <c r="S113" i="109"/>
  <c r="V108" i="100"/>
  <c r="T108" i="100"/>
  <c r="U108" i="100"/>
  <c r="AP84" i="61"/>
  <c r="AP90" i="61"/>
  <c r="AP77" i="61"/>
  <c r="AP80" i="61"/>
  <c r="AP82" i="61"/>
  <c r="AP79" i="61"/>
  <c r="AP85" i="61"/>
  <c r="AP76" i="61"/>
  <c r="AP87" i="61"/>
  <c r="AP88" i="61"/>
  <c r="AP81" i="61"/>
  <c r="AR88" i="61"/>
  <c r="AP78" i="61"/>
  <c r="AP86" i="61"/>
  <c r="AR90" i="61"/>
  <c r="AR85" i="61"/>
  <c r="AP83" i="61"/>
  <c r="AP89" i="61"/>
  <c r="AR83" i="61"/>
  <c r="AR86" i="61"/>
  <c r="AR84" i="61"/>
  <c r="AR75" i="61"/>
  <c r="AR81" i="61"/>
  <c r="AR78" i="61"/>
  <c r="AR82" i="61"/>
  <c r="AR79" i="61"/>
  <c r="AR89" i="61"/>
  <c r="AR87" i="61"/>
  <c r="AQ112" i="61"/>
  <c r="AR115" i="61"/>
  <c r="AQ120" i="61"/>
  <c r="AR123" i="61"/>
  <c r="AS75" i="61"/>
  <c r="AS83" i="61"/>
  <c r="AQ110" i="61"/>
  <c r="AQ118" i="61"/>
  <c r="AS77" i="61"/>
  <c r="AR110" i="61"/>
  <c r="AQ115" i="61"/>
  <c r="AR118" i="61"/>
  <c r="AQ123" i="61"/>
  <c r="AS76" i="61"/>
  <c r="AS84" i="61"/>
  <c r="AR121" i="61"/>
  <c r="AS85" i="61"/>
  <c r="AR108" i="61"/>
  <c r="AQ113" i="61"/>
  <c r="AR116" i="61"/>
  <c r="AQ121" i="61"/>
  <c r="AS78" i="61"/>
  <c r="AS86" i="61"/>
  <c r="AQ114" i="61"/>
  <c r="AS89" i="61"/>
  <c r="AQ108" i="61"/>
  <c r="AR111" i="61"/>
  <c r="AQ116" i="61"/>
  <c r="AR119" i="61"/>
  <c r="AS79" i="61"/>
  <c r="AS87" i="61"/>
  <c r="AQ122" i="61"/>
  <c r="AS81" i="61"/>
  <c r="AQ111" i="61"/>
  <c r="AR114" i="61"/>
  <c r="AQ119" i="61"/>
  <c r="AR122" i="61"/>
  <c r="AS80" i="61"/>
  <c r="AS88" i="61"/>
  <c r="AR109" i="61"/>
  <c r="AR117" i="61"/>
  <c r="AQ109" i="61"/>
  <c r="AR112" i="61"/>
  <c r="AQ117" i="61"/>
  <c r="AR120" i="61"/>
  <c r="AS82" i="61"/>
  <c r="AS90" i="61"/>
  <c r="AR113" i="61"/>
  <c r="AR76" i="61"/>
  <c r="AR80" i="61"/>
  <c r="AS167" i="61"/>
  <c r="AT170" i="61"/>
  <c r="AT178" i="61"/>
  <c r="AQ169" i="61"/>
  <c r="AQ177" i="61"/>
  <c r="AT171" i="61"/>
  <c r="AT179" i="61"/>
  <c r="AQ170" i="61"/>
  <c r="AQ178" i="61"/>
  <c r="AQ167" i="61"/>
  <c r="AT172" i="61"/>
  <c r="AT180" i="61"/>
  <c r="AQ171" i="61"/>
  <c r="AQ179" i="61"/>
  <c r="AQ168" i="61"/>
  <c r="AT173" i="61"/>
  <c r="AT181" i="61"/>
  <c r="AQ172" i="61"/>
  <c r="AQ180" i="61"/>
  <c r="AQ174" i="61"/>
  <c r="AT169" i="61"/>
  <c r="AQ184" i="61"/>
  <c r="AT174" i="61"/>
  <c r="AT182" i="61"/>
  <c r="AQ173" i="61"/>
  <c r="AQ181" i="61"/>
  <c r="AT183" i="61"/>
  <c r="AQ176" i="61"/>
  <c r="AT167" i="61"/>
  <c r="AT175" i="61"/>
  <c r="AQ182" i="61"/>
  <c r="AT168" i="61"/>
  <c r="AT176" i="61"/>
  <c r="AT184" i="61"/>
  <c r="AQ175" i="61"/>
  <c r="AQ183" i="61"/>
  <c r="AT177" i="61"/>
  <c r="AN61" i="162"/>
  <c r="AT61" i="162"/>
  <c r="AN69" i="162"/>
  <c r="AT69" i="162"/>
  <c r="AN62" i="162"/>
  <c r="AT62" i="162" s="1"/>
  <c r="AN55" i="162"/>
  <c r="AN63" i="162"/>
  <c r="AT63" i="162" s="1"/>
  <c r="AN56" i="162"/>
  <c r="AT56" i="162" s="1"/>
  <c r="AN64" i="162"/>
  <c r="AT64" i="162" s="1"/>
  <c r="AN57" i="162"/>
  <c r="AN65" i="162"/>
  <c r="AT65" i="162" s="1"/>
  <c r="AN58" i="162"/>
  <c r="AT58" i="162" s="1"/>
  <c r="AN66" i="162"/>
  <c r="AT66" i="162" s="1"/>
  <c r="AN59" i="162"/>
  <c r="AT59" i="162"/>
  <c r="AN67" i="162"/>
  <c r="AT67" i="162" s="1"/>
  <c r="AN68" i="162"/>
  <c r="AT68" i="162" s="1"/>
  <c r="AN60" i="162"/>
  <c r="AT60" i="162"/>
  <c r="R113" i="113"/>
  <c r="AM181" i="113"/>
  <c r="AM189" i="113"/>
  <c r="AM182" i="113"/>
  <c r="AM190" i="113"/>
  <c r="AM180" i="113"/>
  <c r="AM197" i="113" s="1"/>
  <c r="AM183" i="113"/>
  <c r="AM191" i="113"/>
  <c r="AM184" i="113"/>
  <c r="AM192" i="113"/>
  <c r="AM185" i="113"/>
  <c r="AM193" i="113"/>
  <c r="AM188" i="113"/>
  <c r="AM178" i="113"/>
  <c r="AM186" i="113"/>
  <c r="AM194" i="113"/>
  <c r="AA178" i="113"/>
  <c r="AF178" i="113" s="1"/>
  <c r="AM179" i="113"/>
  <c r="AM187" i="113"/>
  <c r="AM195" i="113"/>
  <c r="DN55" i="162"/>
  <c r="DU55" i="162" s="1"/>
  <c r="DA54" i="161"/>
  <c r="DH54" i="161"/>
  <c r="CT54" i="109"/>
  <c r="DA54" i="109" s="1"/>
  <c r="AQ61" i="161"/>
  <c r="AQ61" i="109"/>
  <c r="AV61" i="109"/>
  <c r="AQ58" i="109"/>
  <c r="AV58" i="109" s="1"/>
  <c r="AQ58" i="161"/>
  <c r="P108" i="100"/>
  <c r="F18" i="56"/>
  <c r="V7" i="100"/>
  <c r="V12" i="100" s="1"/>
  <c r="M16" i="65"/>
  <c r="S7" i="100"/>
  <c r="S12" i="100" s="1"/>
  <c r="T7" i="100"/>
  <c r="R7" i="100"/>
  <c r="R12" i="100" s="1"/>
  <c r="Q7" i="100"/>
  <c r="Q12" i="100" s="1"/>
  <c r="AR92" i="61"/>
  <c r="I150" i="100"/>
  <c r="Q150" i="100" s="1"/>
  <c r="S150" i="100" s="1"/>
  <c r="I151" i="100"/>
  <c r="Q151" i="100"/>
  <c r="S151" i="100" s="1"/>
  <c r="I155" i="100"/>
  <c r="Q155" i="100" s="1"/>
  <c r="S155" i="100" s="1"/>
  <c r="I157" i="100"/>
  <c r="Q157" i="100" s="1"/>
  <c r="S157" i="100" s="1"/>
  <c r="I153" i="100"/>
  <c r="Q153" i="100" s="1"/>
  <c r="S153" i="100" s="1"/>
  <c r="I156" i="100"/>
  <c r="Q156" i="100" s="1"/>
  <c r="S156" i="100" s="1"/>
  <c r="I154" i="100"/>
  <c r="Q154" i="100"/>
  <c r="S154" i="100"/>
  <c r="I152" i="100"/>
  <c r="Q152" i="100" s="1"/>
  <c r="T55" i="161"/>
  <c r="V55" i="161"/>
  <c r="AC56" i="162"/>
  <c r="AD56" i="162" s="1"/>
  <c r="U55" i="113"/>
  <c r="AA55" i="113" s="1"/>
  <c r="P23" i="113" s="1"/>
  <c r="U58" i="113"/>
  <c r="U50" i="113"/>
  <c r="AA50" i="113" s="1"/>
  <c r="P18" i="113" s="1"/>
  <c r="U63" i="113"/>
  <c r="U59" i="113"/>
  <c r="U62" i="113"/>
  <c r="AA62" i="113" s="1"/>
  <c r="P30" i="113" s="1"/>
  <c r="U64" i="113"/>
  <c r="AA64" i="113" s="1"/>
  <c r="P32" i="113" s="1"/>
  <c r="U47" i="113"/>
  <c r="U46" i="113"/>
  <c r="AA46" i="113" s="1"/>
  <c r="U56" i="113"/>
  <c r="AA56" i="113" s="1"/>
  <c r="P24" i="113" s="1"/>
  <c r="U49" i="113"/>
  <c r="AA49" i="113" s="1"/>
  <c r="P17" i="113" s="1"/>
  <c r="U51" i="113"/>
  <c r="AB99" i="109"/>
  <c r="N94" i="113"/>
  <c r="O94" i="113"/>
  <c r="N97" i="113"/>
  <c r="O97" i="113" s="1"/>
  <c r="N93" i="113"/>
  <c r="O93" i="113"/>
  <c r="T52" i="109"/>
  <c r="V52" i="109" s="1"/>
  <c r="T57" i="161"/>
  <c r="V57" i="161"/>
  <c r="T68" i="161"/>
  <c r="V68" i="161" s="1"/>
  <c r="L128" i="113"/>
  <c r="M128" i="113"/>
  <c r="L116" i="113"/>
  <c r="M116" i="113" s="1"/>
  <c r="L115" i="113"/>
  <c r="M115" i="113"/>
  <c r="L125" i="113"/>
  <c r="M125" i="113" s="1"/>
  <c r="L127" i="113"/>
  <c r="M127" i="113"/>
  <c r="L124" i="113"/>
  <c r="M124" i="113" s="1"/>
  <c r="L121" i="113"/>
  <c r="M121" i="113"/>
  <c r="L111" i="113"/>
  <c r="M111" i="113" s="1"/>
  <c r="AC58" i="162"/>
  <c r="AD58" i="162"/>
  <c r="L129" i="113"/>
  <c r="M129" i="113" s="1"/>
  <c r="L117" i="113"/>
  <c r="M117" i="113"/>
  <c r="AC69" i="162"/>
  <c r="AD69" i="162" s="1"/>
  <c r="L122" i="113"/>
  <c r="M122" i="113"/>
  <c r="L114" i="113"/>
  <c r="M114" i="113" s="1"/>
  <c r="L119" i="113"/>
  <c r="M119" i="113"/>
  <c r="T68" i="109"/>
  <c r="V68" i="109" s="1"/>
  <c r="L130" i="113"/>
  <c r="M130" i="113"/>
  <c r="L118" i="113"/>
  <c r="M118" i="113" s="1"/>
  <c r="L120" i="113"/>
  <c r="M120" i="113"/>
  <c r="L123" i="113"/>
  <c r="M123" i="113" s="1"/>
  <c r="L126" i="113"/>
  <c r="M126" i="113"/>
  <c r="N95" i="113"/>
  <c r="O95" i="113" s="1"/>
  <c r="N98" i="113"/>
  <c r="O98" i="113"/>
  <c r="N87" i="113"/>
  <c r="O87" i="113"/>
  <c r="N80" i="113"/>
  <c r="O80" i="113"/>
  <c r="AC57" i="162"/>
  <c r="AD57" i="162"/>
  <c r="N91" i="113"/>
  <c r="O91" i="113" s="1"/>
  <c r="CL71" i="162"/>
  <c r="T56" i="161"/>
  <c r="V56" i="161"/>
  <c r="N89" i="113"/>
  <c r="O89" i="113" s="1"/>
  <c r="N84" i="113"/>
  <c r="O84" i="113"/>
  <c r="N90" i="113"/>
  <c r="O90" i="113" s="1"/>
  <c r="N81" i="113"/>
  <c r="O81" i="113"/>
  <c r="N82" i="113"/>
  <c r="O82" i="113" s="1"/>
  <c r="N85" i="113"/>
  <c r="O85" i="113"/>
  <c r="N88" i="113"/>
  <c r="O88" i="113" s="1"/>
  <c r="N86" i="113"/>
  <c r="O86" i="113"/>
  <c r="L112" i="113"/>
  <c r="M112" i="113" s="1"/>
  <c r="N83" i="113"/>
  <c r="O83" i="113"/>
  <c r="N96" i="113"/>
  <c r="O96" i="113" s="1"/>
  <c r="N79" i="113"/>
  <c r="O79" i="113"/>
  <c r="AQ60" i="161"/>
  <c r="AO125" i="61"/>
  <c r="BF61" i="162"/>
  <c r="AA318" i="61"/>
  <c r="AA53" i="159"/>
  <c r="Z53" i="159"/>
  <c r="AR125" i="61"/>
  <c r="S108" i="100"/>
  <c r="R108" i="100"/>
  <c r="AT55" i="162"/>
  <c r="AN71" i="162"/>
  <c r="T61" i="161"/>
  <c r="V61" i="161"/>
  <c r="T65" i="161"/>
  <c r="V65" i="161"/>
  <c r="T62" i="161"/>
  <c r="V62" i="161"/>
  <c r="T64" i="161"/>
  <c r="V64" i="161" s="1"/>
  <c r="T63" i="161"/>
  <c r="V63" i="161"/>
  <c r="AQ59" i="161"/>
  <c r="AQ59" i="109"/>
  <c r="AQ125" i="61"/>
  <c r="AS186" i="61"/>
  <c r="N108" i="100"/>
  <c r="V19" i="100"/>
  <c r="Q108" i="100"/>
  <c r="O108" i="100"/>
  <c r="L115" i="160"/>
  <c r="F12" i="56"/>
  <c r="H25" i="162"/>
  <c r="J25" i="162" s="1"/>
  <c r="Q16" i="100"/>
  <c r="W67" i="100"/>
  <c r="W73" i="100" s="1"/>
  <c r="W197" i="113"/>
  <c r="AS92" i="61"/>
  <c r="AD321" i="61"/>
  <c r="AD326" i="61"/>
  <c r="N41" i="160"/>
  <c r="F89" i="56" s="1"/>
  <c r="I158" i="100"/>
  <c r="Q158" i="100" s="1"/>
  <c r="S158" i="100" s="1"/>
  <c r="L59" i="160"/>
  <c r="F90" i="56" s="1"/>
  <c r="AG329" i="61"/>
  <c r="F35" i="56" s="1"/>
  <c r="BH75" i="86"/>
  <c r="BH88" i="86"/>
  <c r="BH91" i="86"/>
  <c r="BH92" i="86"/>
  <c r="BH72" i="86"/>
  <c r="BH95" i="86"/>
  <c r="BH98" i="86"/>
  <c r="BH77" i="86"/>
  <c r="BH86" i="86"/>
  <c r="BH90" i="86"/>
  <c r="BH87" i="86"/>
  <c r="BH80" i="86"/>
  <c r="BH93" i="86"/>
  <c r="BH71" i="86"/>
  <c r="BH74" i="86"/>
  <c r="BH97" i="86"/>
  <c r="BH79" i="86"/>
  <c r="BH94" i="86"/>
  <c r="BH76" i="86"/>
  <c r="BH82" i="86"/>
  <c r="BH70" i="86"/>
  <c r="BH89" i="86"/>
  <c r="BH73" i="86"/>
  <c r="BH96" i="86"/>
  <c r="BH85" i="86"/>
  <c r="BH84" i="86"/>
  <c r="BH81" i="86"/>
  <c r="BH78" i="86"/>
  <c r="BH83" i="86"/>
  <c r="BH69" i="86"/>
  <c r="T55" i="109"/>
  <c r="V55" i="109" s="1"/>
  <c r="P39" i="113"/>
  <c r="P45" i="113"/>
  <c r="P66" i="113" s="1"/>
  <c r="AV59" i="109"/>
  <c r="F93" i="56"/>
  <c r="AG278" i="61"/>
  <c r="N469" i="61"/>
  <c r="X67" i="100"/>
  <c r="X77" i="100" s="1"/>
  <c r="AA67" i="100"/>
  <c r="AA73" i="100" s="1"/>
  <c r="AB67" i="100"/>
  <c r="AB72" i="100" s="1"/>
  <c r="AF176" i="113"/>
  <c r="N489" i="61"/>
  <c r="T160" i="100"/>
  <c r="F103" i="56" s="1"/>
  <c r="AU125" i="61"/>
  <c r="F25" i="56" s="1"/>
  <c r="AW186" i="61"/>
  <c r="F29" i="56" s="1"/>
  <c r="AC62" i="162"/>
  <c r="AD62" i="162"/>
  <c r="AC66" i="162"/>
  <c r="AD66" i="162" s="1"/>
  <c r="AC64" i="162"/>
  <c r="AD64" i="162"/>
  <c r="AC63" i="162"/>
  <c r="AD63" i="162" s="1"/>
  <c r="AC65" i="162"/>
  <c r="AD65" i="162"/>
  <c r="L113" i="113"/>
  <c r="M113" i="113"/>
  <c r="T63" i="109"/>
  <c r="V63" i="109" s="1"/>
  <c r="T61" i="109"/>
  <c r="V61" i="109"/>
  <c r="T65" i="109"/>
  <c r="V65" i="109" s="1"/>
  <c r="T62" i="109"/>
  <c r="V62" i="109"/>
  <c r="T64" i="109"/>
  <c r="V64" i="109" s="1"/>
  <c r="P27" i="100"/>
  <c r="P40" i="100" s="1"/>
  <c r="Q27" i="100"/>
  <c r="Q40" i="100" s="1"/>
  <c r="N27" i="100"/>
  <c r="N37" i="100" s="1"/>
  <c r="AY93" i="109"/>
  <c r="AZ93" i="109"/>
  <c r="L75" i="160"/>
  <c r="F91" i="56" s="1"/>
  <c r="S95" i="109"/>
  <c r="U95" i="109"/>
  <c r="S85" i="109"/>
  <c r="U85" i="109" s="1"/>
  <c r="S89" i="109"/>
  <c r="U89" i="109"/>
  <c r="S84" i="109"/>
  <c r="U84" i="109"/>
  <c r="S82" i="109"/>
  <c r="U82" i="109" s="1"/>
  <c r="S94" i="109"/>
  <c r="U94" i="109" s="1"/>
  <c r="S86" i="109"/>
  <c r="U86" i="109"/>
  <c r="S83" i="109"/>
  <c r="U83" i="109"/>
  <c r="S87" i="109"/>
  <c r="U87" i="109" s="1"/>
  <c r="S90" i="109"/>
  <c r="U90" i="109" s="1"/>
  <c r="S97" i="109"/>
  <c r="U97" i="109"/>
  <c r="S93" i="109"/>
  <c r="U93" i="109" s="1"/>
  <c r="S92" i="109"/>
  <c r="U92" i="109"/>
  <c r="S91" i="109"/>
  <c r="U91" i="109" s="1"/>
  <c r="S88" i="109"/>
  <c r="U88" i="109"/>
  <c r="S96" i="109"/>
  <c r="U96" i="109" s="1"/>
  <c r="AC61" i="162"/>
  <c r="AD61" i="162" s="1"/>
  <c r="T59" i="109"/>
  <c r="V59" i="109" s="1"/>
  <c r="T67" i="109"/>
  <c r="V67" i="109"/>
  <c r="T60" i="161"/>
  <c r="V60" i="161" s="1"/>
  <c r="T54" i="161"/>
  <c r="V54" i="161"/>
  <c r="T66" i="161"/>
  <c r="V66" i="161" s="1"/>
  <c r="T60" i="109"/>
  <c r="V60" i="109"/>
  <c r="T59" i="161"/>
  <c r="V59" i="161" s="1"/>
  <c r="T67" i="161"/>
  <c r="V67" i="161" s="1"/>
  <c r="AC55" i="162"/>
  <c r="AD55" i="162" s="1"/>
  <c r="AC67" i="162"/>
  <c r="AD67" i="162"/>
  <c r="AC60" i="162"/>
  <c r="AD60" i="162" s="1"/>
  <c r="AC68" i="162"/>
  <c r="AD68" i="162"/>
  <c r="T54" i="109"/>
  <c r="V54" i="109" s="1"/>
  <c r="T66" i="109"/>
  <c r="V66" i="109"/>
  <c r="H24" i="162"/>
  <c r="J24" i="162" s="1"/>
  <c r="AV92" i="61"/>
  <c r="F24" i="56" s="1"/>
  <c r="H23" i="161"/>
  <c r="J23" i="161" s="1"/>
  <c r="H23" i="109"/>
  <c r="H21" i="109"/>
  <c r="X79" i="100"/>
  <c r="Z67" i="100"/>
  <c r="Z77" i="100" s="1"/>
  <c r="Y67" i="100"/>
  <c r="Y77" i="100" s="1"/>
  <c r="M27" i="100"/>
  <c r="M40" i="100" s="1"/>
  <c r="N459" i="61"/>
  <c r="F43" i="56" s="1"/>
  <c r="N445" i="61"/>
  <c r="F42" i="56" s="1"/>
  <c r="N403" i="61"/>
  <c r="F39" i="56" s="1"/>
  <c r="AJ278" i="61"/>
  <c r="F32" i="56" s="1"/>
  <c r="H22" i="161"/>
  <c r="AY90" i="109"/>
  <c r="AZ90" i="109" s="1"/>
  <c r="CI57" i="109"/>
  <c r="CJ57" i="109"/>
  <c r="CI60" i="109"/>
  <c r="CJ60" i="109" s="1"/>
  <c r="AY83" i="109"/>
  <c r="AZ83" i="109"/>
  <c r="CI56" i="109"/>
  <c r="CJ56" i="109" s="1"/>
  <c r="CI65" i="161"/>
  <c r="CJ65" i="161"/>
  <c r="CI68" i="161"/>
  <c r="CJ68" i="161" s="1"/>
  <c r="DB56" i="162"/>
  <c r="DC56" i="162"/>
  <c r="CI53" i="161"/>
  <c r="CJ53" i="161" s="1"/>
  <c r="DB53" i="162"/>
  <c r="DC53" i="162"/>
  <c r="CI57" i="161"/>
  <c r="CJ57" i="161" s="1"/>
  <c r="DB58" i="162"/>
  <c r="DC58" i="162"/>
  <c r="CI59" i="109"/>
  <c r="CJ59" i="109" s="1"/>
  <c r="CI59" i="161"/>
  <c r="CJ59" i="161"/>
  <c r="AY85" i="109"/>
  <c r="AZ85" i="109" s="1"/>
  <c r="CI65" i="109"/>
  <c r="CJ65" i="109"/>
  <c r="AY94" i="109"/>
  <c r="AZ94" i="109" s="1"/>
  <c r="AY86" i="109"/>
  <c r="AZ86" i="109"/>
  <c r="DB55" i="162"/>
  <c r="DC55" i="162" s="1"/>
  <c r="CI67" i="161"/>
  <c r="CJ67" i="161"/>
  <c r="DB67" i="162"/>
  <c r="DC67" i="162" s="1"/>
  <c r="AY97" i="109"/>
  <c r="AZ97" i="109"/>
  <c r="CI67" i="109"/>
  <c r="CJ67" i="109" s="1"/>
  <c r="CI56" i="161"/>
  <c r="CJ56" i="161"/>
  <c r="DB54" i="162"/>
  <c r="DC54" i="162" s="1"/>
  <c r="AY82" i="109"/>
  <c r="AZ82" i="109"/>
  <c r="O27" i="100"/>
  <c r="CI55" i="109"/>
  <c r="CJ55" i="109"/>
  <c r="CI58" i="109"/>
  <c r="CJ58" i="109" s="1"/>
  <c r="CI52" i="161"/>
  <c r="CJ52" i="161"/>
  <c r="CI54" i="161"/>
  <c r="CJ54" i="161"/>
  <c r="DB66" i="162"/>
  <c r="DC66" i="162" s="1"/>
  <c r="DC71" i="162" s="1"/>
  <c r="DB69" i="162"/>
  <c r="DC69" i="162" s="1"/>
  <c r="DB62" i="162"/>
  <c r="DC62" i="162"/>
  <c r="AY87" i="109"/>
  <c r="AZ87" i="109"/>
  <c r="AY81" i="109"/>
  <c r="AZ81" i="109" s="1"/>
  <c r="CI68" i="109"/>
  <c r="CJ68" i="109" s="1"/>
  <c r="CI66" i="109"/>
  <c r="CJ66" i="109"/>
  <c r="CI52" i="109"/>
  <c r="CJ52" i="109"/>
  <c r="CI66" i="161"/>
  <c r="CJ66" i="161"/>
  <c r="CI62" i="161"/>
  <c r="CJ62" i="161" s="1"/>
  <c r="DB63" i="162"/>
  <c r="DC63" i="162"/>
  <c r="DB68" i="162"/>
  <c r="DC68" i="162"/>
  <c r="AY95" i="109"/>
  <c r="AZ95" i="109"/>
  <c r="AY88" i="109"/>
  <c r="AZ88" i="109" s="1"/>
  <c r="CI64" i="109"/>
  <c r="CJ64" i="109"/>
  <c r="CI63" i="109"/>
  <c r="CJ63" i="109"/>
  <c r="CI55" i="161"/>
  <c r="CJ55" i="161"/>
  <c r="CI53" i="109"/>
  <c r="CJ53" i="109" s="1"/>
  <c r="DB64" i="162"/>
  <c r="DC64" i="162"/>
  <c r="DB61" i="162"/>
  <c r="DC61" i="162"/>
  <c r="AY84" i="109"/>
  <c r="AZ84" i="109" s="1"/>
  <c r="AY91" i="109"/>
  <c r="AZ91" i="109" s="1"/>
  <c r="CI60" i="161"/>
  <c r="CJ60" i="161"/>
  <c r="CI54" i="109"/>
  <c r="CJ54" i="109"/>
  <c r="CI63" i="161"/>
  <c r="CJ63" i="161"/>
  <c r="CI61" i="161"/>
  <c r="CJ61" i="161" s="1"/>
  <c r="DB59" i="162"/>
  <c r="DC59" i="162"/>
  <c r="DB65" i="162"/>
  <c r="DC65" i="162"/>
  <c r="AY96" i="109"/>
  <c r="AZ96" i="109"/>
  <c r="AY92" i="109"/>
  <c r="AZ92" i="109" s="1"/>
  <c r="CI62" i="109"/>
  <c r="CJ62" i="109"/>
  <c r="CI61" i="109"/>
  <c r="CJ61" i="109"/>
  <c r="CI64" i="161"/>
  <c r="CJ64" i="161" s="1"/>
  <c r="CI58" i="161"/>
  <c r="CJ58" i="161" s="1"/>
  <c r="DB60" i="162"/>
  <c r="DC60" i="162"/>
  <c r="DB57" i="162"/>
  <c r="DC57" i="162"/>
  <c r="AY89" i="109"/>
  <c r="AZ89" i="109" s="1"/>
  <c r="U7" i="100"/>
  <c r="U12" i="100" s="1"/>
  <c r="F44" i="56"/>
  <c r="F46" i="56"/>
  <c r="J77" i="65"/>
  <c r="H22" i="162"/>
  <c r="J22" i="162" s="1"/>
  <c r="I80" i="160"/>
  <c r="N501" i="61"/>
  <c r="F47" i="56" s="1"/>
  <c r="N309" i="61"/>
  <c r="F34" i="56" s="1"/>
  <c r="H23" i="162"/>
  <c r="J23" i="162" s="1"/>
  <c r="J84" i="160"/>
  <c r="J85" i="160"/>
  <c r="J83" i="160"/>
  <c r="J82" i="160"/>
  <c r="H22" i="109"/>
  <c r="T56" i="109"/>
  <c r="V56" i="109" s="1"/>
  <c r="T57" i="109"/>
  <c r="V57" i="109"/>
  <c r="T52" i="161"/>
  <c r="V52" i="161" s="1"/>
  <c r="V70" i="161" s="1"/>
  <c r="S81" i="109"/>
  <c r="U81" i="109"/>
  <c r="J22" i="161"/>
  <c r="BC52" i="161"/>
  <c r="BS53" i="162"/>
  <c r="BT53" i="162"/>
  <c r="BS54" i="162"/>
  <c r="BS64" i="162"/>
  <c r="BS68" i="162"/>
  <c r="BS62" i="162"/>
  <c r="BS58" i="162"/>
  <c r="BS57" i="162"/>
  <c r="BS55" i="162"/>
  <c r="BS69" i="162"/>
  <c r="BT69" i="162"/>
  <c r="CA69" i="162" s="1"/>
  <c r="BS56" i="162"/>
  <c r="BS60" i="162"/>
  <c r="BS59" i="162"/>
  <c r="BS61" i="162"/>
  <c r="BS67" i="162"/>
  <c r="BS66" i="162"/>
  <c r="BS65" i="162"/>
  <c r="BS63" i="162"/>
  <c r="BC53" i="161"/>
  <c r="BC52" i="109"/>
  <c r="BD52" i="109"/>
  <c r="BC53" i="109"/>
  <c r="BD53" i="109"/>
  <c r="BK53" i="109"/>
  <c r="BC67" i="161"/>
  <c r="BC66" i="161"/>
  <c r="BC54" i="161"/>
  <c r="BC64" i="161"/>
  <c r="BC60" i="161"/>
  <c r="BC68" i="161"/>
  <c r="BD68" i="161"/>
  <c r="BK68" i="161"/>
  <c r="BC59" i="161"/>
  <c r="BC58" i="161"/>
  <c r="BC56" i="161"/>
  <c r="BC62" i="161"/>
  <c r="BC61" i="161"/>
  <c r="BC65" i="161"/>
  <c r="BC57" i="161"/>
  <c r="BC55" i="109"/>
  <c r="BD55" i="109"/>
  <c r="BK55" i="109" s="1"/>
  <c r="BC63" i="161"/>
  <c r="BC63" i="109"/>
  <c r="BC64" i="109"/>
  <c r="BC66" i="109"/>
  <c r="BC62" i="109"/>
  <c r="BC57" i="109"/>
  <c r="BC54" i="109"/>
  <c r="BD54" i="109"/>
  <c r="BK54" i="109" s="1"/>
  <c r="BC56" i="109"/>
  <c r="BC58" i="109"/>
  <c r="BC60" i="109"/>
  <c r="BC67" i="109"/>
  <c r="BC65" i="109"/>
  <c r="BC61" i="109"/>
  <c r="BC55" i="161"/>
  <c r="BC59" i="109"/>
  <c r="BC68" i="109"/>
  <c r="BD68" i="109"/>
  <c r="F16" i="56"/>
  <c r="H21" i="161"/>
  <c r="H38" i="109"/>
  <c r="J38" i="109" s="1"/>
  <c r="H27" i="109"/>
  <c r="J27" i="109" s="1"/>
  <c r="H28" i="109"/>
  <c r="J28" i="109" s="1"/>
  <c r="H29" i="109"/>
  <c r="J29" i="109" s="1"/>
  <c r="H24" i="109"/>
  <c r="J24" i="109" s="1"/>
  <c r="H25" i="109"/>
  <c r="J25" i="109" s="1"/>
  <c r="H26" i="109"/>
  <c r="J26" i="109" s="1"/>
  <c r="H33" i="109"/>
  <c r="J33" i="109" s="1"/>
  <c r="H37" i="109"/>
  <c r="J37" i="109" s="1"/>
  <c r="H35" i="109"/>
  <c r="J35" i="109" s="1"/>
  <c r="H31" i="109"/>
  <c r="J31" i="109" s="1"/>
  <c r="H30" i="109"/>
  <c r="J30" i="109" s="1"/>
  <c r="H34" i="109"/>
  <c r="J34" i="109" s="1"/>
  <c r="H36" i="109"/>
  <c r="J36" i="109" s="1"/>
  <c r="H32" i="109"/>
  <c r="J32" i="109" s="1"/>
  <c r="J23" i="109"/>
  <c r="J21" i="109"/>
  <c r="H20" i="162"/>
  <c r="J20" i="162" s="1"/>
  <c r="J21" i="161"/>
  <c r="AC53" i="162"/>
  <c r="AD53" i="162" s="1"/>
  <c r="T58" i="161"/>
  <c r="V58" i="161" s="1"/>
  <c r="AC59" i="162"/>
  <c r="AD59" i="162" s="1"/>
  <c r="T58" i="109"/>
  <c r="V58" i="109" s="1"/>
  <c r="T53" i="161"/>
  <c r="V53" i="161" s="1"/>
  <c r="AC54" i="162"/>
  <c r="AD54" i="162"/>
  <c r="T53" i="109"/>
  <c r="V53" i="109" s="1"/>
  <c r="J22" i="109"/>
  <c r="H32" i="162"/>
  <c r="J32" i="162" s="1"/>
  <c r="H38" i="162"/>
  <c r="J38" i="162" s="1"/>
  <c r="H31" i="162"/>
  <c r="J31" i="162" s="1"/>
  <c r="H34" i="162"/>
  <c r="J34" i="162" s="1"/>
  <c r="H27" i="162"/>
  <c r="J27" i="162" s="1"/>
  <c r="H36" i="162"/>
  <c r="J36" i="162" s="1"/>
  <c r="H37" i="162"/>
  <c r="J37" i="162" s="1"/>
  <c r="H26" i="162"/>
  <c r="J26" i="162" s="1"/>
  <c r="H30" i="162"/>
  <c r="J30" i="162" s="1"/>
  <c r="H28" i="162"/>
  <c r="J28" i="162" s="1"/>
  <c r="H29" i="162"/>
  <c r="J29" i="162" s="1"/>
  <c r="H39" i="162"/>
  <c r="J39" i="162" s="1"/>
  <c r="H35" i="162"/>
  <c r="J35" i="162" s="1"/>
  <c r="H33" i="162"/>
  <c r="J33" i="162" s="1"/>
  <c r="H26" i="161"/>
  <c r="J26" i="161" s="1"/>
  <c r="H35" i="161"/>
  <c r="J35" i="161" s="1"/>
  <c r="H32" i="161"/>
  <c r="J32" i="161" s="1"/>
  <c r="H25" i="161"/>
  <c r="J25" i="161" s="1"/>
  <c r="H34" i="161"/>
  <c r="J34" i="161" s="1"/>
  <c r="H38" i="161"/>
  <c r="J38" i="161" s="1"/>
  <c r="H29" i="161"/>
  <c r="J29" i="161" s="1"/>
  <c r="H31" i="161"/>
  <c r="J31" i="161" s="1"/>
  <c r="H30" i="161"/>
  <c r="J30" i="161" s="1"/>
  <c r="H28" i="161"/>
  <c r="J28" i="161" s="1"/>
  <c r="H33" i="161"/>
  <c r="J33" i="161" s="1"/>
  <c r="H37" i="161"/>
  <c r="J37" i="161" s="1"/>
  <c r="H36" i="161"/>
  <c r="J36" i="161" s="1"/>
  <c r="H24" i="161"/>
  <c r="J24" i="161" s="1"/>
  <c r="H27" i="161"/>
  <c r="J27" i="161" s="1"/>
  <c r="N393" i="61"/>
  <c r="F38" i="56" s="1"/>
  <c r="N366" i="61"/>
  <c r="F36" i="56" s="1"/>
  <c r="N379" i="61"/>
  <c r="F37" i="56" s="1"/>
  <c r="N413" i="61"/>
  <c r="F40" i="56" s="1"/>
  <c r="N427" i="61"/>
  <c r="F41" i="56" s="1"/>
  <c r="BF82" i="86"/>
  <c r="BO82" i="86" s="1"/>
  <c r="BF83" i="86"/>
  <c r="BO83" i="86" s="1"/>
  <c r="BF69" i="86"/>
  <c r="BO69" i="86" s="1"/>
  <c r="BF84" i="86"/>
  <c r="BO84" i="86" s="1"/>
  <c r="BF85" i="86"/>
  <c r="BO85" i="86" s="1"/>
  <c r="BF70" i="86"/>
  <c r="BO70" i="86" s="1"/>
  <c r="BQ70" i="86"/>
  <c r="BF74" i="86"/>
  <c r="BO74" i="86" s="1"/>
  <c r="BF78" i="86"/>
  <c r="BO78" i="86" s="1"/>
  <c r="BF95" i="86"/>
  <c r="BO95" i="86" s="1"/>
  <c r="BF86" i="86"/>
  <c r="BO86" i="86" s="1"/>
  <c r="BF87" i="86"/>
  <c r="BO87" i="86" s="1"/>
  <c r="BF88" i="86"/>
  <c r="BO88" i="86" s="1"/>
  <c r="BF89" i="86"/>
  <c r="BO89" i="86" s="1"/>
  <c r="BF90" i="86"/>
  <c r="BO90" i="86" s="1"/>
  <c r="BF91" i="86"/>
  <c r="BO91" i="86"/>
  <c r="BF71" i="86"/>
  <c r="BO71" i="86"/>
  <c r="BF75" i="86"/>
  <c r="BO75" i="86" s="1"/>
  <c r="BF79" i="86"/>
  <c r="BO79" i="86"/>
  <c r="BF96" i="86"/>
  <c r="BO96" i="86" s="1"/>
  <c r="BF92" i="86"/>
  <c r="BO92" i="86" s="1"/>
  <c r="BF93" i="86"/>
  <c r="BO93" i="86" s="1"/>
  <c r="BF94" i="86"/>
  <c r="BO94" i="86"/>
  <c r="BF72" i="86"/>
  <c r="BO72" i="86" s="1"/>
  <c r="BP72" i="86" s="1"/>
  <c r="BF76" i="86"/>
  <c r="BO76" i="86" s="1"/>
  <c r="BF80" i="86"/>
  <c r="BO80" i="86" s="1"/>
  <c r="BF97" i="86"/>
  <c r="BO97" i="86" s="1"/>
  <c r="BF73" i="86"/>
  <c r="BO73" i="86" s="1"/>
  <c r="BF77" i="86"/>
  <c r="BO77" i="86" s="1"/>
  <c r="BF81" i="86"/>
  <c r="BO81" i="86" s="1"/>
  <c r="BF98" i="86"/>
  <c r="BO98" i="86" s="1"/>
  <c r="BE84" i="86"/>
  <c r="BE85" i="86"/>
  <c r="BE70" i="86"/>
  <c r="BE74" i="86"/>
  <c r="BE78" i="86"/>
  <c r="BE95" i="86"/>
  <c r="BE86" i="86"/>
  <c r="BE87" i="86"/>
  <c r="BE88" i="86"/>
  <c r="BE89" i="86"/>
  <c r="BE90" i="86"/>
  <c r="BE69" i="86"/>
  <c r="BN69" i="86"/>
  <c r="BN100" i="86" s="1"/>
  <c r="BE91" i="86"/>
  <c r="BE71" i="86"/>
  <c r="BE75" i="86"/>
  <c r="BE79" i="86"/>
  <c r="BE96" i="86"/>
  <c r="BE92" i="86"/>
  <c r="BE93" i="86"/>
  <c r="BE94" i="86"/>
  <c r="BE72" i="86"/>
  <c r="BE76" i="86"/>
  <c r="BE80" i="86"/>
  <c r="BE97" i="86"/>
  <c r="BE82" i="86"/>
  <c r="BE83" i="86"/>
  <c r="BE73" i="86"/>
  <c r="BE77" i="86"/>
  <c r="BE81" i="86"/>
  <c r="BE98" i="86"/>
  <c r="BQ98" i="86"/>
  <c r="BQ72" i="86"/>
  <c r="EA45" i="109"/>
  <c r="EA53" i="109" s="1"/>
  <c r="EH45" i="161"/>
  <c r="EH61" i="161" s="1"/>
  <c r="BQ79" i="86"/>
  <c r="BQ69" i="86"/>
  <c r="BR98" i="86"/>
  <c r="EA65" i="109"/>
  <c r="EA64" i="109"/>
  <c r="EA62" i="109"/>
  <c r="EA59" i="109"/>
  <c r="EH59" i="161"/>
  <c r="EH64" i="161"/>
  <c r="EH62" i="161"/>
  <c r="EH67" i="161"/>
  <c r="EH53" i="161"/>
  <c r="EH63" i="161"/>
  <c r="EH60" i="161"/>
  <c r="EH66" i="161"/>
  <c r="EH68" i="161"/>
  <c r="EH57" i="161"/>
  <c r="EH52" i="161"/>
  <c r="EH55" i="161"/>
  <c r="BR79" i="86"/>
  <c r="BR72" i="86"/>
  <c r="BR69" i="86"/>
  <c r="BR70" i="86"/>
  <c r="V24" i="160"/>
  <c r="F88" i="56" s="1"/>
  <c r="BT100" i="86"/>
  <c r="F57" i="56" s="1"/>
  <c r="AC5" i="159"/>
  <c r="AC17" i="159" s="1"/>
  <c r="AC28" i="159"/>
  <c r="N516" i="61"/>
  <c r="F48" i="56" s="1"/>
  <c r="AH32" i="159"/>
  <c r="F60" i="56" s="1"/>
  <c r="D65" i="56"/>
  <c r="N568" i="61"/>
  <c r="F49" i="56" s="1"/>
  <c r="M63" i="100"/>
  <c r="I63" i="100"/>
  <c r="N479" i="61"/>
  <c r="F45" i="56" s="1"/>
  <c r="H19" i="161"/>
  <c r="J19" i="161" s="1"/>
  <c r="H20" i="109"/>
  <c r="J20" i="109" s="1"/>
  <c r="AP217" i="61"/>
  <c r="H20" i="161"/>
  <c r="J20" i="161" s="1"/>
  <c r="H21" i="162"/>
  <c r="J21" i="162" s="1"/>
  <c r="J41" i="162" s="1"/>
  <c r="G74" i="56" s="1"/>
  <c r="H74" i="56" s="1"/>
  <c r="AU238" i="61"/>
  <c r="F30" i="56" s="1"/>
  <c r="J41" i="161"/>
  <c r="F70" i="56" s="1"/>
  <c r="J42" i="162"/>
  <c r="F74" i="56" s="1"/>
  <c r="U92" i="61"/>
  <c r="S125" i="61"/>
  <c r="U125" i="61"/>
  <c r="Q125" i="61"/>
  <c r="T125" i="61"/>
  <c r="I81" i="160"/>
  <c r="J81" i="160" s="1"/>
  <c r="AU104" i="109"/>
  <c r="CL75" i="109"/>
  <c r="EQ46" i="162"/>
  <c r="EQ53" i="162"/>
  <c r="DW45" i="109"/>
  <c r="DW68" i="109" s="1"/>
  <c r="ED64" i="161"/>
  <c r="ED52" i="161"/>
  <c r="CL84" i="109"/>
  <c r="CL88" i="109"/>
  <c r="CL92" i="109"/>
  <c r="CL96" i="109"/>
  <c r="CL85" i="109"/>
  <c r="CL89" i="109"/>
  <c r="CL93" i="109"/>
  <c r="CL97" i="109"/>
  <c r="CL82" i="109"/>
  <c r="CL86" i="109"/>
  <c r="CL90" i="109"/>
  <c r="CL94" i="109"/>
  <c r="CL83" i="109"/>
  <c r="CL87" i="109"/>
  <c r="CL91" i="109"/>
  <c r="CL95" i="109"/>
  <c r="CL81" i="109"/>
  <c r="DW52" i="109"/>
  <c r="DW59" i="109"/>
  <c r="EQ64" i="162"/>
  <c r="EQ62" i="162"/>
  <c r="EQ61" i="162"/>
  <c r="EQ67" i="162"/>
  <c r="EQ68" i="162"/>
  <c r="EQ65" i="162"/>
  <c r="EQ54" i="162"/>
  <c r="EQ71" i="162" s="1"/>
  <c r="EQ56" i="162"/>
  <c r="EQ69" i="162"/>
  <c r="EQ66" i="162"/>
  <c r="EQ59" i="162"/>
  <c r="EQ57" i="162"/>
  <c r="EQ63" i="162"/>
  <c r="EQ60" i="162"/>
  <c r="EQ58" i="162"/>
  <c r="EQ55" i="162"/>
  <c r="DW55" i="109"/>
  <c r="DW53" i="109"/>
  <c r="ED67" i="161"/>
  <c r="ED61" i="161"/>
  <c r="ED55" i="161"/>
  <c r="ED54" i="161"/>
  <c r="ED65" i="161"/>
  <c r="ED60" i="161"/>
  <c r="ED59" i="161"/>
  <c r="ED66" i="161"/>
  <c r="ED68" i="161"/>
  <c r="ED57" i="161"/>
  <c r="ED62" i="161"/>
  <c r="ED56" i="161"/>
  <c r="ED63" i="161"/>
  <c r="ED70" i="161" s="1"/>
  <c r="ED58" i="161"/>
  <c r="ED53" i="161"/>
  <c r="CL99" i="109"/>
  <c r="EE45" i="161"/>
  <c r="ER46" i="162"/>
  <c r="AV104" i="109"/>
  <c r="AV111" i="109" s="1"/>
  <c r="CM75" i="109"/>
  <c r="DX45" i="109"/>
  <c r="CM82" i="109"/>
  <c r="CM88" i="109"/>
  <c r="AV117" i="109"/>
  <c r="AV119" i="109"/>
  <c r="AV112" i="109"/>
  <c r="AV113" i="109"/>
  <c r="AV114" i="109"/>
  <c r="AV115" i="109"/>
  <c r="AV116" i="109"/>
  <c r="AV118" i="109"/>
  <c r="AV110" i="109"/>
  <c r="EE62" i="161"/>
  <c r="EE52" i="161"/>
  <c r="EE70" i="161" s="1"/>
  <c r="EE61" i="161"/>
  <c r="ER53" i="162"/>
  <c r="ER71" i="162" s="1"/>
  <c r="ER56" i="162"/>
  <c r="ER65" i="162"/>
  <c r="ER67" i="162"/>
  <c r="ER62" i="162"/>
  <c r="ER69" i="162"/>
  <c r="ER55" i="162"/>
  <c r="ER60" i="162"/>
  <c r="ER57" i="162"/>
  <c r="ER66" i="162"/>
  <c r="ER54" i="162"/>
  <c r="ER68" i="162"/>
  <c r="ER61" i="162"/>
  <c r="ER64" i="162"/>
  <c r="ER59" i="162"/>
  <c r="ER63" i="162"/>
  <c r="ER58" i="162"/>
  <c r="DX53" i="109"/>
  <c r="DX58" i="109"/>
  <c r="DX56" i="109"/>
  <c r="DX68" i="109"/>
  <c r="DX57" i="109"/>
  <c r="DX64" i="109"/>
  <c r="DX61" i="109"/>
  <c r="DX55" i="109"/>
  <c r="DX66" i="109"/>
  <c r="DX60" i="109"/>
  <c r="DX65" i="109"/>
  <c r="DX67" i="109"/>
  <c r="DX59" i="109"/>
  <c r="DX63" i="109"/>
  <c r="DX62" i="109"/>
  <c r="EE54" i="161"/>
  <c r="EE59" i="161"/>
  <c r="EE65" i="161"/>
  <c r="EE64" i="161"/>
  <c r="EE68" i="161"/>
  <c r="EE53" i="161"/>
  <c r="EE55" i="161"/>
  <c r="EE56" i="161"/>
  <c r="EE58" i="161"/>
  <c r="DX54" i="109"/>
  <c r="EE60" i="161"/>
  <c r="EE67" i="161"/>
  <c r="EE57" i="161"/>
  <c r="EE63" i="161"/>
  <c r="EE66" i="161"/>
  <c r="DX52" i="109"/>
  <c r="DX70" i="109" s="1"/>
  <c r="N291" i="61"/>
  <c r="F33" i="56" s="1"/>
  <c r="FA54" i="162"/>
  <c r="AE53" i="159"/>
  <c r="F61" i="56" s="1"/>
  <c r="N256" i="61"/>
  <c r="F31" i="56" s="1"/>
  <c r="N155" i="61"/>
  <c r="F27" i="56" s="1"/>
  <c r="N60" i="61"/>
  <c r="F23" i="56" s="1"/>
  <c r="N206" i="61"/>
  <c r="F28" i="56" s="1"/>
  <c r="J56" i="65"/>
  <c r="F15" i="56" s="1"/>
  <c r="J43" i="65"/>
  <c r="F14" i="56" s="1"/>
  <c r="N44" i="61"/>
  <c r="F22" i="56" s="1"/>
  <c r="J101" i="65"/>
  <c r="F17" i="56" s="1"/>
  <c r="Q36" i="86"/>
  <c r="F55" i="56" s="1"/>
  <c r="N62" i="86"/>
  <c r="F56" i="56" s="1"/>
  <c r="L57" i="126"/>
  <c r="F9" i="56" s="1"/>
  <c r="EG55" i="109"/>
  <c r="EG53" i="109"/>
  <c r="EG54" i="109"/>
  <c r="E569" i="101"/>
  <c r="E570" i="101"/>
  <c r="E574" i="101"/>
  <c r="E571" i="101"/>
  <c r="Y88" i="100"/>
  <c r="E568" i="101"/>
  <c r="E573" i="101"/>
  <c r="N91" i="100" s="1"/>
  <c r="AA91" i="100" s="1"/>
  <c r="E572" i="101"/>
  <c r="G139" i="100"/>
  <c r="I139" i="100" s="1"/>
  <c r="J139" i="100" s="1"/>
  <c r="M139" i="100" s="1"/>
  <c r="G135" i="100"/>
  <c r="I135" i="100" s="1"/>
  <c r="J135" i="100" s="1"/>
  <c r="E567" i="101"/>
  <c r="G133" i="100"/>
  <c r="I133" i="100" s="1"/>
  <c r="J133" i="100" s="1"/>
  <c r="M133" i="100" s="1"/>
  <c r="G132" i="100"/>
  <c r="I132" i="100" s="1"/>
  <c r="J132" i="100" s="1"/>
  <c r="N136" i="100"/>
  <c r="N140" i="100"/>
  <c r="N141" i="100"/>
  <c r="G140" i="100"/>
  <c r="I140" i="100" s="1"/>
  <c r="J140" i="100" s="1"/>
  <c r="G141" i="100"/>
  <c r="I141" i="100" s="1"/>
  <c r="J141" i="100" s="1"/>
  <c r="L91" i="100"/>
  <c r="Y91" i="100" s="1"/>
  <c r="Q91" i="100"/>
  <c r="AD91" i="100" s="1"/>
  <c r="K91" i="100"/>
  <c r="X91" i="100" s="1"/>
  <c r="CT45" i="169"/>
  <c r="AG120" i="113"/>
  <c r="AQ157" i="113"/>
  <c r="DD56" i="109"/>
  <c r="AV162" i="113"/>
  <c r="DI55" i="109"/>
  <c r="Y86" i="113"/>
  <c r="CT50" i="169"/>
  <c r="AI96" i="113"/>
  <c r="DD53" i="109"/>
  <c r="BA181" i="113"/>
  <c r="BB181" i="113"/>
  <c r="AG112" i="113"/>
  <c r="AG119" i="113"/>
  <c r="AV154" i="113"/>
  <c r="BA191" i="113"/>
  <c r="CC95" i="109"/>
  <c r="EC65" i="162"/>
  <c r="AP176" i="113"/>
  <c r="AL127" i="113"/>
  <c r="AL116" i="109"/>
  <c r="DD58" i="109"/>
  <c r="AV159" i="113"/>
  <c r="AL114" i="113"/>
  <c r="CC89" i="109"/>
  <c r="DI59" i="109"/>
  <c r="AB113" i="109"/>
  <c r="CO48" i="169"/>
  <c r="AP195" i="113"/>
  <c r="AV176" i="113"/>
  <c r="AL115" i="113"/>
  <c r="AD91" i="113"/>
  <c r="DI57" i="109"/>
  <c r="AL156" i="113"/>
  <c r="DN68" i="109"/>
  <c r="EH56" i="162"/>
  <c r="AI93" i="113"/>
  <c r="AI85" i="113"/>
  <c r="EC61" i="162"/>
  <c r="AG111" i="113"/>
  <c r="AQ154" i="113"/>
  <c r="AL130" i="113"/>
  <c r="AL151" i="113"/>
  <c r="DX67" i="162"/>
  <c r="DX59" i="162"/>
  <c r="AG115" i="109"/>
  <c r="AL112" i="109"/>
  <c r="BS96" i="109"/>
  <c r="DN52" i="109"/>
  <c r="AI95" i="113"/>
  <c r="AL114" i="109"/>
  <c r="AG116" i="109"/>
  <c r="DN64" i="109"/>
  <c r="AL123" i="113"/>
  <c r="AB121" i="113"/>
  <c r="AQ147" i="113"/>
  <c r="AB111" i="113"/>
  <c r="EH59" i="162"/>
  <c r="CC87" i="109"/>
  <c r="DI54" i="109"/>
  <c r="AI83" i="113"/>
  <c r="DU54" i="161"/>
  <c r="BA186" i="113"/>
  <c r="BA195" i="113"/>
  <c r="CU45" i="169"/>
  <c r="CZ48" i="169"/>
  <c r="AE96" i="113"/>
  <c r="DQ60" i="161"/>
  <c r="DJ62" i="109"/>
  <c r="AJ93" i="113"/>
  <c r="DQ63" i="161"/>
  <c r="DO63" i="109"/>
  <c r="BY89" i="109"/>
  <c r="EI57" i="162"/>
  <c r="AW176" i="113"/>
  <c r="AR152" i="113"/>
  <c r="DJ57" i="109"/>
  <c r="AE89" i="113"/>
  <c r="AR158" i="113"/>
  <c r="EI61" i="162"/>
  <c r="EI63" i="162"/>
  <c r="AJ91" i="113"/>
  <c r="BY86" i="109"/>
  <c r="AP178" i="113"/>
  <c r="AV177" i="113"/>
  <c r="AB116" i="109"/>
  <c r="EH53" i="162"/>
  <c r="BX97" i="109"/>
  <c r="AG113" i="109"/>
  <c r="DD64" i="109"/>
  <c r="DP67" i="161"/>
  <c r="Y97" i="113"/>
  <c r="AB122" i="113"/>
  <c r="BS82" i="109"/>
  <c r="AV155" i="113"/>
  <c r="BS97" i="109"/>
  <c r="BA182" i="113"/>
  <c r="AV144" i="113"/>
  <c r="DX65" i="162"/>
  <c r="BX81" i="109"/>
  <c r="AP181" i="113"/>
  <c r="AQ181" i="113"/>
  <c r="Y95" i="113"/>
  <c r="AI82" i="113"/>
  <c r="DD65" i="109"/>
  <c r="AV158" i="113"/>
  <c r="AL113" i="113"/>
  <c r="AD90" i="113"/>
  <c r="CO46" i="169"/>
  <c r="AV195" i="113"/>
  <c r="DP52" i="161"/>
  <c r="DQ52" i="161" s="1"/>
  <c r="AV189" i="113"/>
  <c r="BA183" i="113"/>
  <c r="AL122" i="113"/>
  <c r="AD98" i="113"/>
  <c r="DP53" i="161"/>
  <c r="DX62" i="162"/>
  <c r="AP189" i="113"/>
  <c r="AI84" i="113"/>
  <c r="AD96" i="113"/>
  <c r="DX69" i="162"/>
  <c r="AP191" i="113"/>
  <c r="DI65" i="109"/>
  <c r="AG116" i="113"/>
  <c r="AL150" i="113"/>
  <c r="DK60" i="161"/>
  <c r="AI97" i="113"/>
  <c r="AP193" i="113"/>
  <c r="DP62" i="161"/>
  <c r="Y85" i="113"/>
  <c r="Y94" i="113"/>
  <c r="AB114" i="113"/>
  <c r="DK53" i="161"/>
  <c r="AL113" i="109"/>
  <c r="BS83" i="109"/>
  <c r="CC90" i="109"/>
  <c r="BX83" i="109"/>
  <c r="AQ145" i="113"/>
  <c r="DD61" i="109"/>
  <c r="DX68" i="162"/>
  <c r="BX95" i="109"/>
  <c r="DD62" i="109"/>
  <c r="AI90" i="113"/>
  <c r="DK61" i="161"/>
  <c r="AP192" i="113"/>
  <c r="AV180" i="113"/>
  <c r="CU47" i="169"/>
  <c r="CZ49" i="169"/>
  <c r="BY83" i="109"/>
  <c r="AE91" i="113"/>
  <c r="DQ64" i="161"/>
  <c r="AW179" i="113"/>
  <c r="AR144" i="113"/>
  <c r="DV57" i="161"/>
  <c r="AW195" i="113"/>
  <c r="AJ92" i="113"/>
  <c r="DV63" i="161"/>
  <c r="AW180" i="113"/>
  <c r="AE86" i="113"/>
  <c r="BY96" i="109"/>
  <c r="DO61" i="109"/>
  <c r="AE79" i="113"/>
  <c r="AE85" i="113"/>
  <c r="DO64" i="109"/>
  <c r="EI64" i="162"/>
  <c r="AR145" i="113"/>
  <c r="DX63" i="162"/>
  <c r="DU58" i="161"/>
  <c r="EH65" i="162"/>
  <c r="DD55" i="109"/>
  <c r="AG121" i="113"/>
  <c r="DX66" i="162"/>
  <c r="AB115" i="113"/>
  <c r="DK68" i="161"/>
  <c r="DL68" i="161"/>
  <c r="DX56" i="162"/>
  <c r="DI61" i="109"/>
  <c r="BS90" i="109"/>
  <c r="AI91" i="113"/>
  <c r="DU65" i="161"/>
  <c r="CC93" i="109"/>
  <c r="AP185" i="113"/>
  <c r="AB124" i="113"/>
  <c r="DN56" i="109"/>
  <c r="CY48" i="169"/>
  <c r="BA178" i="113"/>
  <c r="AP190" i="113"/>
  <c r="AV157" i="113"/>
  <c r="AV149" i="113"/>
  <c r="AG124" i="113"/>
  <c r="EH54" i="162"/>
  <c r="BA189" i="113"/>
  <c r="BA185" i="113"/>
  <c r="DP57" i="161"/>
  <c r="CC97" i="109"/>
  <c r="AL129" i="113"/>
  <c r="AL121" i="113"/>
  <c r="AD97" i="113"/>
  <c r="EH67" i="162"/>
  <c r="AI87" i="113"/>
  <c r="AL118" i="113"/>
  <c r="AP180" i="113"/>
  <c r="Y79" i="113"/>
  <c r="Y91" i="113"/>
  <c r="DU60" i="161"/>
  <c r="CC94" i="109"/>
  <c r="BS88" i="109"/>
  <c r="DD63" i="109"/>
  <c r="AL128" i="113"/>
  <c r="EH55" i="162"/>
  <c r="DK67" i="161"/>
  <c r="AV156" i="113"/>
  <c r="BA187" i="113"/>
  <c r="AL155" i="113"/>
  <c r="DU53" i="161"/>
  <c r="AB113" i="113"/>
  <c r="AP182" i="113"/>
  <c r="Y89" i="113"/>
  <c r="AL157" i="113"/>
  <c r="DU55" i="161"/>
  <c r="CO42" i="169"/>
  <c r="CP42" i="169"/>
  <c r="DI56" i="109"/>
  <c r="AD95" i="113"/>
  <c r="EC58" i="162"/>
  <c r="CC85" i="109"/>
  <c r="DD52" i="109"/>
  <c r="DE52" i="109"/>
  <c r="AQ155" i="113"/>
  <c r="CT42" i="169"/>
  <c r="CU42" i="169"/>
  <c r="Y93" i="113"/>
  <c r="AV150" i="113"/>
  <c r="CZ50" i="169"/>
  <c r="CU43" i="169"/>
  <c r="BY94" i="109"/>
  <c r="AJ87" i="113"/>
  <c r="DJ58" i="109"/>
  <c r="AH115" i="109"/>
  <c r="DQ57" i="161"/>
  <c r="AW178" i="113"/>
  <c r="AR163" i="113"/>
  <c r="DO62" i="109"/>
  <c r="AW192" i="113"/>
  <c r="AE98" i="113"/>
  <c r="DQ68" i="161"/>
  <c r="AR156" i="113"/>
  <c r="DV61" i="161"/>
  <c r="DV56" i="161"/>
  <c r="AR160" i="113"/>
  <c r="DV66" i="161"/>
  <c r="DQ66" i="161"/>
  <c r="AE93" i="113"/>
  <c r="AV183" i="113"/>
  <c r="DP59" i="161"/>
  <c r="CC81" i="109"/>
  <c r="AL119" i="109"/>
  <c r="DN54" i="109"/>
  <c r="Y82" i="113"/>
  <c r="DN53" i="109"/>
  <c r="BX89" i="109"/>
  <c r="DI63" i="109"/>
  <c r="AB123" i="113"/>
  <c r="AI81" i="113"/>
  <c r="AJ81" i="113"/>
  <c r="AD80" i="113"/>
  <c r="AD92" i="113"/>
  <c r="DX57" i="162"/>
  <c r="AG117" i="113"/>
  <c r="AV145" i="113"/>
  <c r="BA184" i="113"/>
  <c r="CT48" i="169"/>
  <c r="DP61" i="161"/>
  <c r="DN61" i="109"/>
  <c r="AQ152" i="113"/>
  <c r="AL144" i="113"/>
  <c r="AB119" i="113"/>
  <c r="DP65" i="161"/>
  <c r="BA177" i="113"/>
  <c r="AQ161" i="113"/>
  <c r="AL158" i="113"/>
  <c r="CT49" i="169"/>
  <c r="AL120" i="113"/>
  <c r="AL112" i="113"/>
  <c r="AD88" i="113"/>
  <c r="AV190" i="113"/>
  <c r="CY44" i="169"/>
  <c r="AV191" i="113"/>
  <c r="AP187" i="113"/>
  <c r="AD86" i="113"/>
  <c r="Y98" i="113"/>
  <c r="DU67" i="161"/>
  <c r="AV188" i="113"/>
  <c r="DX53" i="162"/>
  <c r="DY53" i="162"/>
  <c r="EH61" i="162"/>
  <c r="AG123" i="113"/>
  <c r="EC63" i="162"/>
  <c r="DK58" i="161"/>
  <c r="AV163" i="113"/>
  <c r="DU63" i="161"/>
  <c r="CO49" i="169"/>
  <c r="AP188" i="113"/>
  <c r="AI92" i="113"/>
  <c r="DP58" i="161"/>
  <c r="BX96" i="109"/>
  <c r="AL119" i="113"/>
  <c r="DI67" i="109"/>
  <c r="AL117" i="113"/>
  <c r="AD82" i="113"/>
  <c r="AV146" i="113"/>
  <c r="CC92" i="109"/>
  <c r="CC84" i="109"/>
  <c r="DD68" i="109"/>
  <c r="DE68" i="109"/>
  <c r="DX61" i="162"/>
  <c r="DI62" i="109"/>
  <c r="EH57" i="162"/>
  <c r="DU61" i="161"/>
  <c r="CZ47" i="169"/>
  <c r="CU49" i="169"/>
  <c r="AJ84" i="113"/>
  <c r="EI65" i="162"/>
  <c r="DJ64" i="109"/>
  <c r="AH112" i="109"/>
  <c r="AE95" i="113"/>
  <c r="DV58" i="161"/>
  <c r="AW182" i="113"/>
  <c r="AR147" i="113"/>
  <c r="DV60" i="161"/>
  <c r="BY95" i="109"/>
  <c r="AR157" i="113"/>
  <c r="AW191" i="113"/>
  <c r="AE90" i="113"/>
  <c r="DV53" i="161"/>
  <c r="AW189" i="113"/>
  <c r="AE94" i="113"/>
  <c r="DO56" i="109"/>
  <c r="DQ67" i="161"/>
  <c r="DI64" i="109"/>
  <c r="DX64" i="162"/>
  <c r="AG129" i="113"/>
  <c r="AB111" i="109"/>
  <c r="AC111" i="109"/>
  <c r="Y88" i="113"/>
  <c r="AB128" i="113"/>
  <c r="EH58" i="162"/>
  <c r="DK59" i="161"/>
  <c r="CC96" i="109"/>
  <c r="AI98" i="113"/>
  <c r="BS89" i="109"/>
  <c r="AD93" i="113"/>
  <c r="AD81" i="113"/>
  <c r="AE81" i="113"/>
  <c r="AQ149" i="113"/>
  <c r="AL125" i="113"/>
  <c r="AG111" i="109"/>
  <c r="DN62" i="109"/>
  <c r="AV181" i="113"/>
  <c r="AW181" i="113"/>
  <c r="DX55" i="162"/>
  <c r="AL118" i="109"/>
  <c r="DI52" i="109"/>
  <c r="DJ52" i="109"/>
  <c r="AQ159" i="113"/>
  <c r="AQ151" i="113"/>
  <c r="AB126" i="113"/>
  <c r="DK54" i="161"/>
  <c r="Y84" i="113"/>
  <c r="AQ148" i="113"/>
  <c r="AR148" i="113"/>
  <c r="CT51" i="169"/>
  <c r="CU51" i="169"/>
  <c r="CO50" i="169"/>
  <c r="AG115" i="113"/>
  <c r="AB127" i="113"/>
  <c r="Y83" i="113"/>
  <c r="AV178" i="113"/>
  <c r="EC59" i="162"/>
  <c r="CY51" i="169"/>
  <c r="CZ51" i="169"/>
  <c r="AP186" i="113"/>
  <c r="AI89" i="113"/>
  <c r="AV186" i="113"/>
  <c r="CY43" i="169"/>
  <c r="BA194" i="113"/>
  <c r="AL147" i="113"/>
  <c r="AG117" i="109"/>
  <c r="AG130" i="113"/>
  <c r="EC53" i="162"/>
  <c r="ED53" i="162"/>
  <c r="DK65" i="161"/>
  <c r="AG112" i="109"/>
  <c r="DN66" i="109"/>
  <c r="AG119" i="109"/>
  <c r="AD87" i="113"/>
  <c r="DK66" i="161"/>
  <c r="BX87" i="109"/>
  <c r="BY87" i="109"/>
  <c r="AL126" i="113"/>
  <c r="AB117" i="113"/>
  <c r="DX54" i="162"/>
  <c r="DU52" i="161"/>
  <c r="Y80" i="113"/>
  <c r="CC83" i="109"/>
  <c r="BX92" i="109"/>
  <c r="DD59" i="109"/>
  <c r="CY50" i="169"/>
  <c r="DI60" i="109"/>
  <c r="AI94" i="113"/>
  <c r="EC67" i="162"/>
  <c r="CU48" i="169"/>
  <c r="CZ45" i="169"/>
  <c r="AR155" i="113"/>
  <c r="AR149" i="113"/>
  <c r="DQ58" i="161"/>
  <c r="BY92" i="109"/>
  <c r="AE84" i="113"/>
  <c r="DJ63" i="109"/>
  <c r="AW194" i="113"/>
  <c r="AE82" i="113"/>
  <c r="DJ53" i="109"/>
  <c r="AH118" i="109"/>
  <c r="EI66" i="162"/>
  <c r="AW190" i="113"/>
  <c r="EI68" i="162"/>
  <c r="DO68" i="109"/>
  <c r="AW188" i="113"/>
  <c r="EI60" i="162"/>
  <c r="DQ56" i="161"/>
  <c r="AW187" i="113"/>
  <c r="AB117" i="109"/>
  <c r="CY46" i="169"/>
  <c r="AD85" i="113"/>
  <c r="BX85" i="109"/>
  <c r="AG128" i="113"/>
  <c r="AG126" i="113"/>
  <c r="AL115" i="109"/>
  <c r="Y96" i="113"/>
  <c r="AV148" i="113"/>
  <c r="AW148" i="113"/>
  <c r="EH66" i="162"/>
  <c r="DP66" i="161"/>
  <c r="EH64" i="162"/>
  <c r="DI68" i="109"/>
  <c r="CO51" i="169"/>
  <c r="CP51" i="169"/>
  <c r="EC56" i="162"/>
  <c r="AQ163" i="113"/>
  <c r="AL162" i="113"/>
  <c r="AQ162" i="113"/>
  <c r="BS85" i="109"/>
  <c r="AG125" i="113"/>
  <c r="DN59" i="109"/>
  <c r="BA190" i="113"/>
  <c r="AQ158" i="113"/>
  <c r="AG118" i="109"/>
  <c r="DI58" i="109"/>
  <c r="BX86" i="109"/>
  <c r="DN60" i="109"/>
  <c r="CT47" i="169"/>
  <c r="AG122" i="113"/>
  <c r="AG114" i="113"/>
  <c r="AH114" i="113"/>
  <c r="Y90" i="113"/>
  <c r="BX90" i="109"/>
  <c r="DU56" i="161"/>
  <c r="DL52" i="161"/>
  <c r="AP177" i="113"/>
  <c r="AI88" i="113"/>
  <c r="EC64" i="162"/>
  <c r="BA192" i="113"/>
  <c r="AQ144" i="113"/>
  <c r="BA179" i="113"/>
  <c r="EC57" i="162"/>
  <c r="EH60" i="162"/>
  <c r="EC69" i="162"/>
  <c r="DK64" i="161"/>
  <c r="DN55" i="109"/>
  <c r="AB112" i="109"/>
  <c r="DU59" i="161"/>
  <c r="AP184" i="113"/>
  <c r="AD94" i="113"/>
  <c r="DP56" i="161"/>
  <c r="BX94" i="109"/>
  <c r="AV179" i="113"/>
  <c r="CY45" i="169"/>
  <c r="AV184" i="113"/>
  <c r="EH62" i="162"/>
  <c r="BS92" i="109"/>
  <c r="BS84" i="109"/>
  <c r="CY49" i="169"/>
  <c r="DN67" i="109"/>
  <c r="DD67" i="109"/>
  <c r="Y87" i="113"/>
  <c r="CC91" i="109"/>
  <c r="CZ43" i="169"/>
  <c r="CU46" i="169"/>
  <c r="EI62" i="162"/>
  <c r="DJ59" i="109"/>
  <c r="DJ66" i="109"/>
  <c r="AJ88" i="113"/>
  <c r="EI58" i="162"/>
  <c r="DO67" i="109"/>
  <c r="AW177" i="113"/>
  <c r="AJ97" i="113"/>
  <c r="DO66" i="109"/>
  <c r="BY88" i="109"/>
  <c r="AR161" i="113"/>
  <c r="BY93" i="109"/>
  <c r="AJ82" i="113"/>
  <c r="DQ65" i="161"/>
  <c r="AH114" i="109"/>
  <c r="AJ94" i="113"/>
  <c r="DO53" i="109"/>
  <c r="AW186" i="113"/>
  <c r="BX91" i="109"/>
  <c r="AL111" i="109"/>
  <c r="CO44" i="169"/>
  <c r="AV182" i="113"/>
  <c r="AV185" i="113"/>
  <c r="BX88" i="109"/>
  <c r="AB110" i="109"/>
  <c r="AC110" i="109"/>
  <c r="AL145" i="113"/>
  <c r="AD89" i="113"/>
  <c r="Y92" i="113"/>
  <c r="AD84" i="113"/>
  <c r="AB114" i="109"/>
  <c r="AB130" i="113"/>
  <c r="AG114" i="109"/>
  <c r="AQ150" i="113"/>
  <c r="AG110" i="109"/>
  <c r="AG113" i="113"/>
  <c r="AL117" i="109"/>
  <c r="AL160" i="113"/>
  <c r="CT43" i="169"/>
  <c r="DN58" i="109"/>
  <c r="AV161" i="113"/>
  <c r="AL116" i="113"/>
  <c r="AB119" i="109"/>
  <c r="DD57" i="109"/>
  <c r="BA176" i="113"/>
  <c r="AL148" i="113"/>
  <c r="AM148" i="113"/>
  <c r="DU62" i="161"/>
  <c r="CT46" i="169"/>
  <c r="AV194" i="113"/>
  <c r="CC88" i="109"/>
  <c r="BS86" i="109"/>
  <c r="BA188" i="113"/>
  <c r="AQ146" i="113"/>
  <c r="AG118" i="113"/>
  <c r="AQ160" i="113"/>
  <c r="AD79" i="113"/>
  <c r="EC55" i="162"/>
  <c r="CO45" i="169"/>
  <c r="AL163" i="113"/>
  <c r="DD60" i="109"/>
  <c r="AL153" i="113"/>
  <c r="EC68" i="162"/>
  <c r="EC60" i="162"/>
  <c r="DK55" i="161"/>
  <c r="DP64" i="161"/>
  <c r="CO43" i="169"/>
  <c r="AL159" i="113"/>
  <c r="BS81" i="109"/>
  <c r="DP63" i="161"/>
  <c r="DP55" i="161"/>
  <c r="BX93" i="109"/>
  <c r="AQ153" i="113"/>
  <c r="DN57" i="109"/>
  <c r="BS94" i="109"/>
  <c r="DK57" i="161"/>
  <c r="EH69" i="162"/>
  <c r="BX82" i="109"/>
  <c r="BS91" i="109"/>
  <c r="AB129" i="113"/>
  <c r="AP194" i="113"/>
  <c r="AL146" i="113"/>
  <c r="AB115" i="109"/>
  <c r="AV153" i="113"/>
  <c r="CZ44" i="169"/>
  <c r="CU50" i="169"/>
  <c r="AJ89" i="113"/>
  <c r="DV65" i="161"/>
  <c r="AJ85" i="113"/>
  <c r="AR159" i="113"/>
  <c r="AJ83" i="113"/>
  <c r="DO59" i="109"/>
  <c r="BY97" i="109"/>
  <c r="AR153" i="113"/>
  <c r="DO65" i="109"/>
  <c r="AJ96" i="113"/>
  <c r="DQ61" i="161"/>
  <c r="AH117" i="109"/>
  <c r="ED61" i="162"/>
  <c r="DJ67" i="109"/>
  <c r="BY90" i="109"/>
  <c r="EI59" i="162"/>
  <c r="DQ62" i="161"/>
  <c r="BY91" i="109"/>
  <c r="BS93" i="109"/>
  <c r="EH63" i="162"/>
  <c r="AP183" i="113"/>
  <c r="EC54" i="162"/>
  <c r="AL154" i="113"/>
  <c r="CY47" i="169"/>
  <c r="CY42" i="169"/>
  <c r="CZ42" i="169"/>
  <c r="AV193" i="113"/>
  <c r="AQ156" i="113"/>
  <c r="DK56" i="161"/>
  <c r="AL161" i="113"/>
  <c r="DU66" i="161"/>
  <c r="CC86" i="109"/>
  <c r="DX58" i="162"/>
  <c r="DN63" i="109"/>
  <c r="AV160" i="113"/>
  <c r="AL110" i="109"/>
  <c r="AP179" i="113"/>
  <c r="BS95" i="109"/>
  <c r="DD54" i="109"/>
  <c r="DI66" i="109"/>
  <c r="AV152" i="113"/>
  <c r="AG127" i="113"/>
  <c r="CC82" i="109"/>
  <c r="DI53" i="109"/>
  <c r="DK62" i="161"/>
  <c r="AD83" i="113"/>
  <c r="AB118" i="113"/>
  <c r="CO47" i="169"/>
  <c r="AL124" i="113"/>
  <c r="AI80" i="113"/>
  <c r="DN65" i="109"/>
  <c r="AV187" i="113"/>
  <c r="DD66" i="109"/>
  <c r="AB112" i="113"/>
  <c r="AV147" i="113"/>
  <c r="AI86" i="113"/>
  <c r="EC62" i="162"/>
  <c r="AL152" i="113"/>
  <c r="DU64" i="161"/>
  <c r="DP68" i="161"/>
  <c r="AL111" i="113"/>
  <c r="DX60" i="162"/>
  <c r="DU68" i="161"/>
  <c r="AB118" i="109"/>
  <c r="AI79" i="113"/>
  <c r="AV151" i="113"/>
  <c r="AL149" i="113"/>
  <c r="AB116" i="113"/>
  <c r="DP54" i="161"/>
  <c r="DK63" i="161"/>
  <c r="BX84" i="109"/>
  <c r="AV192" i="113"/>
  <c r="BS87" i="109"/>
  <c r="EC66" i="162"/>
  <c r="CT44" i="169"/>
  <c r="EH68" i="162"/>
  <c r="AB125" i="113"/>
  <c r="Y81" i="113"/>
  <c r="Z81" i="113"/>
  <c r="AB120" i="113"/>
  <c r="DU57" i="161"/>
  <c r="BA180" i="113"/>
  <c r="BA193" i="113"/>
  <c r="DP60" i="161"/>
  <c r="CZ46" i="169"/>
  <c r="CU44" i="169"/>
  <c r="AJ79" i="113"/>
  <c r="DV62" i="161"/>
  <c r="AE92" i="113"/>
  <c r="EI54" i="162"/>
  <c r="DO60" i="109"/>
  <c r="DV67" i="161"/>
  <c r="BY85" i="109"/>
  <c r="EI67" i="162"/>
  <c r="AW193" i="113"/>
  <c r="AJ80" i="113"/>
  <c r="DJ68" i="109"/>
  <c r="AH119" i="109"/>
  <c r="AJ86" i="113"/>
  <c r="AR151" i="113"/>
  <c r="AH116" i="109"/>
  <c r="AJ90" i="113"/>
  <c r="DV64" i="161"/>
  <c r="AH113" i="109"/>
  <c r="AJ98" i="113"/>
  <c r="DO58" i="109"/>
  <c r="ED60" i="162"/>
  <c r="ED67" i="162"/>
  <c r="AW153" i="113"/>
  <c r="AM119" i="109"/>
  <c r="AH130" i="113"/>
  <c r="AM113" i="113"/>
  <c r="BB178" i="113"/>
  <c r="BB177" i="113"/>
  <c r="CD87" i="109"/>
  <c r="AW161" i="113"/>
  <c r="AH111" i="109"/>
  <c r="BB195" i="113"/>
  <c r="AM110" i="109"/>
  <c r="AH125" i="113"/>
  <c r="AM130" i="113"/>
  <c r="AM121" i="113"/>
  <c r="AW158" i="113"/>
  <c r="AH110" i="109"/>
  <c r="AM151" i="113"/>
  <c r="AQ185" i="113"/>
  <c r="AQ186" i="113"/>
  <c r="AC122" i="113"/>
  <c r="AC117" i="113"/>
  <c r="AE88" i="113"/>
  <c r="AW185" i="113"/>
  <c r="ED65" i="162"/>
  <c r="ED64" i="162"/>
  <c r="BB186" i="113"/>
  <c r="DJ54" i="109"/>
  <c r="AW163" i="113"/>
  <c r="ED55" i="162"/>
  <c r="AR146" i="113"/>
  <c r="BB182" i="113"/>
  <c r="DV54" i="161"/>
  <c r="DQ53" i="161"/>
  <c r="CD85" i="109"/>
  <c r="CD84" i="109"/>
  <c r="AM118" i="113"/>
  <c r="DQ54" i="161"/>
  <c r="AW150" i="113"/>
  <c r="AE80" i="113"/>
  <c r="AH124" i="113"/>
  <c r="AW183" i="113"/>
  <c r="CD83" i="109"/>
  <c r="AM156" i="113"/>
  <c r="AQ193" i="113"/>
  <c r="AQ194" i="113"/>
  <c r="AM162" i="113"/>
  <c r="AM147" i="113"/>
  <c r="AM150" i="113"/>
  <c r="AC128" i="113"/>
  <c r="AC129" i="113"/>
  <c r="Z84" i="113"/>
  <c r="DJ56" i="109"/>
  <c r="AW184" i="113"/>
  <c r="ED62" i="162"/>
  <c r="AM129" i="113"/>
  <c r="DQ55" i="161"/>
  <c r="AW146" i="113"/>
  <c r="AW149" i="113"/>
  <c r="AH126" i="113"/>
  <c r="AM112" i="113"/>
  <c r="BB187" i="113"/>
  <c r="BB179" i="113"/>
  <c r="AM112" i="109"/>
  <c r="AH127" i="113"/>
  <c r="AW144" i="113"/>
  <c r="DJ55" i="109"/>
  <c r="AW159" i="113"/>
  <c r="ED56" i="162"/>
  <c r="AH123" i="113"/>
  <c r="BB184" i="113"/>
  <c r="AM113" i="109"/>
  <c r="AQ187" i="113"/>
  <c r="AQ190" i="113"/>
  <c r="AM163" i="113"/>
  <c r="Z88" i="113"/>
  <c r="AC115" i="113"/>
  <c r="Z87" i="113"/>
  <c r="DJ61" i="109"/>
  <c r="BY84" i="109"/>
  <c r="ED63" i="162"/>
  <c r="AH128" i="113"/>
  <c r="AM119" i="113"/>
  <c r="ED57" i="162"/>
  <c r="AM118" i="109"/>
  <c r="AH112" i="113"/>
  <c r="AM114" i="113"/>
  <c r="CD92" i="109"/>
  <c r="BB192" i="113"/>
  <c r="CD81" i="109"/>
  <c r="AW145" i="113"/>
  <c r="BY82" i="109"/>
  <c r="AM128" i="113"/>
  <c r="ED58" i="162"/>
  <c r="EI53" i="162"/>
  <c r="AH120" i="113"/>
  <c r="BB185" i="113"/>
  <c r="CD95" i="109"/>
  <c r="AQ188" i="113"/>
  <c r="AQ182" i="113"/>
  <c r="AM152" i="113"/>
  <c r="AQ195" i="113"/>
  <c r="AM149" i="113"/>
  <c r="Z96" i="113"/>
  <c r="AC125" i="113"/>
  <c r="AC116" i="113"/>
  <c r="EI69" i="162"/>
  <c r="DJ65" i="109"/>
  <c r="AE97" i="113"/>
  <c r="ED69" i="162"/>
  <c r="AH115" i="113"/>
  <c r="AM124" i="113"/>
  <c r="AM123" i="113"/>
  <c r="BB176" i="113"/>
  <c r="CD88" i="109"/>
  <c r="AW156" i="113"/>
  <c r="AM126" i="113"/>
  <c r="AH113" i="113"/>
  <c r="BB190" i="113"/>
  <c r="CD96" i="109"/>
  <c r="AW157" i="113"/>
  <c r="BY81" i="109"/>
  <c r="DO52" i="109"/>
  <c r="BB183" i="113"/>
  <c r="CD93" i="109"/>
  <c r="AH119" i="113"/>
  <c r="AR150" i="113"/>
  <c r="AM161" i="113"/>
  <c r="AM153" i="113"/>
  <c r="AM157" i="113"/>
  <c r="AQ184" i="113"/>
  <c r="AM159" i="113"/>
  <c r="AC120" i="113"/>
  <c r="AC112" i="113"/>
  <c r="Z98" i="113"/>
  <c r="AJ95" i="113"/>
  <c r="DO57" i="109"/>
  <c r="AE87" i="113"/>
  <c r="ED66" i="162"/>
  <c r="AH129" i="113"/>
  <c r="EI55" i="162"/>
  <c r="BB191" i="113"/>
  <c r="AM111" i="109"/>
  <c r="AW162" i="113"/>
  <c r="AH118" i="113"/>
  <c r="AH117" i="113"/>
  <c r="AM125" i="113"/>
  <c r="DO54" i="109"/>
  <c r="ED54" i="162"/>
  <c r="CD90" i="109"/>
  <c r="BB188" i="113"/>
  <c r="CD86" i="109"/>
  <c r="AH121" i="113"/>
  <c r="AM120" i="113"/>
  <c r="DV52" i="161"/>
  <c r="AM146" i="113"/>
  <c r="AQ192" i="113"/>
  <c r="AQ179" i="113"/>
  <c r="AE83" i="113"/>
  <c r="DJ60" i="109"/>
  <c r="AR162" i="113"/>
  <c r="DQ59" i="161"/>
  <c r="AW152" i="113"/>
  <c r="CD94" i="109"/>
  <c r="CD89" i="109"/>
  <c r="AM127" i="113"/>
  <c r="AH111" i="113"/>
  <c r="ED59" i="162"/>
  <c r="AM117" i="109"/>
  <c r="AM122" i="113"/>
  <c r="DO55" i="109"/>
  <c r="BB194" i="113"/>
  <c r="CD91" i="109"/>
  <c r="BB180" i="113"/>
  <c r="AM114" i="109"/>
  <c r="AW147" i="113"/>
  <c r="AM116" i="113"/>
  <c r="AQ191" i="113"/>
  <c r="AQ177" i="113"/>
  <c r="AM158" i="113"/>
  <c r="AQ189" i="113"/>
  <c r="AM154" i="113"/>
  <c r="AC130" i="113"/>
  <c r="Z85" i="113"/>
  <c r="AR154" i="113"/>
  <c r="DV59" i="161"/>
  <c r="DV68" i="161"/>
  <c r="ED68" i="162"/>
  <c r="AW155" i="113"/>
  <c r="AM115" i="109"/>
  <c r="DV55" i="161"/>
  <c r="AM115" i="113"/>
  <c r="AW151" i="113"/>
  <c r="BB193" i="113"/>
  <c r="AM116" i="109"/>
  <c r="AW160" i="113"/>
  <c r="AM117" i="113"/>
  <c r="AH122" i="113"/>
  <c r="BB189" i="113"/>
  <c r="CD82" i="109"/>
  <c r="AH116" i="113"/>
  <c r="AM111" i="113"/>
  <c r="CD97" i="109"/>
  <c r="AW154" i="113"/>
  <c r="EI56" i="162"/>
  <c r="AQ178" i="113"/>
  <c r="AM155" i="113"/>
  <c r="AM160" i="113"/>
  <c r="AQ183" i="113"/>
  <c r="AC118" i="113"/>
  <c r="AQ180" i="113"/>
  <c r="AC119" i="113"/>
  <c r="AC127" i="113"/>
  <c r="AC123" i="113"/>
  <c r="Z90" i="113"/>
  <c r="CP43" i="169"/>
  <c r="CP50" i="169"/>
  <c r="CP48" i="169"/>
  <c r="CP46" i="169"/>
  <c r="AC118" i="109"/>
  <c r="AC114" i="109"/>
  <c r="DL57" i="161"/>
  <c r="DE63" i="109"/>
  <c r="BT94" i="109"/>
  <c r="DY55" i="162"/>
  <c r="DE59" i="109"/>
  <c r="Z80" i="113"/>
  <c r="DY62" i="162"/>
  <c r="BT85" i="109"/>
  <c r="DL67" i="161"/>
  <c r="BT88" i="109"/>
  <c r="AC113" i="109"/>
  <c r="DY61" i="162"/>
  <c r="DL56" i="161"/>
  <c r="DE58" i="109"/>
  <c r="DL60" i="161"/>
  <c r="DL64" i="161"/>
  <c r="BT96" i="109"/>
  <c r="DY64" i="162"/>
  <c r="DE55" i="109"/>
  <c r="BT86" i="109"/>
  <c r="DY54" i="162"/>
  <c r="AC124" i="113"/>
  <c r="Z97" i="113"/>
  <c r="AC113" i="113"/>
  <c r="DY65" i="162"/>
  <c r="DE56" i="109"/>
  <c r="BT84" i="109"/>
  <c r="BT93" i="109"/>
  <c r="CP45" i="169"/>
  <c r="DL59" i="161"/>
  <c r="DY58" i="162"/>
  <c r="AM145" i="113"/>
  <c r="Z82" i="113"/>
  <c r="Z89" i="113"/>
  <c r="AQ176" i="113"/>
  <c r="DY59" i="162"/>
  <c r="DY56" i="162"/>
  <c r="DE60" i="109"/>
  <c r="BT89" i="109"/>
  <c r="DL58" i="161"/>
  <c r="DE66" i="109"/>
  <c r="BT87" i="109"/>
  <c r="BT81" i="109"/>
  <c r="CP49" i="169"/>
  <c r="CP47" i="169"/>
  <c r="AC112" i="109"/>
  <c r="CP44" i="169"/>
  <c r="DL62" i="161"/>
  <c r="DE61" i="109"/>
  <c r="DY60" i="162"/>
  <c r="BT95" i="109"/>
  <c r="AC119" i="109"/>
  <c r="DL66" i="161"/>
  <c r="DL61" i="161"/>
  <c r="DE57" i="109"/>
  <c r="AC116" i="109"/>
  <c r="DE67" i="109"/>
  <c r="DY69" i="162"/>
  <c r="DE62" i="109"/>
  <c r="AC114" i="113"/>
  <c r="Z94" i="113"/>
  <c r="AC121" i="113"/>
  <c r="Z86" i="113"/>
  <c r="AC111" i="113"/>
  <c r="DY67" i="162"/>
  <c r="BT82" i="109"/>
  <c r="BT91" i="109"/>
  <c r="Z93" i="113"/>
  <c r="Z95" i="113"/>
  <c r="Z91" i="113"/>
  <c r="AC117" i="109"/>
  <c r="DY68" i="162"/>
  <c r="BT83" i="109"/>
  <c r="DY63" i="162"/>
  <c r="DL63" i="161"/>
  <c r="DL55" i="161"/>
  <c r="DE64" i="109"/>
  <c r="DL53" i="161"/>
  <c r="BT90" i="109"/>
  <c r="DL65" i="161"/>
  <c r="BT97" i="109"/>
  <c r="BT92" i="109"/>
  <c r="Z92" i="113"/>
  <c r="AM144" i="113"/>
  <c r="AC126" i="113"/>
  <c r="Z83" i="113"/>
  <c r="Z79" i="113"/>
  <c r="DE65" i="109"/>
  <c r="DY66" i="162"/>
  <c r="AC115" i="109"/>
  <c r="DE54" i="109"/>
  <c r="DL54" i="161"/>
  <c r="DE53" i="109"/>
  <c r="DY57" i="162"/>
  <c r="N135" i="100"/>
  <c r="N139" i="100"/>
  <c r="N133" i="100"/>
  <c r="N134" i="100"/>
  <c r="N138" i="100"/>
  <c r="N132" i="100"/>
  <c r="N137" i="100"/>
  <c r="CR81" i="109"/>
  <c r="FA53" i="162"/>
  <c r="BA119" i="109"/>
  <c r="CR97" i="109"/>
  <c r="EG68" i="109"/>
  <c r="EN52" i="161"/>
  <c r="EN68" i="161"/>
  <c r="FA69" i="162"/>
  <c r="BH148" i="113"/>
  <c r="BH146" i="113"/>
  <c r="BH145" i="113"/>
  <c r="DQ53" i="169"/>
  <c r="F85" i="56" s="1"/>
  <c r="EN70" i="161"/>
  <c r="F71" i="56" s="1"/>
  <c r="X17" i="113"/>
  <c r="BA110" i="109"/>
  <c r="FA71" i="162"/>
  <c r="F75" i="56" s="1"/>
  <c r="BH166" i="113"/>
  <c r="EG70" i="109"/>
  <c r="F65" i="56" s="1"/>
  <c r="EG52" i="109"/>
  <c r="CR99" i="109"/>
  <c r="F66" i="56" s="1"/>
  <c r="AW133" i="113"/>
  <c r="S143" i="100"/>
  <c r="F102" i="56" s="1"/>
  <c r="X15" i="113"/>
  <c r="X14" i="113"/>
  <c r="BA121" i="109"/>
  <c r="F67" i="56" s="1"/>
  <c r="M168" i="100"/>
  <c r="M167" i="100"/>
  <c r="N167" i="100" s="1"/>
  <c r="M174" i="100"/>
  <c r="M170" i="100"/>
  <c r="M169" i="100"/>
  <c r="N169" i="100" s="1"/>
  <c r="O169" i="100" s="1"/>
  <c r="Q169" i="100" s="1"/>
  <c r="M173" i="100"/>
  <c r="M172" i="100"/>
  <c r="M171" i="100"/>
  <c r="M165" i="100"/>
  <c r="M166" i="100"/>
  <c r="N166" i="100" s="1"/>
  <c r="O166" i="100" s="1"/>
  <c r="Q166" i="100" s="1"/>
  <c r="N174" i="100"/>
  <c r="N168" i="100"/>
  <c r="O168" i="100"/>
  <c r="Q168" i="100" s="1"/>
  <c r="N172" i="100"/>
  <c r="O172" i="100" s="1"/>
  <c r="Q172" i="100" s="1"/>
  <c r="N165" i="100"/>
  <c r="O165" i="100"/>
  <c r="Q165" i="100" s="1"/>
  <c r="R165" i="100"/>
  <c r="N173" i="100"/>
  <c r="O173" i="100" s="1"/>
  <c r="Q173" i="100" s="1"/>
  <c r="N170" i="100"/>
  <c r="O170" i="100" s="1"/>
  <c r="Q170" i="100" s="1"/>
  <c r="N171" i="100"/>
  <c r="O171" i="100" s="1"/>
  <c r="Q171" i="100" s="1"/>
  <c r="R169" i="100"/>
  <c r="R166" i="100"/>
  <c r="O174" i="100"/>
  <c r="Q174" i="100" s="1"/>
  <c r="R174" i="100"/>
  <c r="R177" i="100"/>
  <c r="F104" i="56" s="1"/>
  <c r="R176" i="100"/>
  <c r="J45" i="113" l="1"/>
  <c r="K45" i="113" s="1"/>
  <c r="X45" i="113"/>
  <c r="Z45" i="113" s="1"/>
  <c r="V66" i="113"/>
  <c r="K66" i="113"/>
  <c r="T45" i="113"/>
  <c r="BZ68" i="109"/>
  <c r="AU70" i="109"/>
  <c r="V70" i="109"/>
  <c r="V92" i="113"/>
  <c r="V100" i="113" s="1"/>
  <c r="R100" i="113"/>
  <c r="AM92" i="113"/>
  <c r="AM100" i="113" s="1"/>
  <c r="AE165" i="113"/>
  <c r="D78" i="56"/>
  <c r="D64" i="56"/>
  <c r="AE70" i="109"/>
  <c r="J87" i="160"/>
  <c r="J86" i="160"/>
  <c r="Y25" i="159"/>
  <c r="Y14" i="159"/>
  <c r="Y27" i="159"/>
  <c r="AA18" i="159"/>
  <c r="V17" i="159"/>
  <c r="V21" i="159"/>
  <c r="V16" i="159"/>
  <c r="AM226" i="61"/>
  <c r="AP226" i="61" s="1"/>
  <c r="AM234" i="61"/>
  <c r="AP234" i="61" s="1"/>
  <c r="AQ81" i="61"/>
  <c r="AQ77" i="61"/>
  <c r="T24" i="159"/>
  <c r="W12" i="159"/>
  <c r="W30" i="159"/>
  <c r="P29" i="100"/>
  <c r="H43" i="100"/>
  <c r="Y23" i="159"/>
  <c r="AA23" i="159"/>
  <c r="V28" i="159"/>
  <c r="V22" i="159"/>
  <c r="AM235" i="61"/>
  <c r="AP235" i="61" s="1"/>
  <c r="AQ79" i="61"/>
  <c r="AQ85" i="61"/>
  <c r="T30" i="159"/>
  <c r="W19" i="159"/>
  <c r="W16" i="159"/>
  <c r="E1" i="101"/>
  <c r="E453" i="61" s="1"/>
  <c r="B50" i="165" s="1"/>
  <c r="U9" i="157"/>
  <c r="C25" i="149"/>
  <c r="E359" i="61"/>
  <c r="P92" i="100"/>
  <c r="P104" i="100" s="1"/>
  <c r="K8" i="159"/>
  <c r="X8" i="159" s="1"/>
  <c r="AJ9" i="157"/>
  <c r="E506" i="61"/>
  <c r="B56" i="165" s="1"/>
  <c r="C16" i="149"/>
  <c r="E52" i="61"/>
  <c r="C29" i="149"/>
  <c r="C21" i="149"/>
  <c r="D23" i="133"/>
  <c r="E30" i="100"/>
  <c r="M30" i="100" s="1"/>
  <c r="E371" i="61"/>
  <c r="Z59" i="113"/>
  <c r="Z47" i="113"/>
  <c r="C12" i="149"/>
  <c r="C108" i="65"/>
  <c r="E31" i="61"/>
  <c r="U52" i="113"/>
  <c r="N66" i="113"/>
  <c r="M91" i="100"/>
  <c r="Z91" i="100" s="1"/>
  <c r="J80" i="160"/>
  <c r="I89" i="160"/>
  <c r="D200" i="165" s="1"/>
  <c r="BP83" i="86"/>
  <c r="BS83" i="86" s="1"/>
  <c r="F13" i="136"/>
  <c r="H13" i="136" s="1"/>
  <c r="AX45" i="169"/>
  <c r="AQ48" i="169"/>
  <c r="C8" i="149"/>
  <c r="AD5" i="159"/>
  <c r="Q9" i="159"/>
  <c r="AD7" i="159" s="1"/>
  <c r="Q8" i="159"/>
  <c r="AD8" i="159" s="1"/>
  <c r="E385" i="61"/>
  <c r="AA47" i="113"/>
  <c r="P15" i="113" s="1"/>
  <c r="AA61" i="113"/>
  <c r="P29" i="113" s="1"/>
  <c r="AA15" i="159"/>
  <c r="AA28" i="159"/>
  <c r="AA16" i="159"/>
  <c r="U27" i="159"/>
  <c r="U30" i="159"/>
  <c r="G109" i="56"/>
  <c r="H109" i="56" s="1"/>
  <c r="AX46" i="169"/>
  <c r="AQ45" i="169"/>
  <c r="AQ42" i="169"/>
  <c r="AT42" i="169" s="1"/>
  <c r="E354" i="61"/>
  <c r="C26" i="149"/>
  <c r="M25" i="86"/>
  <c r="M21" i="86"/>
  <c r="M26" i="86"/>
  <c r="M14" i="86"/>
  <c r="M15" i="86"/>
  <c r="M19" i="86"/>
  <c r="M22" i="86"/>
  <c r="M23" i="86"/>
  <c r="M27" i="86"/>
  <c r="M12" i="86"/>
  <c r="M17" i="86"/>
  <c r="M20" i="86"/>
  <c r="M16" i="86"/>
  <c r="M28" i="86"/>
  <c r="M24" i="86"/>
  <c r="M13" i="86"/>
  <c r="E340" i="61"/>
  <c r="E39" i="61"/>
  <c r="E23" i="61"/>
  <c r="E142" i="61"/>
  <c r="E143" i="61"/>
  <c r="D32" i="133"/>
  <c r="E285" i="61"/>
  <c r="D33" i="133"/>
  <c r="D25" i="133"/>
  <c r="D17" i="133"/>
  <c r="F112" i="100"/>
  <c r="O110" i="100" s="1"/>
  <c r="F111" i="100"/>
  <c r="O111" i="100" s="1"/>
  <c r="V9" i="157"/>
  <c r="V10" i="157"/>
  <c r="AD9" i="157"/>
  <c r="E197" i="61"/>
  <c r="E71" i="100"/>
  <c r="E83" i="100" s="1"/>
  <c r="E70" i="100"/>
  <c r="Q70" i="100" s="1"/>
  <c r="M71" i="100"/>
  <c r="Y69" i="100" s="1"/>
  <c r="M70" i="100"/>
  <c r="Y70" i="100" s="1"/>
  <c r="AA59" i="113"/>
  <c r="P27" i="113" s="1"/>
  <c r="AA30" i="159"/>
  <c r="AA12" i="159"/>
  <c r="AA17" i="159"/>
  <c r="U11" i="159"/>
  <c r="F10" i="136"/>
  <c r="H10" i="136" s="1"/>
  <c r="AQ49" i="169"/>
  <c r="AQ47" i="169"/>
  <c r="E353" i="61"/>
  <c r="C107" i="65"/>
  <c r="S20" i="100"/>
  <c r="AA22" i="159"/>
  <c r="AA27" i="159"/>
  <c r="U29" i="159"/>
  <c r="U14" i="159"/>
  <c r="Q67" i="100"/>
  <c r="Q77" i="100" s="1"/>
  <c r="AQ50" i="169"/>
  <c r="AT48" i="169"/>
  <c r="C22" i="149"/>
  <c r="F50" i="100"/>
  <c r="O50" i="100" s="1"/>
  <c r="F51" i="100"/>
  <c r="O49" i="100" s="1"/>
  <c r="G31" i="100"/>
  <c r="O29" i="100" s="1"/>
  <c r="G30" i="100"/>
  <c r="O30" i="100" s="1"/>
  <c r="I11" i="100"/>
  <c r="U9" i="100" s="1"/>
  <c r="I10" i="100"/>
  <c r="U10" i="100" s="1"/>
  <c r="E72" i="165"/>
  <c r="AA7" i="159"/>
  <c r="W115" i="100"/>
  <c r="Y115" i="100" s="1"/>
  <c r="C62" i="65"/>
  <c r="E562" i="61"/>
  <c r="E554" i="61"/>
  <c r="E546" i="61"/>
  <c r="E538" i="61"/>
  <c r="N142" i="113"/>
  <c r="D39" i="126"/>
  <c r="D31" i="126"/>
  <c r="C92" i="65"/>
  <c r="AA63" i="113"/>
  <c r="P31" i="113" s="1"/>
  <c r="AA14" i="159"/>
  <c r="AA19" i="159"/>
  <c r="AA32" i="159" s="1"/>
  <c r="U21" i="159"/>
  <c r="U18" i="159"/>
  <c r="D23" i="136"/>
  <c r="AQ43" i="169"/>
  <c r="AT49" i="169"/>
  <c r="J41" i="86"/>
  <c r="J42" i="86"/>
  <c r="J43" i="86"/>
  <c r="J53" i="86"/>
  <c r="I30" i="100"/>
  <c r="Q30" i="100" s="1"/>
  <c r="I31" i="100"/>
  <c r="E451" i="61"/>
  <c r="B48" i="165" s="1"/>
  <c r="AA29" i="159"/>
  <c r="AA11" i="159"/>
  <c r="U13" i="159"/>
  <c r="U25" i="159"/>
  <c r="E484" i="61"/>
  <c r="AX48" i="169"/>
  <c r="AQ51" i="169"/>
  <c r="C31" i="149"/>
  <c r="E440" i="61"/>
  <c r="I59" i="133"/>
  <c r="C36" i="65"/>
  <c r="AI10" i="157"/>
  <c r="AI9" i="157"/>
  <c r="E104" i="160"/>
  <c r="AA21" i="159"/>
  <c r="U20" i="159"/>
  <c r="U24" i="159"/>
  <c r="AX44" i="169"/>
  <c r="E346" i="61"/>
  <c r="O11" i="160"/>
  <c r="C49" i="65"/>
  <c r="E51" i="61"/>
  <c r="C95" i="65"/>
  <c r="D21" i="126"/>
  <c r="D16" i="126"/>
  <c r="D40" i="126"/>
  <c r="D25" i="126"/>
  <c r="E198" i="61"/>
  <c r="E109" i="160"/>
  <c r="E102" i="160"/>
  <c r="E495" i="61"/>
  <c r="E50" i="61"/>
  <c r="C21" i="65"/>
  <c r="D18" i="133"/>
  <c r="D35" i="133"/>
  <c r="B65" i="165" s="1"/>
  <c r="D15" i="133"/>
  <c r="D24" i="133"/>
  <c r="C38" i="149"/>
  <c r="E386" i="61"/>
  <c r="E531" i="61"/>
  <c r="E558" i="61"/>
  <c r="E544" i="61"/>
  <c r="E251" i="61"/>
  <c r="E35" i="61"/>
  <c r="E24" i="61"/>
  <c r="C33" i="65"/>
  <c r="C87" i="65"/>
  <c r="D36" i="126"/>
  <c r="D27" i="126"/>
  <c r="D35" i="126"/>
  <c r="D32" i="126"/>
  <c r="E194" i="61"/>
  <c r="O142" i="113"/>
  <c r="E105" i="160"/>
  <c r="E103" i="160"/>
  <c r="E12" i="61"/>
  <c r="E193" i="61"/>
  <c r="C23" i="65"/>
  <c r="M142" i="113"/>
  <c r="C70" i="65"/>
  <c r="P11" i="160"/>
  <c r="D34" i="133"/>
  <c r="B64" i="165" s="1"/>
  <c r="D27" i="133"/>
  <c r="D14" i="133"/>
  <c r="D37" i="133"/>
  <c r="C10" i="65"/>
  <c r="C39" i="149"/>
  <c r="E388" i="61"/>
  <c r="E549" i="61"/>
  <c r="E566" i="61"/>
  <c r="E564" i="61"/>
  <c r="E556" i="61"/>
  <c r="E300" i="61"/>
  <c r="E250" i="61"/>
  <c r="E29" i="61"/>
  <c r="E33" i="61"/>
  <c r="C88" i="65"/>
  <c r="D24" i="126"/>
  <c r="I142" i="113"/>
  <c r="D18" i="126"/>
  <c r="C43" i="149"/>
  <c r="H43" i="149" s="1"/>
  <c r="E98" i="160"/>
  <c r="E99" i="160"/>
  <c r="E374" i="61"/>
  <c r="C68" i="65"/>
  <c r="C69" i="65"/>
  <c r="D13" i="133"/>
  <c r="D38" i="133"/>
  <c r="E10" i="86"/>
  <c r="E387" i="61"/>
  <c r="E539" i="61"/>
  <c r="E533" i="61"/>
  <c r="E552" i="61"/>
  <c r="E53" i="61"/>
  <c r="E54" i="61"/>
  <c r="E302" i="61"/>
  <c r="C85" i="65"/>
  <c r="E248" i="61"/>
  <c r="E26" i="61"/>
  <c r="C93" i="65"/>
  <c r="D20" i="126"/>
  <c r="D38" i="126"/>
  <c r="D26" i="126"/>
  <c r="D17" i="126"/>
  <c r="E195" i="61"/>
  <c r="C44" i="149"/>
  <c r="E110" i="160"/>
  <c r="E101" i="160"/>
  <c r="C22" i="65"/>
  <c r="E49" i="61"/>
  <c r="C65" i="65"/>
  <c r="E436" i="61"/>
  <c r="D10" i="133"/>
  <c r="B62" i="165" s="1"/>
  <c r="D26" i="133"/>
  <c r="E132" i="61"/>
  <c r="D22" i="133"/>
  <c r="E435" i="61"/>
  <c r="E532" i="61"/>
  <c r="E565" i="61"/>
  <c r="E304" i="61"/>
  <c r="E148" i="61"/>
  <c r="E28" i="61"/>
  <c r="E34" i="61"/>
  <c r="C41" i="149"/>
  <c r="F41" i="149" s="1"/>
  <c r="D34" i="126"/>
  <c r="D37" i="126"/>
  <c r="D29" i="126"/>
  <c r="E199" i="61"/>
  <c r="E284" i="61"/>
  <c r="E100" i="160"/>
  <c r="E373" i="61"/>
  <c r="C12" i="65"/>
  <c r="K142" i="113"/>
  <c r="E437" i="61"/>
  <c r="E434" i="61"/>
  <c r="E542" i="61"/>
  <c r="E560" i="61"/>
  <c r="E145" i="61"/>
  <c r="C37" i="65"/>
  <c r="C71" i="65"/>
  <c r="D28" i="126"/>
  <c r="D14" i="126"/>
  <c r="D22" i="126"/>
  <c r="D40" i="133"/>
  <c r="E201" i="61"/>
  <c r="E97" i="160"/>
  <c r="E108" i="160"/>
  <c r="P142" i="113"/>
  <c r="C48" i="65"/>
  <c r="C50" i="65"/>
  <c r="J142" i="113"/>
  <c r="N11" i="160"/>
  <c r="D28" i="133"/>
  <c r="D16" i="133"/>
  <c r="E131" i="61"/>
  <c r="D12" i="133"/>
  <c r="E438" i="61"/>
  <c r="E545" i="61"/>
  <c r="E541" i="61"/>
  <c r="E535" i="61"/>
  <c r="E555" i="61"/>
  <c r="C91" i="65"/>
  <c r="E30" i="61"/>
  <c r="D12" i="126"/>
  <c r="D19" i="126"/>
  <c r="D10" i="126"/>
  <c r="D39" i="133"/>
  <c r="E200" i="61"/>
  <c r="E286" i="61"/>
  <c r="E107" i="160"/>
  <c r="E496" i="61"/>
  <c r="E372" i="61"/>
  <c r="C11" i="65"/>
  <c r="C61" i="65"/>
  <c r="C82" i="65"/>
  <c r="E464" i="61"/>
  <c r="C37" i="149"/>
  <c r="E384" i="61"/>
  <c r="E547" i="61"/>
  <c r="E540" i="61"/>
  <c r="E563" i="61"/>
  <c r="E553" i="61"/>
  <c r="C42" i="149"/>
  <c r="E32" i="61"/>
  <c r="C35" i="65"/>
  <c r="D44" i="133"/>
  <c r="D30" i="133"/>
  <c r="C63" i="65"/>
  <c r="N8" i="159"/>
  <c r="C90" i="65"/>
  <c r="E297" i="61"/>
  <c r="D19" i="133"/>
  <c r="E419" i="61"/>
  <c r="B41" i="165" s="1"/>
  <c r="E511" i="61"/>
  <c r="M8" i="159"/>
  <c r="Z8" i="159" s="1"/>
  <c r="E351" i="61"/>
  <c r="E303" i="61"/>
  <c r="D29" i="133"/>
  <c r="D41" i="133"/>
  <c r="C67" i="65"/>
  <c r="AB5" i="159"/>
  <c r="AB19" i="159" s="1"/>
  <c r="E420" i="61"/>
  <c r="B42" i="165" s="1"/>
  <c r="E508" i="61"/>
  <c r="B58" i="165" s="1"/>
  <c r="F8" i="159"/>
  <c r="S8" i="159" s="1"/>
  <c r="L8" i="159"/>
  <c r="Y8" i="159" s="1"/>
  <c r="E146" i="61"/>
  <c r="C86" i="65"/>
  <c r="E557" i="61"/>
  <c r="E474" i="61"/>
  <c r="D31" i="133"/>
  <c r="H8" i="159"/>
  <c r="U8" i="159" s="1"/>
  <c r="E418" i="61"/>
  <c r="B40" i="165" s="1"/>
  <c r="E509" i="61"/>
  <c r="B59" i="165" s="1"/>
  <c r="D11" i="126"/>
  <c r="E529" i="61"/>
  <c r="E543" i="61"/>
  <c r="D42" i="133"/>
  <c r="E111" i="100"/>
  <c r="N111" i="100" s="1"/>
  <c r="E510" i="61"/>
  <c r="B60" i="165" s="1"/>
  <c r="E37" i="61"/>
  <c r="E147" i="61"/>
  <c r="C83" i="65"/>
  <c r="E454" i="61"/>
  <c r="B51" i="165" s="1"/>
  <c r="G111" i="100"/>
  <c r="P111" i="100" s="1"/>
  <c r="E507" i="61"/>
  <c r="B57" i="165" s="1"/>
  <c r="C89" i="65"/>
  <c r="E422" i="61"/>
  <c r="B44" i="165" s="1"/>
  <c r="D20" i="133"/>
  <c r="E439" i="61"/>
  <c r="E196" i="61"/>
  <c r="J40" i="161"/>
  <c r="G70" i="56" s="1"/>
  <c r="H70" i="56" s="1"/>
  <c r="AE278" i="61"/>
  <c r="S11" i="159"/>
  <c r="S16" i="159"/>
  <c r="S28" i="159"/>
  <c r="S19" i="159"/>
  <c r="S15" i="159"/>
  <c r="S24" i="159"/>
  <c r="S13" i="159"/>
  <c r="S27" i="159"/>
  <c r="S18" i="159"/>
  <c r="S17" i="159"/>
  <c r="S21" i="159"/>
  <c r="S30" i="159"/>
  <c r="S26" i="159"/>
  <c r="S12" i="159"/>
  <c r="J40" i="109"/>
  <c r="T12" i="100"/>
  <c r="T16" i="100"/>
  <c r="BG100" i="86"/>
  <c r="BP75" i="86"/>
  <c r="G107" i="56"/>
  <c r="H107" i="56" s="1"/>
  <c r="BP80" i="86"/>
  <c r="BT80" i="86" s="1"/>
  <c r="BP85" i="86"/>
  <c r="G108" i="56"/>
  <c r="Z48" i="113"/>
  <c r="X66" i="113"/>
  <c r="Y66" i="113"/>
  <c r="Z52" i="113"/>
  <c r="AA52" i="113" s="1"/>
  <c r="P20" i="113" s="1"/>
  <c r="AB15" i="159"/>
  <c r="AB24" i="159"/>
  <c r="W120" i="100"/>
  <c r="Y120" i="100" s="1"/>
  <c r="S22" i="159"/>
  <c r="G110" i="56"/>
  <c r="W122" i="100"/>
  <c r="Y122" i="100" s="1"/>
  <c r="W114" i="100"/>
  <c r="Y114" i="100" s="1"/>
  <c r="BO100" i="86"/>
  <c r="S29" i="159"/>
  <c r="AT45" i="169"/>
  <c r="U32" i="157"/>
  <c r="AA57" i="113"/>
  <c r="P25" i="113" s="1"/>
  <c r="BP96" i="86"/>
  <c r="BT96" i="86" s="1"/>
  <c r="AA51" i="113"/>
  <c r="P19" i="113" s="1"/>
  <c r="U124" i="100"/>
  <c r="AA53" i="113"/>
  <c r="P21" i="113" s="1"/>
  <c r="Z32" i="159"/>
  <c r="W32" i="159"/>
  <c r="AX42" i="169"/>
  <c r="AX47" i="169"/>
  <c r="AS50" i="169"/>
  <c r="AT50" i="169" s="1"/>
  <c r="W118" i="100"/>
  <c r="Y118" i="100" s="1"/>
  <c r="Q124" i="100"/>
  <c r="P124" i="100"/>
  <c r="R124" i="100"/>
  <c r="D9" i="126"/>
  <c r="AA58" i="113"/>
  <c r="P26" i="113" s="1"/>
  <c r="AR186" i="61"/>
  <c r="AX50" i="169"/>
  <c r="AS43" i="169"/>
  <c r="W117" i="100"/>
  <c r="Y117" i="100" s="1"/>
  <c r="AA48" i="113"/>
  <c r="P16" i="113" s="1"/>
  <c r="AX43" i="169"/>
  <c r="AS51" i="169"/>
  <c r="D13" i="126"/>
  <c r="U60" i="113"/>
  <c r="AA60" i="113" s="1"/>
  <c r="P28" i="113" s="1"/>
  <c r="AQ92" i="61"/>
  <c r="AS46" i="169"/>
  <c r="AT46" i="169" s="1"/>
  <c r="AS44" i="169"/>
  <c r="AT44" i="169" s="1"/>
  <c r="AS47" i="169"/>
  <c r="AT47" i="169" s="1"/>
  <c r="O167" i="100"/>
  <c r="Q167" i="100" s="1"/>
  <c r="Q176" i="100" s="1"/>
  <c r="G104" i="56" s="1"/>
  <c r="N176" i="100"/>
  <c r="BT91" i="86"/>
  <c r="BS91" i="86"/>
  <c r="O100" i="113"/>
  <c r="AU118" i="109"/>
  <c r="AW118" i="109" s="1"/>
  <c r="AU113" i="109"/>
  <c r="AW113" i="109" s="1"/>
  <c r="AU111" i="109"/>
  <c r="AW111" i="109" s="1"/>
  <c r="AU119" i="109"/>
  <c r="AW119" i="109" s="1"/>
  <c r="AU112" i="109"/>
  <c r="AW112" i="109" s="1"/>
  <c r="AU114" i="109"/>
  <c r="AW114" i="109" s="1"/>
  <c r="AU116" i="109"/>
  <c r="AW116" i="109" s="1"/>
  <c r="AU115" i="109"/>
  <c r="AW115" i="109" s="1"/>
  <c r="BT71" i="162"/>
  <c r="CA53" i="162"/>
  <c r="BK68" i="109"/>
  <c r="AV68" i="109"/>
  <c r="BK67" i="109"/>
  <c r="AV67" i="109"/>
  <c r="BK66" i="109"/>
  <c r="AV66" i="109"/>
  <c r="BK54" i="161"/>
  <c r="AV54" i="161"/>
  <c r="AV55" i="161"/>
  <c r="BK55" i="161"/>
  <c r="BK56" i="161"/>
  <c r="AV56" i="161"/>
  <c r="BK59" i="161"/>
  <c r="AV59" i="161"/>
  <c r="BK60" i="161"/>
  <c r="AV60" i="161"/>
  <c r="BK61" i="161"/>
  <c r="AV61" i="161"/>
  <c r="AZ99" i="109"/>
  <c r="O176" i="100"/>
  <c r="AC24" i="159"/>
  <c r="AC25" i="159"/>
  <c r="AC11" i="159"/>
  <c r="AC18" i="159"/>
  <c r="AC13" i="159"/>
  <c r="AC26" i="159"/>
  <c r="AC21" i="159"/>
  <c r="AC19" i="159"/>
  <c r="AC29" i="159"/>
  <c r="AC27" i="159"/>
  <c r="AC14" i="159"/>
  <c r="AC16" i="159"/>
  <c r="AC12" i="159"/>
  <c r="AC22" i="159"/>
  <c r="AC15" i="159"/>
  <c r="AC20" i="159"/>
  <c r="AC30" i="159"/>
  <c r="AD71" i="162"/>
  <c r="BH100" i="86"/>
  <c r="AU110" i="109"/>
  <c r="AW110" i="109" s="1"/>
  <c r="BT72" i="86"/>
  <c r="BS72" i="86"/>
  <c r="P14" i="113"/>
  <c r="CM94" i="109"/>
  <c r="CM96" i="109"/>
  <c r="CM84" i="109"/>
  <c r="CM86" i="109"/>
  <c r="CM81" i="109"/>
  <c r="CM92" i="109"/>
  <c r="CM90" i="109"/>
  <c r="CM85" i="109"/>
  <c r="CM83" i="109"/>
  <c r="CM89" i="109"/>
  <c r="CM87" i="109"/>
  <c r="CM93" i="109"/>
  <c r="CM91" i="109"/>
  <c r="CM97" i="109"/>
  <c r="CM95" i="109"/>
  <c r="AU117" i="109"/>
  <c r="AW117" i="109" s="1"/>
  <c r="H49" i="159"/>
  <c r="U49" i="159" s="1"/>
  <c r="H50" i="159"/>
  <c r="U50" i="159" s="1"/>
  <c r="DW54" i="109"/>
  <c r="DW61" i="109"/>
  <c r="EA66" i="109"/>
  <c r="EA60" i="109"/>
  <c r="CJ70" i="109"/>
  <c r="O41" i="100"/>
  <c r="O38" i="100"/>
  <c r="BZ63" i="109"/>
  <c r="BZ70" i="109" s="1"/>
  <c r="BU70" i="109"/>
  <c r="AF181" i="113"/>
  <c r="AF197" i="113" s="1"/>
  <c r="AA197" i="113"/>
  <c r="DW58" i="109"/>
  <c r="DW63" i="109"/>
  <c r="EA56" i="109"/>
  <c r="EA57" i="109"/>
  <c r="CJ70" i="161"/>
  <c r="Y32" i="159"/>
  <c r="DW60" i="109"/>
  <c r="DW64" i="109"/>
  <c r="DW65" i="109"/>
  <c r="DW56" i="109"/>
  <c r="BS80" i="86"/>
  <c r="EA52" i="109"/>
  <c r="EA67" i="109"/>
  <c r="BT83" i="86"/>
  <c r="M132" i="113"/>
  <c r="AV54" i="109"/>
  <c r="AQ70" i="109"/>
  <c r="BI100" i="86"/>
  <c r="AT71" i="162"/>
  <c r="DW66" i="109"/>
  <c r="DW57" i="109"/>
  <c r="EH56" i="161"/>
  <c r="EH58" i="161"/>
  <c r="EH54" i="161"/>
  <c r="EH70" i="161" s="1"/>
  <c r="EA68" i="109"/>
  <c r="EA61" i="109"/>
  <c r="AP99" i="109"/>
  <c r="DW62" i="109"/>
  <c r="DW67" i="109"/>
  <c r="EH65" i="161"/>
  <c r="EA55" i="109"/>
  <c r="EA54" i="109"/>
  <c r="EA63" i="109"/>
  <c r="U99" i="109"/>
  <c r="L176" i="100"/>
  <c r="EA58" i="109"/>
  <c r="BL61" i="162"/>
  <c r="BF71" i="162"/>
  <c r="BY70" i="109"/>
  <c r="CL70" i="161"/>
  <c r="AV62" i="161"/>
  <c r="AV57" i="161"/>
  <c r="BJ100" i="86"/>
  <c r="BB71" i="162"/>
  <c r="BL53" i="162"/>
  <c r="AP92" i="61"/>
  <c r="T99" i="109"/>
  <c r="AO99" i="109"/>
  <c r="K132" i="113"/>
  <c r="BK71" i="162"/>
  <c r="BK52" i="109"/>
  <c r="AV58" i="161"/>
  <c r="X165" i="113"/>
  <c r="AV53" i="109"/>
  <c r="BK100" i="86"/>
  <c r="U70" i="161"/>
  <c r="AB71" i="162"/>
  <c r="L121" i="109"/>
  <c r="DE71" i="162"/>
  <c r="CR71" i="162"/>
  <c r="S121" i="109"/>
  <c r="AR238" i="61"/>
  <c r="CL70" i="109"/>
  <c r="DA65" i="109"/>
  <c r="AQ186" i="61"/>
  <c r="AF278" i="61"/>
  <c r="DA70" i="109"/>
  <c r="AE197" i="113"/>
  <c r="AS71" i="162"/>
  <c r="AB12" i="159"/>
  <c r="AB17" i="159"/>
  <c r="AB28" i="159"/>
  <c r="AB26" i="159"/>
  <c r="AB13" i="159"/>
  <c r="AB27" i="159"/>
  <c r="AB14" i="159"/>
  <c r="AB11" i="159"/>
  <c r="AW97" i="109"/>
  <c r="AW99" i="109" s="1"/>
  <c r="CG56" i="161"/>
  <c r="CG52" i="109"/>
  <c r="CG70" i="109" s="1"/>
  <c r="CG58" i="161"/>
  <c r="CG53" i="161"/>
  <c r="CG70" i="161" s="1"/>
  <c r="BD73" i="86"/>
  <c r="BM73" i="86" s="1"/>
  <c r="BP73" i="86" s="1"/>
  <c r="BD74" i="86"/>
  <c r="BM74" i="86" s="1"/>
  <c r="BP74" i="86" s="1"/>
  <c r="BD69" i="86"/>
  <c r="BM69" i="86" s="1"/>
  <c r="BD90" i="86"/>
  <c r="BD84" i="86"/>
  <c r="BM84" i="86" s="1"/>
  <c r="BP84" i="86" s="1"/>
  <c r="BD92" i="86"/>
  <c r="BM92" i="86" s="1"/>
  <c r="BP92" i="86" s="1"/>
  <c r="BD98" i="86"/>
  <c r="BM98" i="86" s="1"/>
  <c r="BP98" i="86" s="1"/>
  <c r="BD79" i="86"/>
  <c r="BM79" i="86" s="1"/>
  <c r="BP79" i="86" s="1"/>
  <c r="BD77" i="86"/>
  <c r="BM77" i="86" s="1"/>
  <c r="BP77" i="86" s="1"/>
  <c r="BD95" i="86"/>
  <c r="BM95" i="86" s="1"/>
  <c r="BP95" i="86" s="1"/>
  <c r="BD70" i="86"/>
  <c r="BM70" i="86" s="1"/>
  <c r="BP70" i="86" s="1"/>
  <c r="BD78" i="86"/>
  <c r="BM78" i="86" s="1"/>
  <c r="BP78" i="86" s="1"/>
  <c r="BD76" i="86"/>
  <c r="BM76" i="86" s="1"/>
  <c r="BP76" i="86" s="1"/>
  <c r="BD94" i="86"/>
  <c r="BM94" i="86" s="1"/>
  <c r="BP94" i="86" s="1"/>
  <c r="BD89" i="86"/>
  <c r="BM89" i="86" s="1"/>
  <c r="BP89" i="86" s="1"/>
  <c r="BD81" i="86"/>
  <c r="BM81" i="86" s="1"/>
  <c r="BP81" i="86" s="1"/>
  <c r="BD71" i="86"/>
  <c r="BM71" i="86" s="1"/>
  <c r="BP71" i="86" s="1"/>
  <c r="BD86" i="86"/>
  <c r="BM86" i="86" s="1"/>
  <c r="BP86" i="86" s="1"/>
  <c r="BD88" i="86"/>
  <c r="BM88" i="86" s="1"/>
  <c r="BP88" i="86" s="1"/>
  <c r="BD93" i="86"/>
  <c r="BD87" i="86"/>
  <c r="BM87" i="86" s="1"/>
  <c r="BP87" i="86" s="1"/>
  <c r="BD97" i="86"/>
  <c r="BM97" i="86" s="1"/>
  <c r="BP97" i="86" s="1"/>
  <c r="BM93" i="86"/>
  <c r="BP93" i="86" s="1"/>
  <c r="BM82" i="86"/>
  <c r="BP82" i="86" s="1"/>
  <c r="CA60" i="162"/>
  <c r="BM90" i="86"/>
  <c r="BP90" i="86" s="1"/>
  <c r="CZ71" i="162"/>
  <c r="E73" i="165" a="1"/>
  <c r="E73" i="165" s="1"/>
  <c r="EU54" i="162"/>
  <c r="EU61" i="162"/>
  <c r="EU69" i="162"/>
  <c r="EU53" i="162"/>
  <c r="EU59" i="162"/>
  <c r="EU67" i="162"/>
  <c r="EU58" i="162"/>
  <c r="EU66" i="162"/>
  <c r="EU57" i="162"/>
  <c r="EU65" i="162"/>
  <c r="EU56" i="162"/>
  <c r="EU64" i="162"/>
  <c r="EU55" i="162"/>
  <c r="M100" i="113"/>
  <c r="G138" i="100"/>
  <c r="I138" i="100" s="1"/>
  <c r="J138" i="100" s="1"/>
  <c r="G137" i="100"/>
  <c r="I137" i="100" s="1"/>
  <c r="J137" i="100" s="1"/>
  <c r="M137" i="100" s="1"/>
  <c r="J91" i="100"/>
  <c r="W91" i="100" s="1"/>
  <c r="I91" i="100"/>
  <c r="V91" i="100" s="1"/>
  <c r="H91" i="100"/>
  <c r="U91" i="100" s="1"/>
  <c r="G136" i="100"/>
  <c r="I136" i="100" s="1"/>
  <c r="J136" i="100" s="1"/>
  <c r="M136" i="100" s="1"/>
  <c r="G134" i="100"/>
  <c r="I134" i="100" s="1"/>
  <c r="J134" i="100" s="1"/>
  <c r="BK44" i="169"/>
  <c r="BM44" i="169" s="1"/>
  <c r="H44" i="159"/>
  <c r="U44" i="159" s="1"/>
  <c r="DU54" i="162"/>
  <c r="DU71" i="162" s="1"/>
  <c r="DN71" i="162"/>
  <c r="AO238" i="61"/>
  <c r="H45" i="159"/>
  <c r="U45" i="159" s="1"/>
  <c r="BK45" i="169"/>
  <c r="BM45" i="169" s="1"/>
  <c r="S152" i="100"/>
  <c r="S160" i="100" s="1"/>
  <c r="G103" i="56" s="1"/>
  <c r="Q160" i="100"/>
  <c r="BD70" i="109"/>
  <c r="AC23" i="159"/>
  <c r="M39" i="100"/>
  <c r="AT186" i="61"/>
  <c r="BK51" i="169"/>
  <c r="BM51" i="169" s="1"/>
  <c r="BK47" i="169"/>
  <c r="BM47" i="169" s="1"/>
  <c r="H46" i="159"/>
  <c r="U46" i="159" s="1"/>
  <c r="BK42" i="169"/>
  <c r="BM42" i="169" s="1"/>
  <c r="H51" i="159"/>
  <c r="U51" i="159" s="1"/>
  <c r="H47" i="159"/>
  <c r="U47" i="159" s="1"/>
  <c r="BK49" i="169"/>
  <c r="BM49" i="169" s="1"/>
  <c r="H48" i="159"/>
  <c r="U48" i="159" s="1"/>
  <c r="H42" i="159"/>
  <c r="U42" i="159" s="1"/>
  <c r="BK46" i="169"/>
  <c r="BM46" i="169" s="1"/>
  <c r="BK50" i="169"/>
  <c r="BM50" i="169" s="1"/>
  <c r="BK48" i="169"/>
  <c r="BM48" i="169" s="1"/>
  <c r="H43" i="159"/>
  <c r="U43" i="159" s="1"/>
  <c r="BK43" i="169"/>
  <c r="BM43" i="169" s="1"/>
  <c r="CL53" i="169"/>
  <c r="V32" i="159"/>
  <c r="CT70" i="109"/>
  <c r="BJ70" i="109"/>
  <c r="BZ71" i="162"/>
  <c r="CA54" i="162"/>
  <c r="CA71" i="162" s="1"/>
  <c r="AM228" i="61"/>
  <c r="AP228" i="61" s="1"/>
  <c r="AM220" i="61"/>
  <c r="AP220" i="61" s="1"/>
  <c r="AM218" i="61"/>
  <c r="AP218" i="61" s="1"/>
  <c r="AM229" i="61"/>
  <c r="AP229" i="61" s="1"/>
  <c r="AM236" i="61"/>
  <c r="AP236" i="61" s="1"/>
  <c r="AP109" i="61"/>
  <c r="AP106" i="61"/>
  <c r="T27" i="159"/>
  <c r="T22" i="159"/>
  <c r="T20" i="159"/>
  <c r="U22" i="159"/>
  <c r="U17" i="159"/>
  <c r="S20" i="159"/>
  <c r="S25" i="159"/>
  <c r="S23" i="159"/>
  <c r="T25" i="159"/>
  <c r="T14" i="159"/>
  <c r="T12" i="159"/>
  <c r="R5" i="159"/>
  <c r="Y121" i="109"/>
  <c r="C7" i="149"/>
  <c r="E335" i="61"/>
  <c r="K125" i="61"/>
  <c r="T16" i="159"/>
  <c r="T29" i="159"/>
  <c r="X25" i="159"/>
  <c r="X28" i="159"/>
  <c r="X30" i="159"/>
  <c r="X26" i="159"/>
  <c r="X21" i="159"/>
  <c r="X19" i="159"/>
  <c r="X29" i="159"/>
  <c r="X16" i="159"/>
  <c r="X23" i="159"/>
  <c r="X15" i="159"/>
  <c r="AV47" i="169"/>
  <c r="AV46" i="169"/>
  <c r="AV45" i="169"/>
  <c r="AV44" i="169"/>
  <c r="AV48" i="169"/>
  <c r="AV50" i="169"/>
  <c r="AV51" i="169"/>
  <c r="AV43" i="169"/>
  <c r="AV49" i="169"/>
  <c r="AP115" i="61"/>
  <c r="AP108" i="61"/>
  <c r="T23" i="159"/>
  <c r="U28" i="159"/>
  <c r="U26" i="159"/>
  <c r="S14" i="159"/>
  <c r="X13" i="159"/>
  <c r="O160" i="100"/>
  <c r="DI45" i="169"/>
  <c r="E337" i="61"/>
  <c r="C33" i="149"/>
  <c r="E361" i="61"/>
  <c r="C18" i="149"/>
  <c r="C13" i="149"/>
  <c r="E301" i="61"/>
  <c r="D322" i="61"/>
  <c r="C66" i="65"/>
  <c r="AC32" i="157"/>
  <c r="O124" i="100"/>
  <c r="W119" i="100"/>
  <c r="Y119" i="100" s="1"/>
  <c r="E27" i="61"/>
  <c r="AH35" i="169"/>
  <c r="C84" i="65"/>
  <c r="E341" i="61"/>
  <c r="BO99" i="109"/>
  <c r="C14" i="149"/>
  <c r="E342" i="61"/>
  <c r="E358" i="61"/>
  <c r="C30" i="149"/>
  <c r="C23" i="149"/>
  <c r="C10" i="149"/>
  <c r="J52" i="86"/>
  <c r="E536" i="61"/>
  <c r="F39" i="149"/>
  <c r="E421" i="61"/>
  <c r="B43" i="165" s="1"/>
  <c r="AU40" i="169"/>
  <c r="AV40" i="169"/>
  <c r="M46" i="169"/>
  <c r="N46" i="169" s="1"/>
  <c r="M42" i="169"/>
  <c r="N42" i="169" s="1"/>
  <c r="M48" i="169"/>
  <c r="N48" i="169" s="1"/>
  <c r="M43" i="169"/>
  <c r="N43" i="169" s="1"/>
  <c r="M49" i="169"/>
  <c r="N49" i="169" s="1"/>
  <c r="M50" i="169"/>
  <c r="N50" i="169" s="1"/>
  <c r="M44" i="169"/>
  <c r="N44" i="169" s="1"/>
  <c r="W121" i="100"/>
  <c r="Y121" i="100" s="1"/>
  <c r="W116" i="100"/>
  <c r="Y116" i="100" s="1"/>
  <c r="W113" i="100"/>
  <c r="E25" i="61"/>
  <c r="E246" i="61"/>
  <c r="D11" i="133"/>
  <c r="B63" i="165" s="1"/>
  <c r="E526" i="61"/>
  <c r="E534" i="61"/>
  <c r="E551" i="61"/>
  <c r="I8" i="159"/>
  <c r="L142" i="113"/>
  <c r="H39" i="149"/>
  <c r="E364" i="61"/>
  <c r="E22" i="61"/>
  <c r="J54" i="86"/>
  <c r="E537" i="61"/>
  <c r="E528" i="61"/>
  <c r="E548" i="61"/>
  <c r="E559" i="61"/>
  <c r="D43" i="133"/>
  <c r="E348" i="61"/>
  <c r="C34" i="65"/>
  <c r="J50" i="86"/>
  <c r="D319" i="61"/>
  <c r="D36" i="133"/>
  <c r="B66" i="165" s="1"/>
  <c r="E247" i="61"/>
  <c r="E150" i="61"/>
  <c r="Y325" i="61"/>
  <c r="AC325" i="61" s="1"/>
  <c r="E149" i="61"/>
  <c r="J47" i="86"/>
  <c r="J44" i="86"/>
  <c r="J46" i="86"/>
  <c r="J48" i="86"/>
  <c r="J49" i="86"/>
  <c r="J45" i="86"/>
  <c r="J51" i="86"/>
  <c r="E298" i="61"/>
  <c r="D320" i="61"/>
  <c r="E299" i="61"/>
  <c r="M45" i="169"/>
  <c r="N45" i="169" s="1"/>
  <c r="D54" i="149"/>
  <c r="H54" i="149" s="1"/>
  <c r="F38" i="149"/>
  <c r="AB16" i="159"/>
  <c r="AB29" i="159"/>
  <c r="X19" i="100"/>
  <c r="N124" i="100"/>
  <c r="AB23" i="159"/>
  <c r="AB21" i="159"/>
  <c r="D52" i="149"/>
  <c r="H52" i="149" s="1"/>
  <c r="AB18" i="159"/>
  <c r="AB30" i="159"/>
  <c r="AB20" i="159"/>
  <c r="AB75" i="160"/>
  <c r="D53" i="149" s="1"/>
  <c r="H53" i="149" s="1"/>
  <c r="F124" i="100"/>
  <c r="H142" i="113"/>
  <c r="AB25" i="159"/>
  <c r="AB22" i="159"/>
  <c r="Y69" i="160"/>
  <c r="Y65" i="160"/>
  <c r="Y73" i="160"/>
  <c r="Y70" i="160"/>
  <c r="Y71" i="160"/>
  <c r="Y75" i="160" s="1"/>
  <c r="D51" i="149" s="1"/>
  <c r="H51" i="149" s="1"/>
  <c r="Y68" i="160"/>
  <c r="V124" i="100"/>
  <c r="AC75" i="160"/>
  <c r="T124" i="100"/>
  <c r="AE75" i="160"/>
  <c r="F84" i="160"/>
  <c r="F81" i="160"/>
  <c r="BI99" i="109"/>
  <c r="BP81" i="109"/>
  <c r="BP99" i="109" s="1"/>
  <c r="P32" i="100"/>
  <c r="P33" i="100"/>
  <c r="S76" i="100"/>
  <c r="U13" i="100"/>
  <c r="V80" i="100"/>
  <c r="Q79" i="100"/>
  <c r="N40" i="100"/>
  <c r="DQ62" i="109"/>
  <c r="EF62" i="109" s="1"/>
  <c r="EH62" i="109" s="1"/>
  <c r="L18" i="154" s="1"/>
  <c r="V15" i="100"/>
  <c r="V13" i="100"/>
  <c r="V72" i="100"/>
  <c r="Q73" i="100"/>
  <c r="Q75" i="100"/>
  <c r="X16" i="100"/>
  <c r="V21" i="100"/>
  <c r="V77" i="100"/>
  <c r="Q74" i="100"/>
  <c r="X18" i="100"/>
  <c r="I124" i="100"/>
  <c r="V81" i="100"/>
  <c r="Q72" i="100"/>
  <c r="X20" i="100"/>
  <c r="N38" i="100"/>
  <c r="V76" i="100"/>
  <c r="Q80" i="100"/>
  <c r="X21" i="100"/>
  <c r="AD90" i="100"/>
  <c r="AA78" i="100"/>
  <c r="V20" i="100"/>
  <c r="V73" i="100"/>
  <c r="V75" i="100"/>
  <c r="Q78" i="100"/>
  <c r="X13" i="100"/>
  <c r="AA74" i="100"/>
  <c r="V18" i="100"/>
  <c r="V17" i="100"/>
  <c r="V79" i="100"/>
  <c r="V78" i="100"/>
  <c r="Q76" i="100"/>
  <c r="X17" i="100"/>
  <c r="V16" i="100"/>
  <c r="V14" i="100"/>
  <c r="Q81" i="100"/>
  <c r="X15" i="100"/>
  <c r="X14" i="100"/>
  <c r="DH45" i="169"/>
  <c r="DJ45" i="169" s="1"/>
  <c r="AL97" i="113"/>
  <c r="AL96" i="113"/>
  <c r="W75" i="100"/>
  <c r="DQ64" i="109"/>
  <c r="EF64" i="109" s="1"/>
  <c r="EH64" i="109" s="1"/>
  <c r="L20" i="154" s="1"/>
  <c r="DQ52" i="109"/>
  <c r="EF52" i="109" s="1"/>
  <c r="EH52" i="109" s="1"/>
  <c r="L8" i="154" s="1"/>
  <c r="CF86" i="109"/>
  <c r="CQ86" i="109" s="1"/>
  <c r="CS86" i="109" s="1"/>
  <c r="L32" i="154" s="1"/>
  <c r="P37" i="100"/>
  <c r="DX66" i="161"/>
  <c r="EM66" i="161" s="1"/>
  <c r="EO66" i="161" s="1"/>
  <c r="L73" i="154" s="1"/>
  <c r="AL85" i="113"/>
  <c r="U20" i="100"/>
  <c r="P34" i="100"/>
  <c r="P39" i="100"/>
  <c r="S110" i="100"/>
  <c r="O34" i="100"/>
  <c r="P35" i="100"/>
  <c r="P41" i="100"/>
  <c r="J83" i="100"/>
  <c r="P38" i="100"/>
  <c r="DX61" i="161"/>
  <c r="EM61" i="161" s="1"/>
  <c r="EO61" i="161" s="1"/>
  <c r="L68" i="154" s="1"/>
  <c r="DQ60" i="109"/>
  <c r="EF60" i="109" s="1"/>
  <c r="EH60" i="109" s="1"/>
  <c r="L16" i="154" s="1"/>
  <c r="BD182" i="113"/>
  <c r="P36" i="100"/>
  <c r="AO114" i="109"/>
  <c r="AX114" i="109" s="1"/>
  <c r="AZ114" i="109" s="1"/>
  <c r="BB114" i="109" s="1"/>
  <c r="L50" i="154" s="1"/>
  <c r="Z74" i="100"/>
  <c r="AB80" i="100"/>
  <c r="T80" i="100"/>
  <c r="Z75" i="100"/>
  <c r="T72" i="100"/>
  <c r="U18" i="100"/>
  <c r="O39" i="100"/>
  <c r="O32" i="100"/>
  <c r="U19" i="100"/>
  <c r="O33" i="100"/>
  <c r="O37" i="100"/>
  <c r="U14" i="100"/>
  <c r="O36" i="100"/>
  <c r="Y81" i="100"/>
  <c r="Y73" i="100"/>
  <c r="U16" i="100"/>
  <c r="O35" i="100"/>
  <c r="AY162" i="113"/>
  <c r="U21" i="100"/>
  <c r="O40" i="100"/>
  <c r="U15" i="100"/>
  <c r="U17" i="100"/>
  <c r="U90" i="100"/>
  <c r="O83" i="100"/>
  <c r="Q37" i="100"/>
  <c r="Q36" i="100"/>
  <c r="CF88" i="109"/>
  <c r="CQ88" i="109" s="1"/>
  <c r="CS88" i="109" s="1"/>
  <c r="L34" i="154" s="1"/>
  <c r="S19" i="100"/>
  <c r="Q9" i="100"/>
  <c r="W52" i="100"/>
  <c r="Y52" i="100" s="1"/>
  <c r="S15" i="100"/>
  <c r="W69" i="100"/>
  <c r="N49" i="100"/>
  <c r="AO127" i="113"/>
  <c r="S18" i="100"/>
  <c r="N104" i="100"/>
  <c r="S14" i="100"/>
  <c r="S16" i="100"/>
  <c r="S13" i="100"/>
  <c r="DX55" i="161"/>
  <c r="EM55" i="161" s="1"/>
  <c r="EO55" i="161" s="1"/>
  <c r="L62" i="154" s="1"/>
  <c r="AY146" i="113"/>
  <c r="DQ53" i="109"/>
  <c r="EF53" i="109" s="1"/>
  <c r="EH53" i="109" s="1"/>
  <c r="L9" i="154" s="1"/>
  <c r="S21" i="100"/>
  <c r="S17" i="100"/>
  <c r="CF95" i="109"/>
  <c r="CQ95" i="109" s="1"/>
  <c r="CS95" i="109" s="1"/>
  <c r="L41" i="154" s="1"/>
  <c r="AO116" i="113"/>
  <c r="R14" i="100"/>
  <c r="T81" i="100"/>
  <c r="T77" i="100"/>
  <c r="DI47" i="169"/>
  <c r="T73" i="100"/>
  <c r="DQ66" i="109"/>
  <c r="EF66" i="109" s="1"/>
  <c r="EH66" i="109" s="1"/>
  <c r="L22" i="154" s="1"/>
  <c r="T76" i="100"/>
  <c r="H23" i="100"/>
  <c r="P83" i="100"/>
  <c r="AY155" i="113"/>
  <c r="AL87" i="113"/>
  <c r="T78" i="100"/>
  <c r="W55" i="100"/>
  <c r="Y55" i="100" s="1"/>
  <c r="AO120" i="113"/>
  <c r="AO128" i="113"/>
  <c r="T79" i="100"/>
  <c r="AL83" i="113"/>
  <c r="BD181" i="113"/>
  <c r="T75" i="100"/>
  <c r="AL95" i="113"/>
  <c r="DI43" i="169"/>
  <c r="S72" i="100"/>
  <c r="R80" i="100"/>
  <c r="F83" i="100"/>
  <c r="EK57" i="162"/>
  <c r="EZ57" i="162" s="1"/>
  <c r="FB57" i="162" s="1"/>
  <c r="L83" i="154" s="1"/>
  <c r="AL91" i="113"/>
  <c r="BD183" i="113"/>
  <c r="AL84" i="113"/>
  <c r="N41" i="100"/>
  <c r="AA72" i="100"/>
  <c r="S79" i="100"/>
  <c r="R76" i="100"/>
  <c r="N33" i="100"/>
  <c r="AA80" i="100"/>
  <c r="AA79" i="100"/>
  <c r="S74" i="100"/>
  <c r="R79" i="100"/>
  <c r="M83" i="100"/>
  <c r="S90" i="100"/>
  <c r="N32" i="100"/>
  <c r="AA76" i="100"/>
  <c r="AA75" i="100"/>
  <c r="S78" i="100"/>
  <c r="S77" i="100"/>
  <c r="U74" i="100"/>
  <c r="R75" i="100"/>
  <c r="R74" i="100"/>
  <c r="L23" i="100"/>
  <c r="AY157" i="113"/>
  <c r="N34" i="100"/>
  <c r="AA81" i="100"/>
  <c r="S75" i="100"/>
  <c r="S80" i="100"/>
  <c r="R78" i="100"/>
  <c r="AB90" i="100"/>
  <c r="I83" i="100"/>
  <c r="N39" i="100"/>
  <c r="N36" i="100"/>
  <c r="AA77" i="100"/>
  <c r="S81" i="100"/>
  <c r="R77" i="100"/>
  <c r="G23" i="100"/>
  <c r="J23" i="100"/>
  <c r="W56" i="100"/>
  <c r="Y56" i="100" s="1"/>
  <c r="AB79" i="100"/>
  <c r="N35" i="100"/>
  <c r="R81" i="100"/>
  <c r="Y79" i="100"/>
  <c r="Y78" i="100"/>
  <c r="AB81" i="100"/>
  <c r="AB75" i="100"/>
  <c r="T19" i="100"/>
  <c r="DI44" i="169"/>
  <c r="DI50" i="169"/>
  <c r="EK61" i="162"/>
  <c r="EZ61" i="162" s="1"/>
  <c r="FB61" i="162" s="1"/>
  <c r="L87" i="154" s="1"/>
  <c r="Y75" i="100"/>
  <c r="Y74" i="100"/>
  <c r="AB77" i="100"/>
  <c r="DI42" i="169"/>
  <c r="W90" i="100"/>
  <c r="W60" i="100"/>
  <c r="Y60" i="100" s="1"/>
  <c r="X104" i="100"/>
  <c r="AL92" i="113"/>
  <c r="CF84" i="109"/>
  <c r="CQ84" i="109" s="1"/>
  <c r="CF94" i="109"/>
  <c r="CQ94" i="109" s="1"/>
  <c r="CS94" i="109" s="1"/>
  <c r="L40" i="154" s="1"/>
  <c r="DB43" i="169"/>
  <c r="CF82" i="109"/>
  <c r="CQ82" i="109" s="1"/>
  <c r="CS82" i="109" s="1"/>
  <c r="L28" i="154" s="1"/>
  <c r="Y80" i="100"/>
  <c r="AB73" i="100"/>
  <c r="DI51" i="169"/>
  <c r="X90" i="100"/>
  <c r="DQ54" i="109"/>
  <c r="EF54" i="109" s="1"/>
  <c r="EH54" i="109" s="1"/>
  <c r="L10" i="154" s="1"/>
  <c r="Y76" i="100"/>
  <c r="AB76" i="100"/>
  <c r="DI49" i="169"/>
  <c r="CF97" i="109"/>
  <c r="CQ97" i="109" s="1"/>
  <c r="CS97" i="109" s="1"/>
  <c r="L43" i="154" s="1"/>
  <c r="CF96" i="109"/>
  <c r="CQ96" i="109" s="1"/>
  <c r="CS96" i="109" s="1"/>
  <c r="L42" i="154" s="1"/>
  <c r="AO111" i="109"/>
  <c r="AX111" i="109" s="1"/>
  <c r="AZ111" i="109" s="1"/>
  <c r="BB111" i="109" s="1"/>
  <c r="L47" i="154" s="1"/>
  <c r="Y72" i="100"/>
  <c r="AB78" i="100"/>
  <c r="DI46" i="169"/>
  <c r="DJ46" i="169" s="1"/>
  <c r="DX64" i="161"/>
  <c r="EM64" i="161" s="1"/>
  <c r="EO64" i="161" s="1"/>
  <c r="L71" i="154" s="1"/>
  <c r="AB74" i="100"/>
  <c r="E43" i="100"/>
  <c r="DQ65" i="109"/>
  <c r="EF65" i="109" s="1"/>
  <c r="EH65" i="109" s="1"/>
  <c r="L21" i="154" s="1"/>
  <c r="AO116" i="109"/>
  <c r="AX116" i="109" s="1"/>
  <c r="AZ116" i="109" s="1"/>
  <c r="BB116" i="109" s="1"/>
  <c r="L52" i="154" s="1"/>
  <c r="O137" i="100"/>
  <c r="P137" i="100" s="1"/>
  <c r="R137" i="100" s="1"/>
  <c r="EK59" i="162"/>
  <c r="EZ59" i="162" s="1"/>
  <c r="FB59" i="162" s="1"/>
  <c r="L85" i="154" s="1"/>
  <c r="AY153" i="113"/>
  <c r="Q13" i="100"/>
  <c r="CF89" i="109"/>
  <c r="CQ89" i="109" s="1"/>
  <c r="CS89" i="109" s="1"/>
  <c r="L35" i="154" s="1"/>
  <c r="O139" i="100"/>
  <c r="P139" i="100" s="1"/>
  <c r="R139" i="100" s="1"/>
  <c r="Z73" i="100"/>
  <c r="BD189" i="113"/>
  <c r="BD194" i="113"/>
  <c r="AO117" i="113"/>
  <c r="AL89" i="113"/>
  <c r="DX57" i="161"/>
  <c r="EM57" i="161" s="1"/>
  <c r="EO57" i="161" s="1"/>
  <c r="L64" i="154" s="1"/>
  <c r="Z78" i="100"/>
  <c r="G43" i="100"/>
  <c r="K23" i="100"/>
  <c r="P63" i="100"/>
  <c r="Z80" i="100"/>
  <c r="Z72" i="100"/>
  <c r="AO126" i="113"/>
  <c r="DX59" i="161"/>
  <c r="EM59" i="161" s="1"/>
  <c r="EO59" i="161" s="1"/>
  <c r="L66" i="154" s="1"/>
  <c r="AY152" i="113"/>
  <c r="AO129" i="113"/>
  <c r="AL90" i="113"/>
  <c r="Z76" i="100"/>
  <c r="Z79" i="100"/>
  <c r="EK63" i="162"/>
  <c r="EZ63" i="162" s="1"/>
  <c r="FB63" i="162" s="1"/>
  <c r="L89" i="154" s="1"/>
  <c r="AO124" i="113"/>
  <c r="EK65" i="162"/>
  <c r="EZ65" i="162" s="1"/>
  <c r="FB65" i="162" s="1"/>
  <c r="L91" i="154" s="1"/>
  <c r="AY161" i="113"/>
  <c r="AY151" i="113"/>
  <c r="AY159" i="113"/>
  <c r="AO110" i="109"/>
  <c r="AX110" i="109" s="1"/>
  <c r="AZ110" i="109" s="1"/>
  <c r="BB110" i="109" s="1"/>
  <c r="L46" i="154" s="1"/>
  <c r="EK60" i="162"/>
  <c r="EZ60" i="162" s="1"/>
  <c r="FB60" i="162" s="1"/>
  <c r="L86" i="154" s="1"/>
  <c r="AL82" i="113"/>
  <c r="AO112" i="109"/>
  <c r="AX112" i="109" s="1"/>
  <c r="AZ112" i="109" s="1"/>
  <c r="BB112" i="109" s="1"/>
  <c r="L48" i="154" s="1"/>
  <c r="AL93" i="113"/>
  <c r="AL98" i="113"/>
  <c r="EK64" i="162"/>
  <c r="EZ64" i="162" s="1"/>
  <c r="FB64" i="162" s="1"/>
  <c r="L90" i="154" s="1"/>
  <c r="CF83" i="109"/>
  <c r="CQ83" i="109" s="1"/>
  <c r="CS83" i="109" s="1"/>
  <c r="L29" i="154" s="1"/>
  <c r="Z81" i="100"/>
  <c r="V88" i="100"/>
  <c r="DQ59" i="109"/>
  <c r="EF59" i="109" s="1"/>
  <c r="EH59" i="109" s="1"/>
  <c r="L15" i="154" s="1"/>
  <c r="DB48" i="169"/>
  <c r="DX52" i="161"/>
  <c r="EK69" i="162"/>
  <c r="EZ69" i="162" s="1"/>
  <c r="FB69" i="162" s="1"/>
  <c r="L95" i="154" s="1"/>
  <c r="AY145" i="113"/>
  <c r="AO119" i="113"/>
  <c r="DQ55" i="109"/>
  <c r="EF55" i="109" s="1"/>
  <c r="EH55" i="109" s="1"/>
  <c r="L11" i="154" s="1"/>
  <c r="CF85" i="109"/>
  <c r="CQ85" i="109" s="1"/>
  <c r="CS85" i="109" s="1"/>
  <c r="L31" i="154" s="1"/>
  <c r="BD186" i="113"/>
  <c r="BD185" i="113"/>
  <c r="EK67" i="162"/>
  <c r="EZ67" i="162" s="1"/>
  <c r="FB67" i="162" s="1"/>
  <c r="L93" i="154" s="1"/>
  <c r="DB51" i="169"/>
  <c r="BD187" i="113"/>
  <c r="AY149" i="113"/>
  <c r="DX53" i="161"/>
  <c r="DX58" i="161"/>
  <c r="EM58" i="161" s="1"/>
  <c r="EO58" i="161" s="1"/>
  <c r="L65" i="154" s="1"/>
  <c r="AY156" i="113"/>
  <c r="AO115" i="109"/>
  <c r="AX115" i="109" s="1"/>
  <c r="AZ115" i="109" s="1"/>
  <c r="BB115" i="109" s="1"/>
  <c r="L51" i="154" s="1"/>
  <c r="DX68" i="161"/>
  <c r="EM68" i="161" s="1"/>
  <c r="EO68" i="161" s="1"/>
  <c r="L75" i="154" s="1"/>
  <c r="Q39" i="100"/>
  <c r="Q18" i="100"/>
  <c r="U77" i="100"/>
  <c r="DH49" i="169"/>
  <c r="F23" i="100"/>
  <c r="Q38" i="100"/>
  <c r="Q17" i="100"/>
  <c r="U72" i="100"/>
  <c r="DH48" i="169"/>
  <c r="DJ48" i="169" s="1"/>
  <c r="I104" i="100"/>
  <c r="H83" i="100"/>
  <c r="U104" i="100"/>
  <c r="Z104" i="100"/>
  <c r="AB104" i="100"/>
  <c r="S104" i="100"/>
  <c r="O133" i="100"/>
  <c r="P133" i="100" s="1"/>
  <c r="R133" i="100" s="1"/>
  <c r="Q35" i="100"/>
  <c r="Q34" i="100"/>
  <c r="Q15" i="100"/>
  <c r="U79" i="100"/>
  <c r="DH43" i="169"/>
  <c r="DH50" i="169"/>
  <c r="G124" i="100"/>
  <c r="W59" i="100"/>
  <c r="Y59" i="100" s="1"/>
  <c r="EK66" i="162"/>
  <c r="EZ66" i="162" s="1"/>
  <c r="FB66" i="162" s="1"/>
  <c r="L92" i="154" s="1"/>
  <c r="AO111" i="113"/>
  <c r="AY150" i="113"/>
  <c r="Q32" i="100"/>
  <c r="M37" i="100"/>
  <c r="Q21" i="100"/>
  <c r="U78" i="100"/>
  <c r="DH44" i="169"/>
  <c r="DH47" i="169"/>
  <c r="L104" i="100"/>
  <c r="U73" i="100"/>
  <c r="U76" i="100"/>
  <c r="DH42" i="169"/>
  <c r="Q41" i="100"/>
  <c r="AL79" i="113"/>
  <c r="AO117" i="109"/>
  <c r="AX117" i="109" s="1"/>
  <c r="AZ117" i="109" s="1"/>
  <c r="BB117" i="109" s="1"/>
  <c r="L53" i="154" s="1"/>
  <c r="DQ57" i="109"/>
  <c r="EF57" i="109" s="1"/>
  <c r="EH57" i="109" s="1"/>
  <c r="L13" i="154" s="1"/>
  <c r="EK58" i="162"/>
  <c r="EZ58" i="162" s="1"/>
  <c r="FB58" i="162" s="1"/>
  <c r="L84" i="154" s="1"/>
  <c r="DX60" i="161"/>
  <c r="EM60" i="161" s="1"/>
  <c r="EO60" i="161" s="1"/>
  <c r="L67" i="154" s="1"/>
  <c r="AY160" i="113"/>
  <c r="EK68" i="162"/>
  <c r="EZ68" i="162" s="1"/>
  <c r="FB68" i="162" s="1"/>
  <c r="L94" i="154" s="1"/>
  <c r="CF91" i="109"/>
  <c r="CQ91" i="109" s="1"/>
  <c r="CS91" i="109" s="1"/>
  <c r="L37" i="154" s="1"/>
  <c r="BD192" i="113"/>
  <c r="EK55" i="162"/>
  <c r="EZ55" i="162" s="1"/>
  <c r="FB55" i="162" s="1"/>
  <c r="L81" i="154" s="1"/>
  <c r="Q33" i="100"/>
  <c r="Q14" i="100"/>
  <c r="Q19" i="100"/>
  <c r="U80" i="100"/>
  <c r="DH51" i="169"/>
  <c r="F43" i="100"/>
  <c r="BD180" i="113"/>
  <c r="Q20" i="100"/>
  <c r="U81" i="100"/>
  <c r="T20" i="100"/>
  <c r="W57" i="100"/>
  <c r="Y57" i="100" s="1"/>
  <c r="AE101" i="100"/>
  <c r="AG101" i="100" s="1"/>
  <c r="DX63" i="161"/>
  <c r="EM63" i="161" s="1"/>
  <c r="EO63" i="161" s="1"/>
  <c r="L70" i="154" s="1"/>
  <c r="T18" i="100"/>
  <c r="I23" i="100"/>
  <c r="CF87" i="109"/>
  <c r="CQ87" i="109" s="1"/>
  <c r="CS87" i="109" s="1"/>
  <c r="L33" i="154" s="1"/>
  <c r="T13" i="100"/>
  <c r="AC90" i="100"/>
  <c r="L83" i="100"/>
  <c r="BD188" i="113"/>
  <c r="EK53" i="162"/>
  <c r="EZ53" i="162" s="1"/>
  <c r="FB53" i="162" s="1"/>
  <c r="L79" i="154" s="1"/>
  <c r="AL88" i="113"/>
  <c r="DB42" i="169"/>
  <c r="T17" i="100"/>
  <c r="T21" i="100"/>
  <c r="O136" i="100"/>
  <c r="P136" i="100" s="1"/>
  <c r="R136" i="100" s="1"/>
  <c r="AL86" i="113"/>
  <c r="DB44" i="169"/>
  <c r="AO118" i="109"/>
  <c r="AX118" i="109" s="1"/>
  <c r="AZ118" i="109" s="1"/>
  <c r="BB118" i="109" s="1"/>
  <c r="L54" i="154" s="1"/>
  <c r="AY154" i="113"/>
  <c r="AY158" i="113"/>
  <c r="CF93" i="109"/>
  <c r="CQ93" i="109" s="1"/>
  <c r="CS93" i="109" s="1"/>
  <c r="L39" i="154" s="1"/>
  <c r="EK56" i="162"/>
  <c r="EZ56" i="162" s="1"/>
  <c r="FB56" i="162" s="1"/>
  <c r="L82" i="154" s="1"/>
  <c r="AO112" i="113"/>
  <c r="DQ56" i="109"/>
  <c r="EF56" i="109" s="1"/>
  <c r="EH56" i="109" s="1"/>
  <c r="L12" i="154" s="1"/>
  <c r="BD193" i="113"/>
  <c r="AO118" i="113"/>
  <c r="AY163" i="113"/>
  <c r="AO122" i="113"/>
  <c r="AO125" i="113"/>
  <c r="AO113" i="113"/>
  <c r="AO113" i="109"/>
  <c r="AX113" i="109" s="1"/>
  <c r="AZ113" i="109" s="1"/>
  <c r="BB113" i="109" s="1"/>
  <c r="L49" i="154" s="1"/>
  <c r="AL80" i="113"/>
  <c r="DX62" i="161"/>
  <c r="EM62" i="161" s="1"/>
  <c r="EO62" i="161" s="1"/>
  <c r="L69" i="154" s="1"/>
  <c r="DB50" i="169"/>
  <c r="BD190" i="113"/>
  <c r="CF92" i="109"/>
  <c r="CQ92" i="109" s="1"/>
  <c r="CS92" i="109" s="1"/>
  <c r="L38" i="154" s="1"/>
  <c r="AY147" i="113"/>
  <c r="DB49" i="169"/>
  <c r="AL81" i="113"/>
  <c r="DX56" i="161"/>
  <c r="EM56" i="161" s="1"/>
  <c r="EO56" i="161" s="1"/>
  <c r="L63" i="154" s="1"/>
  <c r="BD178" i="113"/>
  <c r="AY144" i="113"/>
  <c r="DB45" i="169"/>
  <c r="T15" i="100"/>
  <c r="T14" i="100"/>
  <c r="F63" i="100"/>
  <c r="W58" i="100"/>
  <c r="Y58" i="100" s="1"/>
  <c r="W88" i="100"/>
  <c r="R20" i="100"/>
  <c r="R18" i="100"/>
  <c r="R21" i="100"/>
  <c r="W21" i="100"/>
  <c r="N83" i="100"/>
  <c r="CF81" i="109"/>
  <c r="R13" i="100"/>
  <c r="W15" i="100"/>
  <c r="E124" i="100"/>
  <c r="R17" i="100"/>
  <c r="W14" i="100"/>
  <c r="W104" i="100"/>
  <c r="AD104" i="100"/>
  <c r="R16" i="100"/>
  <c r="DQ67" i="109"/>
  <c r="EF67" i="109" s="1"/>
  <c r="EH67" i="109" s="1"/>
  <c r="L23" i="154" s="1"/>
  <c r="DQ61" i="109"/>
  <c r="EF61" i="109" s="1"/>
  <c r="EH61" i="109" s="1"/>
  <c r="L17" i="154" s="1"/>
  <c r="AO115" i="113"/>
  <c r="AO114" i="113"/>
  <c r="BD179" i="113"/>
  <c r="EK62" i="162"/>
  <c r="EZ62" i="162" s="1"/>
  <c r="FB62" i="162" s="1"/>
  <c r="L88" i="154" s="1"/>
  <c r="AO121" i="113"/>
  <c r="BD177" i="113"/>
  <c r="DQ58" i="109"/>
  <c r="EF58" i="109" s="1"/>
  <c r="EH58" i="109" s="1"/>
  <c r="L14" i="154" s="1"/>
  <c r="AO119" i="109"/>
  <c r="AX119" i="109" s="1"/>
  <c r="AZ119" i="109" s="1"/>
  <c r="BB119" i="109" s="1"/>
  <c r="L55" i="154" s="1"/>
  <c r="EK54" i="162"/>
  <c r="DX65" i="161"/>
  <c r="EM65" i="161" s="1"/>
  <c r="EO65" i="161" s="1"/>
  <c r="L72" i="154" s="1"/>
  <c r="AL94" i="113"/>
  <c r="DB46" i="169"/>
  <c r="DX67" i="161"/>
  <c r="EM67" i="161" s="1"/>
  <c r="EO67" i="161" s="1"/>
  <c r="L74" i="154" s="1"/>
  <c r="BD176" i="113"/>
  <c r="R15" i="100"/>
  <c r="W61" i="100"/>
  <c r="Y61" i="100" s="1"/>
  <c r="W53" i="100"/>
  <c r="Y53" i="100" s="1"/>
  <c r="O63" i="100"/>
  <c r="R104" i="100"/>
  <c r="AE102" i="100"/>
  <c r="AG102" i="100" s="1"/>
  <c r="AE100" i="100"/>
  <c r="AG100" i="100" s="1"/>
  <c r="AE98" i="100"/>
  <c r="AG98" i="100" s="1"/>
  <c r="AE97" i="100"/>
  <c r="AG97" i="100" s="1"/>
  <c r="V104" i="100"/>
  <c r="AE95" i="100"/>
  <c r="AG95" i="100" s="1"/>
  <c r="AE94" i="100"/>
  <c r="AG94" i="100" s="1"/>
  <c r="AC104" i="100"/>
  <c r="T104" i="100"/>
  <c r="CF90" i="109"/>
  <c r="CQ90" i="109" s="1"/>
  <c r="CS90" i="109" s="1"/>
  <c r="L36" i="154" s="1"/>
  <c r="BD191" i="113"/>
  <c r="AO123" i="113"/>
  <c r="BD184" i="113"/>
  <c r="DX54" i="161"/>
  <c r="EM54" i="161" s="1"/>
  <c r="EO54" i="161" s="1"/>
  <c r="L61" i="154" s="1"/>
  <c r="AO130" i="113"/>
  <c r="R19" i="100"/>
  <c r="Q69" i="100"/>
  <c r="G104" i="100"/>
  <c r="E104" i="100"/>
  <c r="M104" i="100"/>
  <c r="O135" i="100"/>
  <c r="M135" i="100"/>
  <c r="O140" i="100"/>
  <c r="M140" i="100"/>
  <c r="U88" i="100"/>
  <c r="AD88" i="100"/>
  <c r="M134" i="100"/>
  <c r="O134" i="100"/>
  <c r="M132" i="100"/>
  <c r="O132" i="100"/>
  <c r="X88" i="100"/>
  <c r="DQ63" i="109"/>
  <c r="EF63" i="109" s="1"/>
  <c r="EH63" i="109" s="1"/>
  <c r="L19" i="154" s="1"/>
  <c r="O138" i="100"/>
  <c r="M138" i="100"/>
  <c r="DQ68" i="109"/>
  <c r="BD195" i="113"/>
  <c r="AY148" i="113"/>
  <c r="DB47" i="169"/>
  <c r="O141" i="100"/>
  <c r="M141" i="100"/>
  <c r="M32" i="100"/>
  <c r="X78" i="100"/>
  <c r="X73" i="100"/>
  <c r="W79" i="100"/>
  <c r="W17" i="100"/>
  <c r="W12" i="100"/>
  <c r="AC12" i="100" s="1"/>
  <c r="S69" i="100"/>
  <c r="T110" i="100"/>
  <c r="W54" i="100"/>
  <c r="Y54" i="100" s="1"/>
  <c r="Y104" i="100"/>
  <c r="AE99" i="100"/>
  <c r="AG99" i="100" s="1"/>
  <c r="Q110" i="100"/>
  <c r="G63" i="100"/>
  <c r="AE93" i="100"/>
  <c r="L124" i="100"/>
  <c r="M35" i="100"/>
  <c r="X75" i="100"/>
  <c r="W72" i="100"/>
  <c r="M38" i="100"/>
  <c r="X74" i="100"/>
  <c r="W80" i="100"/>
  <c r="W20" i="100"/>
  <c r="AA104" i="100"/>
  <c r="M36" i="100"/>
  <c r="X80" i="100"/>
  <c r="W76" i="100"/>
  <c r="W16" i="100"/>
  <c r="M41" i="100"/>
  <c r="M34" i="100"/>
  <c r="X76" i="100"/>
  <c r="W81" i="100"/>
  <c r="W19" i="100"/>
  <c r="AE96" i="100"/>
  <c r="AG96" i="100" s="1"/>
  <c r="M124" i="100"/>
  <c r="M33" i="100"/>
  <c r="X81" i="100"/>
  <c r="W78" i="100"/>
  <c r="W77" i="100"/>
  <c r="W13" i="100"/>
  <c r="N63" i="100"/>
  <c r="X72" i="100"/>
  <c r="W74" i="100"/>
  <c r="J59" i="154"/>
  <c r="AZ52" i="161"/>
  <c r="BB52" i="161" s="1"/>
  <c r="AI52" i="161"/>
  <c r="AK52" i="161" s="1"/>
  <c r="D59" i="154"/>
  <c r="DA52" i="161"/>
  <c r="BO52" i="161"/>
  <c r="BQ52" i="161" s="1"/>
  <c r="BJ52" i="161"/>
  <c r="BD52" i="161"/>
  <c r="AM53" i="161"/>
  <c r="AU53" i="161"/>
  <c r="AQ53" i="161"/>
  <c r="BJ53" i="161"/>
  <c r="BD53" i="161"/>
  <c r="BB70" i="161"/>
  <c r="D139" i="165" s="1"/>
  <c r="AK70" i="161"/>
  <c r="D137" i="165" s="1"/>
  <c r="CW53" i="161"/>
  <c r="AE52" i="161"/>
  <c r="AE70" i="161" s="1"/>
  <c r="AA70" i="161"/>
  <c r="D135" i="165" s="1"/>
  <c r="T66" i="113" l="1"/>
  <c r="U45" i="113"/>
  <c r="AA45" i="113" s="1"/>
  <c r="P13" i="113" s="1"/>
  <c r="P34" i="113" s="1"/>
  <c r="BK70" i="109"/>
  <c r="AV70" i="109"/>
  <c r="EF68" i="109"/>
  <c r="EH68" i="109" s="1"/>
  <c r="L24" i="154" s="1"/>
  <c r="G64" i="56"/>
  <c r="H64" i="56" s="1"/>
  <c r="K40" i="109"/>
  <c r="F64" i="56" s="1"/>
  <c r="K89" i="160"/>
  <c r="F92" i="56" s="1"/>
  <c r="J89" i="160"/>
  <c r="G92" i="56" s="1"/>
  <c r="H92" i="56" s="1"/>
  <c r="D92" i="56"/>
  <c r="B72" i="165"/>
  <c r="AA8" i="159"/>
  <c r="V8" i="159"/>
  <c r="B73" i="165" a="1"/>
  <c r="B73" i="165" s="1"/>
  <c r="AT51" i="169"/>
  <c r="F1" i="101"/>
  <c r="D15" i="126"/>
  <c r="E550" i="61"/>
  <c r="E249" i="61"/>
  <c r="C109" i="65"/>
  <c r="E350" i="61"/>
  <c r="E344" i="61"/>
  <c r="D33" i="126"/>
  <c r="D21" i="133"/>
  <c r="E530" i="61"/>
  <c r="E36" i="61"/>
  <c r="E355" i="61"/>
  <c r="E338" i="61"/>
  <c r="D23" i="126"/>
  <c r="E494" i="61"/>
  <c r="E527" i="61"/>
  <c r="E38" i="61"/>
  <c r="E357" i="61"/>
  <c r="E360" i="61"/>
  <c r="E11" i="86"/>
  <c r="C64" i="65"/>
  <c r="C40" i="149"/>
  <c r="F40" i="149" s="1"/>
  <c r="H40" i="149" s="1"/>
  <c r="E561" i="61"/>
  <c r="E352" i="61"/>
  <c r="E363" i="61"/>
  <c r="E106" i="160"/>
  <c r="E345" i="61"/>
  <c r="E362" i="61"/>
  <c r="E96" i="160"/>
  <c r="D9" i="133"/>
  <c r="C32" i="65"/>
  <c r="E339" i="61"/>
  <c r="E347" i="61"/>
  <c r="F27" i="149" s="1"/>
  <c r="H27" i="149" s="1"/>
  <c r="E11" i="61"/>
  <c r="E55" i="61"/>
  <c r="E144" i="61"/>
  <c r="E336" i="61"/>
  <c r="E343" i="61"/>
  <c r="F25" i="149" s="1"/>
  <c r="H25" i="149" s="1"/>
  <c r="E408" i="61"/>
  <c r="F42" i="149" s="1"/>
  <c r="H42" i="149" s="1"/>
  <c r="C94" i="65"/>
  <c r="E398" i="61"/>
  <c r="E356" i="61"/>
  <c r="E349" i="61"/>
  <c r="D30" i="126"/>
  <c r="AC32" i="159"/>
  <c r="K145" i="61"/>
  <c r="M145" i="61" s="1"/>
  <c r="K194" i="61"/>
  <c r="M194" i="61" s="1"/>
  <c r="E452" i="61"/>
  <c r="B49" i="165" s="1"/>
  <c r="BS96" i="86"/>
  <c r="Q29" i="100"/>
  <c r="I43" i="100"/>
  <c r="N20" i="86"/>
  <c r="P20" i="86" s="1"/>
  <c r="AT43" i="169"/>
  <c r="AD15" i="159"/>
  <c r="AD18" i="159"/>
  <c r="AD21" i="159"/>
  <c r="AD11" i="159"/>
  <c r="AD19" i="159"/>
  <c r="AD29" i="159"/>
  <c r="AD16" i="159"/>
  <c r="AD27" i="159"/>
  <c r="AD14" i="159"/>
  <c r="AD24" i="159"/>
  <c r="AD28" i="159"/>
  <c r="AD22" i="159"/>
  <c r="AD17" i="159"/>
  <c r="AD30" i="159"/>
  <c r="AD25" i="159"/>
  <c r="AD20" i="159"/>
  <c r="AD12" i="159"/>
  <c r="AD26" i="159"/>
  <c r="AD13" i="159"/>
  <c r="AD23" i="159"/>
  <c r="H27" i="136"/>
  <c r="B3" i="136" s="1"/>
  <c r="F37" i="149"/>
  <c r="H37" i="149" s="1"/>
  <c r="AT53" i="169"/>
  <c r="H110" i="56"/>
  <c r="Z66" i="113"/>
  <c r="H108" i="56"/>
  <c r="BT75" i="86"/>
  <c r="BS75" i="86"/>
  <c r="S32" i="159"/>
  <c r="BS85" i="86"/>
  <c r="BT85" i="86"/>
  <c r="BS84" i="86"/>
  <c r="BT84" i="86"/>
  <c r="H104" i="56"/>
  <c r="BT95" i="86"/>
  <c r="BS95" i="86"/>
  <c r="BT97" i="86"/>
  <c r="BS97" i="86"/>
  <c r="BT71" i="86"/>
  <c r="BS71" i="86"/>
  <c r="BS89" i="86"/>
  <c r="BT89" i="86"/>
  <c r="BT92" i="86"/>
  <c r="BS92" i="86"/>
  <c r="V40" i="100"/>
  <c r="X40" i="100" s="1"/>
  <c r="BS88" i="86"/>
  <c r="BT88" i="86"/>
  <c r="BS70" i="86"/>
  <c r="BT70" i="86"/>
  <c r="BM100" i="86"/>
  <c r="CM99" i="109"/>
  <c r="BT86" i="86"/>
  <c r="BS86" i="86"/>
  <c r="BT74" i="86"/>
  <c r="BS74" i="86"/>
  <c r="BL71" i="162"/>
  <c r="BT77" i="86"/>
  <c r="BS77" i="86"/>
  <c r="BS73" i="86"/>
  <c r="BT73" i="86"/>
  <c r="X32" i="159"/>
  <c r="U32" i="159"/>
  <c r="EU71" i="162"/>
  <c r="BS81" i="86"/>
  <c r="BT81" i="86"/>
  <c r="BT79" i="86"/>
  <c r="BS79" i="86"/>
  <c r="BP69" i="86"/>
  <c r="BT90" i="86"/>
  <c r="BS90" i="86"/>
  <c r="BT82" i="86"/>
  <c r="BS82" i="86"/>
  <c r="BS98" i="86"/>
  <c r="BT98" i="86"/>
  <c r="BF42" i="169"/>
  <c r="BH42" i="169" s="1"/>
  <c r="AW121" i="109"/>
  <c r="BT93" i="86"/>
  <c r="BS93" i="86"/>
  <c r="BT94" i="86"/>
  <c r="BS94" i="86"/>
  <c r="AB32" i="159"/>
  <c r="BT87" i="86"/>
  <c r="BS87" i="86"/>
  <c r="BT76" i="86"/>
  <c r="BS76" i="86"/>
  <c r="H41" i="149"/>
  <c r="BT78" i="86"/>
  <c r="BS78" i="86"/>
  <c r="EA70" i="109"/>
  <c r="DW70" i="109"/>
  <c r="Y320" i="61"/>
  <c r="AC320" i="61" s="1"/>
  <c r="W320" i="61"/>
  <c r="AA320" i="61" s="1"/>
  <c r="X320" i="61"/>
  <c r="AB320" i="61" s="1"/>
  <c r="F14" i="149"/>
  <c r="F9" i="149"/>
  <c r="H9" i="149" s="1"/>
  <c r="F20" i="149"/>
  <c r="H20" i="149" s="1"/>
  <c r="F15" i="149"/>
  <c r="H15" i="149" s="1"/>
  <c r="F11" i="149"/>
  <c r="H11" i="149" s="1"/>
  <c r="F26" i="149"/>
  <c r="H26" i="149" s="1"/>
  <c r="F8" i="149"/>
  <c r="H8" i="149" s="1"/>
  <c r="F12" i="149"/>
  <c r="H12" i="149" s="1"/>
  <c r="H103" i="56"/>
  <c r="EZ54" i="162"/>
  <c r="FB54" i="162" s="1"/>
  <c r="L80" i="154" s="1"/>
  <c r="AH42" i="169"/>
  <c r="AH45" i="169"/>
  <c r="AH47" i="169"/>
  <c r="AL35" i="169"/>
  <c r="AH49" i="169"/>
  <c r="AJ35" i="169"/>
  <c r="AH43" i="169"/>
  <c r="AH50" i="169"/>
  <c r="AH48" i="169"/>
  <c r="AH44" i="169"/>
  <c r="AH51" i="169"/>
  <c r="AH46" i="169"/>
  <c r="F13" i="149"/>
  <c r="R17" i="159"/>
  <c r="AE17" i="159" s="1"/>
  <c r="AG17" i="159" s="1"/>
  <c r="R20" i="159"/>
  <c r="AE20" i="159" s="1"/>
  <c r="AG20" i="159" s="1"/>
  <c r="R15" i="159"/>
  <c r="AE15" i="159" s="1"/>
  <c r="AG15" i="159" s="1"/>
  <c r="R25" i="159"/>
  <c r="AE25" i="159" s="1"/>
  <c r="AG25" i="159" s="1"/>
  <c r="R28" i="159"/>
  <c r="R23" i="159"/>
  <c r="AE23" i="159" s="1"/>
  <c r="AG23" i="159" s="1"/>
  <c r="R26" i="159"/>
  <c r="AE26" i="159" s="1"/>
  <c r="AG26" i="159" s="1"/>
  <c r="R29" i="159"/>
  <c r="AE29" i="159" s="1"/>
  <c r="AG29" i="159" s="1"/>
  <c r="R27" i="159"/>
  <c r="R14" i="159"/>
  <c r="AE14" i="159" s="1"/>
  <c r="AG14" i="159" s="1"/>
  <c r="R13" i="159"/>
  <c r="R21" i="159"/>
  <c r="R22" i="159"/>
  <c r="AE22" i="159" s="1"/>
  <c r="AG22" i="159" s="1"/>
  <c r="R19" i="159"/>
  <c r="AE19" i="159" s="1"/>
  <c r="AG19" i="159" s="1"/>
  <c r="R11" i="159"/>
  <c r="R18" i="159"/>
  <c r="AE18" i="159" s="1"/>
  <c r="AG18" i="159" s="1"/>
  <c r="R24" i="159"/>
  <c r="R16" i="159"/>
  <c r="R12" i="159"/>
  <c r="AE12" i="159" s="1"/>
  <c r="AG12" i="159" s="1"/>
  <c r="R30" i="159"/>
  <c r="AE30" i="159" s="1"/>
  <c r="AG30" i="159" s="1"/>
  <c r="BU49" i="169"/>
  <c r="BW49" i="169" s="1"/>
  <c r="F10" i="149"/>
  <c r="Y319" i="61"/>
  <c r="AC319" i="61" s="1"/>
  <c r="X319" i="61"/>
  <c r="AB319" i="61" s="1"/>
  <c r="W319" i="61"/>
  <c r="AA319" i="61" s="1"/>
  <c r="F18" i="149"/>
  <c r="K147" i="61"/>
  <c r="M147" i="61" s="1"/>
  <c r="H38" i="149"/>
  <c r="K51" i="86"/>
  <c r="M51" i="86" s="1"/>
  <c r="Y113" i="100"/>
  <c r="Y124" i="100" s="1"/>
  <c r="G101" i="56" s="1"/>
  <c r="H101" i="56" s="1"/>
  <c r="W124" i="100"/>
  <c r="T32" i="159"/>
  <c r="BM53" i="169"/>
  <c r="AP238" i="61"/>
  <c r="K26" i="61"/>
  <c r="M26" i="61" s="1"/>
  <c r="K29" i="61"/>
  <c r="M29" i="61" s="1"/>
  <c r="Z88" i="100"/>
  <c r="K45" i="86"/>
  <c r="M45" i="86" s="1"/>
  <c r="N53" i="169"/>
  <c r="Y322" i="61"/>
  <c r="AC322" i="61" s="1"/>
  <c r="X322" i="61"/>
  <c r="AB322" i="61" s="1"/>
  <c r="W322" i="61"/>
  <c r="AA322" i="61" s="1"/>
  <c r="F7" i="149"/>
  <c r="BU44" i="169"/>
  <c r="BW44" i="169" s="1"/>
  <c r="K25" i="61"/>
  <c r="M25" i="61" s="1"/>
  <c r="U53" i="159"/>
  <c r="AP125" i="61"/>
  <c r="BU48" i="169"/>
  <c r="BW48" i="169" s="1"/>
  <c r="N18" i="86"/>
  <c r="P18" i="86" s="1"/>
  <c r="DJ42" i="169"/>
  <c r="Q83" i="100"/>
  <c r="X23" i="100"/>
  <c r="V83" i="100"/>
  <c r="V23" i="100"/>
  <c r="V36" i="100"/>
  <c r="X36" i="100" s="1"/>
  <c r="V41" i="100"/>
  <c r="X41" i="100" s="1"/>
  <c r="AC75" i="100"/>
  <c r="AE75" i="100" s="1"/>
  <c r="U23" i="100"/>
  <c r="P43" i="100"/>
  <c r="D186" i="165"/>
  <c r="V33" i="100"/>
  <c r="X33" i="100" s="1"/>
  <c r="DJ49" i="169"/>
  <c r="Z83" i="100"/>
  <c r="V39" i="100"/>
  <c r="X39" i="100" s="1"/>
  <c r="S23" i="100"/>
  <c r="Y83" i="100"/>
  <c r="O43" i="100"/>
  <c r="V37" i="100"/>
  <c r="X37" i="100" s="1"/>
  <c r="N43" i="100"/>
  <c r="D187" i="165"/>
  <c r="AA83" i="100"/>
  <c r="S83" i="100"/>
  <c r="V34" i="100"/>
  <c r="X34" i="100" s="1"/>
  <c r="DJ47" i="169"/>
  <c r="R83" i="100"/>
  <c r="T83" i="100"/>
  <c r="BD197" i="113"/>
  <c r="AC73" i="100"/>
  <c r="AE73" i="100" s="1"/>
  <c r="AC20" i="100"/>
  <c r="AE20" i="100" s="1"/>
  <c r="DJ51" i="169"/>
  <c r="AF23" i="100"/>
  <c r="F96" i="56" s="1"/>
  <c r="DJ50" i="169"/>
  <c r="DJ43" i="169"/>
  <c r="U83" i="100"/>
  <c r="Q23" i="100"/>
  <c r="V38" i="100"/>
  <c r="X38" i="100" s="1"/>
  <c r="D185" i="165"/>
  <c r="Q43" i="100"/>
  <c r="AC79" i="100"/>
  <c r="AE79" i="100" s="1"/>
  <c r="AB83" i="100"/>
  <c r="AC13" i="100"/>
  <c r="AE13" i="100" s="1"/>
  <c r="D97" i="56"/>
  <c r="AC16" i="100"/>
  <c r="AE16" i="100" s="1"/>
  <c r="AC17" i="100"/>
  <c r="AE17" i="100" s="1"/>
  <c r="P141" i="100"/>
  <c r="R141" i="100" s="1"/>
  <c r="DJ44" i="169"/>
  <c r="D96" i="56"/>
  <c r="D189" i="165"/>
  <c r="Y43" i="100"/>
  <c r="F97" i="56" s="1"/>
  <c r="AF83" i="100"/>
  <c r="F99" i="56" s="1"/>
  <c r="D99" i="56"/>
  <c r="AC21" i="100"/>
  <c r="AE21" i="100" s="1"/>
  <c r="AC18" i="100"/>
  <c r="AE18" i="100" s="1"/>
  <c r="AC77" i="100"/>
  <c r="AE77" i="100" s="1"/>
  <c r="V35" i="100"/>
  <c r="X35" i="100" s="1"/>
  <c r="P135" i="100"/>
  <c r="R135" i="100" s="1"/>
  <c r="P140" i="100"/>
  <c r="R140" i="100" s="1"/>
  <c r="T23" i="100"/>
  <c r="P138" i="100"/>
  <c r="R138" i="100" s="1"/>
  <c r="AO121" i="109"/>
  <c r="AC14" i="100"/>
  <c r="AE14" i="100" s="1"/>
  <c r="AH104" i="100"/>
  <c r="F100" i="56" s="1"/>
  <c r="AC15" i="100"/>
  <c r="AE15" i="100" s="1"/>
  <c r="Z124" i="100"/>
  <c r="F101" i="56" s="1"/>
  <c r="AX121" i="109"/>
  <c r="AZ121" i="109"/>
  <c r="G67" i="56" s="1"/>
  <c r="R23" i="100"/>
  <c r="AC80" i="100"/>
  <c r="AE80" i="100" s="1"/>
  <c r="AL100" i="113"/>
  <c r="AC19" i="100"/>
  <c r="AE19" i="100" s="1"/>
  <c r="AC74" i="100"/>
  <c r="AE74" i="100" s="1"/>
  <c r="AC76" i="100"/>
  <c r="AE76" i="100" s="1"/>
  <c r="Y63" i="100"/>
  <c r="G98" i="56" s="1"/>
  <c r="H98" i="56" s="1"/>
  <c r="AO132" i="113"/>
  <c r="DX70" i="161"/>
  <c r="CQ81" i="109"/>
  <c r="CS81" i="109" s="1"/>
  <c r="L27" i="154" s="1"/>
  <c r="CF99" i="109"/>
  <c r="EK71" i="162"/>
  <c r="O143" i="100"/>
  <c r="D100" i="56"/>
  <c r="AE12" i="100"/>
  <c r="V32" i="100"/>
  <c r="M43" i="100"/>
  <c r="AC81" i="100"/>
  <c r="AE81" i="100" s="1"/>
  <c r="DB53" i="169"/>
  <c r="X83" i="100"/>
  <c r="W63" i="100"/>
  <c r="D101" i="56"/>
  <c r="D190" i="165"/>
  <c r="DQ70" i="109"/>
  <c r="AA88" i="100"/>
  <c r="AC78" i="100"/>
  <c r="AE78" i="100" s="1"/>
  <c r="W83" i="100"/>
  <c r="P132" i="100"/>
  <c r="M143" i="100"/>
  <c r="AE104" i="100"/>
  <c r="AG93" i="100"/>
  <c r="AG104" i="100" s="1"/>
  <c r="G100" i="56" s="1"/>
  <c r="H100" i="56" s="1"/>
  <c r="AC72" i="100"/>
  <c r="P134" i="100"/>
  <c r="R134" i="100" s="1"/>
  <c r="AY165" i="113"/>
  <c r="D188" i="165"/>
  <c r="Z63" i="100"/>
  <c r="F98" i="56" s="1"/>
  <c r="D98" i="56"/>
  <c r="W23" i="100"/>
  <c r="CS84" i="109"/>
  <c r="L30" i="154" s="1"/>
  <c r="BK52" i="161"/>
  <c r="BY52" i="161"/>
  <c r="BU52" i="161"/>
  <c r="BU70" i="161" s="1"/>
  <c r="AM52" i="161"/>
  <c r="AU52" i="161"/>
  <c r="AQ52" i="161"/>
  <c r="AQ70" i="161" s="1"/>
  <c r="AU70" i="161"/>
  <c r="AM70" i="161"/>
  <c r="BQ70" i="161"/>
  <c r="D141" i="165" s="1"/>
  <c r="BD70" i="161"/>
  <c r="BJ70" i="161"/>
  <c r="DG53" i="161"/>
  <c r="DA53" i="161"/>
  <c r="BK53" i="161"/>
  <c r="AV53" i="161"/>
  <c r="CW70" i="161"/>
  <c r="D145" i="165" s="1"/>
  <c r="DG52" i="161"/>
  <c r="AA66" i="113" l="1"/>
  <c r="AA67" i="113" s="1"/>
  <c r="P35" i="113" s="1"/>
  <c r="U66" i="113"/>
  <c r="EF70" i="109"/>
  <c r="G65" i="56" s="1"/>
  <c r="H65" i="56" s="1"/>
  <c r="G1" i="101"/>
  <c r="I30" i="133"/>
  <c r="K30" i="133" s="1"/>
  <c r="I39" i="133"/>
  <c r="K39" i="133" s="1"/>
  <c r="K435" i="61"/>
  <c r="M435" i="61" s="1"/>
  <c r="I14" i="133"/>
  <c r="K14" i="133" s="1"/>
  <c r="K12" i="61"/>
  <c r="M12" i="61" s="1"/>
  <c r="H39" i="126"/>
  <c r="K39" i="126" s="1"/>
  <c r="AS209" i="61"/>
  <c r="AS96" i="61"/>
  <c r="AV105" i="113"/>
  <c r="H12" i="126"/>
  <c r="K12" i="126" s="1"/>
  <c r="H106" i="160"/>
  <c r="I106" i="160" s="1"/>
  <c r="K106" i="160" s="1"/>
  <c r="H99" i="160"/>
  <c r="I99" i="160" s="1"/>
  <c r="K99" i="160" s="1"/>
  <c r="I40" i="133"/>
  <c r="K40" i="133" s="1"/>
  <c r="I26" i="133"/>
  <c r="K26" i="133" s="1"/>
  <c r="I31" i="133"/>
  <c r="K31" i="133" s="1"/>
  <c r="K438" i="61"/>
  <c r="M438" i="61" s="1"/>
  <c r="I21" i="133"/>
  <c r="K21" i="133" s="1"/>
  <c r="K11" i="61"/>
  <c r="M11" i="61" s="1"/>
  <c r="H14" i="126"/>
  <c r="K14" i="126" s="1"/>
  <c r="Y3" i="157"/>
  <c r="AH259" i="61"/>
  <c r="AT63" i="61"/>
  <c r="AE3" i="157"/>
  <c r="I138" i="113"/>
  <c r="H107" i="160"/>
  <c r="I107" i="160" s="1"/>
  <c r="K107" i="160" s="1"/>
  <c r="H100" i="160"/>
  <c r="I100" i="160" s="1"/>
  <c r="K100" i="160" s="1"/>
  <c r="H30" i="126"/>
  <c r="K30" i="126" s="1"/>
  <c r="I42" i="133"/>
  <c r="K42" i="133" s="1"/>
  <c r="I29" i="133"/>
  <c r="K29" i="133" s="1"/>
  <c r="I25" i="133"/>
  <c r="K25" i="133" s="1"/>
  <c r="K436" i="61"/>
  <c r="M436" i="61" s="1"/>
  <c r="I34" i="133"/>
  <c r="K34" i="133" s="1"/>
  <c r="AB3" i="157"/>
  <c r="AE312" i="61"/>
  <c r="AS97" i="61"/>
  <c r="AC3" i="157"/>
  <c r="K138" i="113"/>
  <c r="H108" i="160"/>
  <c r="I108" i="160" s="1"/>
  <c r="K108" i="160" s="1"/>
  <c r="G94" i="65"/>
  <c r="I94" i="65" s="1"/>
  <c r="I41" i="133"/>
  <c r="K41" i="133" s="1"/>
  <c r="K440" i="61"/>
  <c r="M440" i="61" s="1"/>
  <c r="I20" i="133"/>
  <c r="K20" i="133" s="1"/>
  <c r="K131" i="61"/>
  <c r="M131" i="61" s="1"/>
  <c r="K421" i="61"/>
  <c r="M421" i="61" s="1"/>
  <c r="K495" i="61"/>
  <c r="M495" i="61" s="1"/>
  <c r="AS210" i="61"/>
  <c r="AT64" i="61"/>
  <c r="I32" i="133"/>
  <c r="K32" i="133" s="1"/>
  <c r="H109" i="160"/>
  <c r="I109" i="160" s="1"/>
  <c r="K109" i="160" s="1"/>
  <c r="G93" i="65"/>
  <c r="I93" i="65" s="1"/>
  <c r="I38" i="133"/>
  <c r="K38" i="133" s="1"/>
  <c r="I12" i="133"/>
  <c r="K12" i="133" s="1"/>
  <c r="I28" i="133"/>
  <c r="K28" i="133" s="1"/>
  <c r="K132" i="61"/>
  <c r="M132" i="61" s="1"/>
  <c r="K451" i="61"/>
  <c r="M451" i="61" s="1"/>
  <c r="K496" i="61"/>
  <c r="M496" i="61" s="1"/>
  <c r="AH260" i="61"/>
  <c r="AR73" i="113"/>
  <c r="N138" i="113"/>
  <c r="H110" i="160"/>
  <c r="I110" i="160" s="1"/>
  <c r="K110" i="160" s="1"/>
  <c r="I27" i="133"/>
  <c r="K27" i="133" s="1"/>
  <c r="X35" i="169"/>
  <c r="I16" i="133"/>
  <c r="K16" i="133" s="1"/>
  <c r="I22" i="133"/>
  <c r="K22" i="133" s="1"/>
  <c r="K452" i="61"/>
  <c r="M452" i="61" s="1"/>
  <c r="AE313" i="61"/>
  <c r="AE322" i="61" s="1"/>
  <c r="BE138" i="113"/>
  <c r="H10" i="126"/>
  <c r="K10" i="126" s="1"/>
  <c r="H96" i="160"/>
  <c r="I96" i="160" s="1"/>
  <c r="W3" i="157"/>
  <c r="I13" i="133"/>
  <c r="K13" i="133" s="1"/>
  <c r="I23" i="133"/>
  <c r="K23" i="133" s="1"/>
  <c r="K453" i="61"/>
  <c r="M453" i="61" s="1"/>
  <c r="H40" i="126"/>
  <c r="K40" i="126" s="1"/>
  <c r="AU158" i="61"/>
  <c r="AS73" i="113"/>
  <c r="H11" i="126"/>
  <c r="K11" i="126" s="1"/>
  <c r="I33" i="133"/>
  <c r="K33" i="133" s="1"/>
  <c r="M138" i="113"/>
  <c r="H97" i="160"/>
  <c r="I97" i="160" s="1"/>
  <c r="K97" i="160" s="1"/>
  <c r="K494" i="61"/>
  <c r="M494" i="61" s="1"/>
  <c r="I19" i="133"/>
  <c r="K19" i="133" s="1"/>
  <c r="I37" i="133"/>
  <c r="K37" i="133" s="1"/>
  <c r="K437" i="61"/>
  <c r="M437" i="61" s="1"/>
  <c r="X3" i="157"/>
  <c r="K422" i="61"/>
  <c r="M422" i="61" s="1"/>
  <c r="AU157" i="61"/>
  <c r="BF138" i="113"/>
  <c r="H98" i="160"/>
  <c r="I98" i="160" s="1"/>
  <c r="K98" i="160" s="1"/>
  <c r="J10" i="65"/>
  <c r="L10" i="65" s="1"/>
  <c r="H52" i="160"/>
  <c r="I52" i="160" s="1"/>
  <c r="K52" i="160" s="1"/>
  <c r="AA3" i="157"/>
  <c r="H13" i="126"/>
  <c r="K13" i="126" s="1"/>
  <c r="G73" i="113"/>
  <c r="H21" i="126"/>
  <c r="K21" i="126" s="1"/>
  <c r="H17" i="126"/>
  <c r="K17" i="126" s="1"/>
  <c r="H18" i="126"/>
  <c r="K18" i="126" s="1"/>
  <c r="G84" i="65"/>
  <c r="I84" i="65" s="1"/>
  <c r="H9" i="126"/>
  <c r="K9" i="126" s="1"/>
  <c r="J21" i="65"/>
  <c r="L21" i="65" s="1"/>
  <c r="L27" i="65" s="1"/>
  <c r="G13" i="56" s="1"/>
  <c r="H104" i="160"/>
  <c r="I104" i="160" s="1"/>
  <c r="K104" i="160" s="1"/>
  <c r="H50" i="160"/>
  <c r="I50" i="160" s="1"/>
  <c r="K50" i="160" s="1"/>
  <c r="G64" i="65"/>
  <c r="I64" i="65" s="1"/>
  <c r="G69" i="65"/>
  <c r="I69" i="65" s="1"/>
  <c r="AI3" i="157"/>
  <c r="G65" i="65"/>
  <c r="I65" i="65" s="1"/>
  <c r="H23" i="126"/>
  <c r="K23" i="126" s="1"/>
  <c r="AK3" i="157"/>
  <c r="K509" i="61"/>
  <c r="M509" i="61" s="1"/>
  <c r="G92" i="65"/>
  <c r="I92" i="65" s="1"/>
  <c r="G83" i="65"/>
  <c r="I83" i="65" s="1"/>
  <c r="J12" i="65"/>
  <c r="L12" i="65" s="1"/>
  <c r="H33" i="126"/>
  <c r="K33" i="126" s="1"/>
  <c r="H103" i="160"/>
  <c r="I103" i="160" s="1"/>
  <c r="K103" i="160" s="1"/>
  <c r="H54" i="160"/>
  <c r="I54" i="160" s="1"/>
  <c r="K54" i="160" s="1"/>
  <c r="G62" i="65"/>
  <c r="I62" i="65" s="1"/>
  <c r="N8" i="160"/>
  <c r="P8" i="160"/>
  <c r="K285" i="61"/>
  <c r="M285" i="61" s="1"/>
  <c r="G86" i="65"/>
  <c r="I86" i="65" s="1"/>
  <c r="G89" i="65"/>
  <c r="I89" i="65" s="1"/>
  <c r="H108" i="65"/>
  <c r="J108" i="65" s="1"/>
  <c r="J23" i="65"/>
  <c r="L23" i="65" s="1"/>
  <c r="H105" i="160"/>
  <c r="I105" i="160" s="1"/>
  <c r="K105" i="160" s="1"/>
  <c r="H49" i="160"/>
  <c r="I49" i="160" s="1"/>
  <c r="K49" i="160" s="1"/>
  <c r="H48" i="160"/>
  <c r="I48" i="160" s="1"/>
  <c r="H16" i="126"/>
  <c r="K16" i="126" s="1"/>
  <c r="H28" i="126"/>
  <c r="K28" i="126" s="1"/>
  <c r="G70" i="65"/>
  <c r="I70" i="65" s="1"/>
  <c r="G66" i="65"/>
  <c r="I66" i="65" s="1"/>
  <c r="AG3" i="157"/>
  <c r="AG11" i="157" s="1"/>
  <c r="AG32" i="157" s="1"/>
  <c r="AF3" i="157"/>
  <c r="H29" i="126"/>
  <c r="K29" i="126" s="1"/>
  <c r="K540" i="61"/>
  <c r="M540" i="61" s="1"/>
  <c r="H20" i="126"/>
  <c r="K20" i="126" s="1"/>
  <c r="G90" i="65"/>
  <c r="I90" i="65" s="1"/>
  <c r="G138" i="113"/>
  <c r="H109" i="65"/>
  <c r="J109" i="65" s="1"/>
  <c r="J22" i="65"/>
  <c r="L22" i="65" s="1"/>
  <c r="H101" i="160"/>
  <c r="I101" i="160" s="1"/>
  <c r="K101" i="160" s="1"/>
  <c r="H73" i="160"/>
  <c r="I73" i="160" s="1"/>
  <c r="H55" i="160"/>
  <c r="I55" i="160" s="1"/>
  <c r="K55" i="160" s="1"/>
  <c r="H24" i="126"/>
  <c r="K24" i="126" s="1"/>
  <c r="H27" i="126"/>
  <c r="K27" i="126" s="1"/>
  <c r="H68" i="160"/>
  <c r="I68" i="160" s="1"/>
  <c r="G68" i="65"/>
  <c r="I68" i="65" s="1"/>
  <c r="G61" i="65"/>
  <c r="I61" i="65" s="1"/>
  <c r="BU46" i="169"/>
  <c r="BW46" i="169" s="1"/>
  <c r="G91" i="65"/>
  <c r="I91" i="65" s="1"/>
  <c r="J138" i="113"/>
  <c r="H107" i="65"/>
  <c r="J107" i="65" s="1"/>
  <c r="J11" i="65"/>
  <c r="L11" i="65" s="1"/>
  <c r="L16" i="65" s="1"/>
  <c r="G12" i="56" s="1"/>
  <c r="H102" i="160"/>
  <c r="I102" i="160" s="1"/>
  <c r="K102" i="160" s="1"/>
  <c r="N39" i="113"/>
  <c r="H56" i="160"/>
  <c r="I56" i="160" s="1"/>
  <c r="K56" i="160" s="1"/>
  <c r="H22" i="126"/>
  <c r="K22" i="126" s="1"/>
  <c r="AJ3" i="157"/>
  <c r="G67" i="65"/>
  <c r="I67" i="65" s="1"/>
  <c r="H34" i="126"/>
  <c r="K34" i="126" s="1"/>
  <c r="G87" i="65"/>
  <c r="I87" i="65" s="1"/>
  <c r="L138" i="113"/>
  <c r="H37" i="126"/>
  <c r="K37" i="126" s="1"/>
  <c r="H51" i="160"/>
  <c r="I51" i="160" s="1"/>
  <c r="K51" i="160" s="1"/>
  <c r="H57" i="160"/>
  <c r="I57" i="160" s="1"/>
  <c r="K57" i="160" s="1"/>
  <c r="Z3" i="157"/>
  <c r="G63" i="65"/>
  <c r="I63" i="65" s="1"/>
  <c r="H69" i="160"/>
  <c r="I69" i="160" s="1"/>
  <c r="G71" i="65"/>
  <c r="I71" i="65" s="1"/>
  <c r="H19" i="126"/>
  <c r="K19" i="126" s="1"/>
  <c r="O8" i="160"/>
  <c r="G88" i="65"/>
  <c r="I88" i="65" s="1"/>
  <c r="H15" i="126"/>
  <c r="K15" i="126" s="1"/>
  <c r="K286" i="61"/>
  <c r="M286" i="61" s="1"/>
  <c r="H35" i="126"/>
  <c r="K35" i="126" s="1"/>
  <c r="H53" i="160"/>
  <c r="I53" i="160" s="1"/>
  <c r="K53" i="160" s="1"/>
  <c r="AH3" i="157"/>
  <c r="K464" i="61"/>
  <c r="M464" i="61" s="1"/>
  <c r="M469" i="61" s="1"/>
  <c r="G44" i="56" s="1"/>
  <c r="H26" i="126"/>
  <c r="K26" i="126" s="1"/>
  <c r="G85" i="65"/>
  <c r="I85" i="65" s="1"/>
  <c r="G82" i="65"/>
  <c r="I82" i="65" s="1"/>
  <c r="K284" i="61"/>
  <c r="M284" i="61" s="1"/>
  <c r="K301" i="61"/>
  <c r="M301" i="61" s="1"/>
  <c r="I15" i="133"/>
  <c r="K15" i="133" s="1"/>
  <c r="I24" i="133"/>
  <c r="K24" i="133" s="1"/>
  <c r="V3" i="157"/>
  <c r="K420" i="61"/>
  <c r="M420" i="61" s="1"/>
  <c r="K299" i="61"/>
  <c r="M299" i="61" s="1"/>
  <c r="H31" i="126"/>
  <c r="K31" i="126" s="1"/>
  <c r="K197" i="61"/>
  <c r="M197" i="61" s="1"/>
  <c r="K249" i="61"/>
  <c r="M249" i="61" s="1"/>
  <c r="K303" i="61"/>
  <c r="M303" i="61" s="1"/>
  <c r="I18" i="133"/>
  <c r="K18" i="133" s="1"/>
  <c r="I35" i="133"/>
  <c r="K35" i="133" s="1"/>
  <c r="K418" i="61"/>
  <c r="M418" i="61" s="1"/>
  <c r="N25" i="86"/>
  <c r="P25" i="86" s="1"/>
  <c r="K300" i="61"/>
  <c r="M300" i="61" s="1"/>
  <c r="H67" i="160"/>
  <c r="I67" i="160" s="1"/>
  <c r="I36" i="133"/>
  <c r="K36" i="133" s="1"/>
  <c r="K302" i="61"/>
  <c r="M302" i="61" s="1"/>
  <c r="K31" i="61"/>
  <c r="M31" i="61" s="1"/>
  <c r="K510" i="61"/>
  <c r="M510" i="61" s="1"/>
  <c r="U3" i="157"/>
  <c r="I9" i="133"/>
  <c r="K9" i="133" s="1"/>
  <c r="BJ170" i="113"/>
  <c r="I35" i="169"/>
  <c r="K251" i="61"/>
  <c r="M251" i="61" s="1"/>
  <c r="K246" i="61"/>
  <c r="M246" i="61" s="1"/>
  <c r="H64" i="160"/>
  <c r="I64" i="160" s="1"/>
  <c r="P138" i="113"/>
  <c r="I17" i="133"/>
  <c r="K17" i="133" s="1"/>
  <c r="K454" i="61"/>
  <c r="M454" i="61" s="1"/>
  <c r="I44" i="133"/>
  <c r="K44" i="133" s="1"/>
  <c r="BU50" i="169"/>
  <c r="BW50" i="169" s="1"/>
  <c r="N23" i="86"/>
  <c r="P23" i="86" s="1"/>
  <c r="K342" i="61"/>
  <c r="M342" i="61" s="1"/>
  <c r="K298" i="61"/>
  <c r="M298" i="61" s="1"/>
  <c r="H138" i="113"/>
  <c r="K250" i="61"/>
  <c r="M250" i="61" s="1"/>
  <c r="K507" i="61"/>
  <c r="M507" i="61" s="1"/>
  <c r="H65" i="160"/>
  <c r="I65" i="160" s="1"/>
  <c r="K511" i="61"/>
  <c r="M511" i="61" s="1"/>
  <c r="K508" i="61"/>
  <c r="M508" i="61" s="1"/>
  <c r="AD3" i="157"/>
  <c r="AD13" i="157" s="1"/>
  <c r="AD32" i="157" s="1"/>
  <c r="K439" i="61"/>
  <c r="M439" i="61" s="1"/>
  <c r="K338" i="61"/>
  <c r="M338" i="61" s="1"/>
  <c r="K297" i="61"/>
  <c r="M297" i="61" s="1"/>
  <c r="H66" i="160"/>
  <c r="I66" i="160" s="1"/>
  <c r="BK170" i="113"/>
  <c r="O138" i="113"/>
  <c r="K484" i="61"/>
  <c r="M484" i="61" s="1"/>
  <c r="M489" i="61" s="1"/>
  <c r="G46" i="56" s="1"/>
  <c r="N19" i="86"/>
  <c r="P19" i="86" s="1"/>
  <c r="K434" i="61"/>
  <c r="M434" i="61" s="1"/>
  <c r="K30" i="61"/>
  <c r="M30" i="61" s="1"/>
  <c r="K304" i="61"/>
  <c r="M304" i="61" s="1"/>
  <c r="N10" i="86"/>
  <c r="P10" i="86" s="1"/>
  <c r="G95" i="65"/>
  <c r="I95" i="65" s="1"/>
  <c r="N24" i="86"/>
  <c r="P24" i="86" s="1"/>
  <c r="I10" i="133"/>
  <c r="K10" i="133" s="1"/>
  <c r="I11" i="133"/>
  <c r="K11" i="133" s="1"/>
  <c r="I43" i="133"/>
  <c r="K43" i="133" s="1"/>
  <c r="N26" i="86"/>
  <c r="P26" i="86" s="1"/>
  <c r="K419" i="61"/>
  <c r="M419" i="61" s="1"/>
  <c r="N11" i="86"/>
  <c r="P11" i="86" s="1"/>
  <c r="N27" i="86"/>
  <c r="P27" i="86" s="1"/>
  <c r="K28" i="61"/>
  <c r="M28" i="61" s="1"/>
  <c r="K48" i="86"/>
  <c r="M48" i="86" s="1"/>
  <c r="N15" i="86"/>
  <c r="P15" i="86" s="1"/>
  <c r="K52" i="86"/>
  <c r="M52" i="86" s="1"/>
  <c r="AE21" i="159"/>
  <c r="AG21" i="159" s="1"/>
  <c r="K32" i="61"/>
  <c r="M32" i="61" s="1"/>
  <c r="F29" i="149"/>
  <c r="H29" i="149" s="1"/>
  <c r="F21" i="149"/>
  <c r="H21" i="149" s="1"/>
  <c r="F16" i="149"/>
  <c r="H16" i="149" s="1"/>
  <c r="K345" i="61"/>
  <c r="M345" i="61" s="1"/>
  <c r="N28" i="86"/>
  <c r="P28" i="86" s="1"/>
  <c r="K34" i="61"/>
  <c r="M34" i="61" s="1"/>
  <c r="K149" i="61"/>
  <c r="M149" i="61" s="1"/>
  <c r="H71" i="160"/>
  <c r="I71" i="160" s="1"/>
  <c r="BU43" i="169"/>
  <c r="BW43" i="169" s="1"/>
  <c r="K47" i="86"/>
  <c r="M47" i="86" s="1"/>
  <c r="AE13" i="159"/>
  <c r="AG13" i="159" s="1"/>
  <c r="F22" i="149"/>
  <c r="H22" i="149" s="1"/>
  <c r="F31" i="149"/>
  <c r="H31" i="149" s="1"/>
  <c r="K346" i="61"/>
  <c r="M346" i="61" s="1"/>
  <c r="K336" i="61"/>
  <c r="M336" i="61" s="1"/>
  <c r="K343" i="61"/>
  <c r="M343" i="61" s="1"/>
  <c r="H70" i="160"/>
  <c r="I70" i="160" s="1"/>
  <c r="K55" i="61"/>
  <c r="M55" i="61" s="1"/>
  <c r="F32" i="149"/>
  <c r="H32" i="149" s="1"/>
  <c r="K201" i="61"/>
  <c r="M201" i="61" s="1"/>
  <c r="K42" i="86"/>
  <c r="M42" i="86" s="1"/>
  <c r="N14" i="86"/>
  <c r="P14" i="86" s="1"/>
  <c r="K143" i="61"/>
  <c r="M143" i="61" s="1"/>
  <c r="K247" i="61"/>
  <c r="M247" i="61" s="1"/>
  <c r="F33" i="149"/>
  <c r="F19" i="149"/>
  <c r="H19" i="149" s="1"/>
  <c r="F36" i="149"/>
  <c r="H36" i="149" s="1"/>
  <c r="N16" i="86"/>
  <c r="P16" i="86" s="1"/>
  <c r="N13" i="86"/>
  <c r="P13" i="86" s="1"/>
  <c r="K198" i="61"/>
  <c r="M198" i="61" s="1"/>
  <c r="AE27" i="159"/>
  <c r="AG27" i="159" s="1"/>
  <c r="F35" i="149"/>
  <c r="H35" i="149" s="1"/>
  <c r="K44" i="86"/>
  <c r="M44" i="86" s="1"/>
  <c r="K150" i="61"/>
  <c r="M150" i="61" s="1"/>
  <c r="K337" i="61"/>
  <c r="M337" i="61" s="1"/>
  <c r="K196" i="61"/>
  <c r="M196" i="61" s="1"/>
  <c r="K38" i="61"/>
  <c r="M38" i="61" s="1"/>
  <c r="K146" i="61"/>
  <c r="M146" i="61" s="1"/>
  <c r="K408" i="61"/>
  <c r="M408" i="61" s="1"/>
  <c r="M413" i="61" s="1"/>
  <c r="G40" i="56" s="1"/>
  <c r="F30" i="149"/>
  <c r="BU45" i="169"/>
  <c r="BW45" i="169" s="1"/>
  <c r="K52" i="61"/>
  <c r="M52" i="61" s="1"/>
  <c r="K50" i="86"/>
  <c r="M50" i="86" s="1"/>
  <c r="K195" i="61"/>
  <c r="M195" i="61" s="1"/>
  <c r="F34" i="149"/>
  <c r="H34" i="149" s="1"/>
  <c r="F28" i="149"/>
  <c r="H28" i="149" s="1"/>
  <c r="K54" i="86"/>
  <c r="M54" i="86" s="1"/>
  <c r="K344" i="61"/>
  <c r="M344" i="61" s="1"/>
  <c r="K371" i="61"/>
  <c r="M371" i="61" s="1"/>
  <c r="K41" i="86"/>
  <c r="M41" i="86" s="1"/>
  <c r="K53" i="86"/>
  <c r="M53" i="86" s="1"/>
  <c r="K54" i="61"/>
  <c r="M54" i="61" s="1"/>
  <c r="K193" i="61"/>
  <c r="M193" i="61" s="1"/>
  <c r="K199" i="61"/>
  <c r="M199" i="61" s="1"/>
  <c r="K46" i="86"/>
  <c r="M46" i="86" s="1"/>
  <c r="H36" i="126"/>
  <c r="K36" i="126" s="1"/>
  <c r="K49" i="86"/>
  <c r="M49" i="86" s="1"/>
  <c r="K144" i="61"/>
  <c r="M144" i="61" s="1"/>
  <c r="F17" i="149"/>
  <c r="H17" i="149" s="1"/>
  <c r="F24" i="149"/>
  <c r="H24" i="149" s="1"/>
  <c r="K339" i="61"/>
  <c r="M339" i="61" s="1"/>
  <c r="K545" i="61"/>
  <c r="M545" i="61" s="1"/>
  <c r="K347" i="61"/>
  <c r="M347" i="61" s="1"/>
  <c r="N22" i="86"/>
  <c r="P22" i="86" s="1"/>
  <c r="K248" i="61"/>
  <c r="M248" i="61" s="1"/>
  <c r="M256" i="61" s="1"/>
  <c r="G31" i="56" s="1"/>
  <c r="H72" i="160"/>
  <c r="I72" i="160" s="1"/>
  <c r="K37" i="61"/>
  <c r="M37" i="61" s="1"/>
  <c r="K142" i="61"/>
  <c r="M142" i="61" s="1"/>
  <c r="M155" i="61" s="1"/>
  <c r="G27" i="56" s="1"/>
  <c r="K506" i="61"/>
  <c r="M506" i="61" s="1"/>
  <c r="M516" i="61" s="1"/>
  <c r="G48" i="56" s="1"/>
  <c r="G35" i="65"/>
  <c r="I35" i="65" s="1"/>
  <c r="F23" i="149"/>
  <c r="H23" i="149" s="1"/>
  <c r="G36" i="65"/>
  <c r="I36" i="65" s="1"/>
  <c r="N21" i="86"/>
  <c r="P21" i="86" s="1"/>
  <c r="K39" i="61"/>
  <c r="M39" i="61" s="1"/>
  <c r="K340" i="61"/>
  <c r="M340" i="61" s="1"/>
  <c r="K341" i="61"/>
  <c r="M341" i="61" s="1"/>
  <c r="K43" i="86"/>
  <c r="M43" i="86" s="1"/>
  <c r="M62" i="86" s="1"/>
  <c r="G56" i="56" s="1"/>
  <c r="K200" i="61"/>
  <c r="M200" i="61" s="1"/>
  <c r="K36" i="61"/>
  <c r="M36" i="61" s="1"/>
  <c r="K148" i="61"/>
  <c r="M148" i="61" s="1"/>
  <c r="EZ71" i="162"/>
  <c r="G75" i="56" s="1"/>
  <c r="AE16" i="159"/>
  <c r="AG16" i="159" s="1"/>
  <c r="M206" i="61"/>
  <c r="G28" i="56" s="1"/>
  <c r="H28" i="56" s="1"/>
  <c r="AE24" i="159"/>
  <c r="AG24" i="159" s="1"/>
  <c r="AE28" i="159"/>
  <c r="AG28" i="159" s="1"/>
  <c r="AD32" i="159"/>
  <c r="K357" i="61"/>
  <c r="M357" i="61" s="1"/>
  <c r="K359" i="61"/>
  <c r="M359" i="61" s="1"/>
  <c r="K361" i="61"/>
  <c r="M361" i="61" s="1"/>
  <c r="K363" i="61"/>
  <c r="M363" i="61" s="1"/>
  <c r="K362" i="61"/>
  <c r="M362" i="61" s="1"/>
  <c r="K360" i="61"/>
  <c r="M360" i="61" s="1"/>
  <c r="K354" i="61"/>
  <c r="M354" i="61" s="1"/>
  <c r="BU47" i="169"/>
  <c r="BW47" i="169" s="1"/>
  <c r="N17" i="86"/>
  <c r="P17" i="86" s="1"/>
  <c r="K352" i="61"/>
  <c r="M352" i="61" s="1"/>
  <c r="K348" i="61"/>
  <c r="M348" i="61" s="1"/>
  <c r="BP100" i="86"/>
  <c r="BS69" i="86"/>
  <c r="BS100" i="86" s="1"/>
  <c r="G57" i="56" s="1"/>
  <c r="BT69" i="86"/>
  <c r="K351" i="61"/>
  <c r="M351" i="61" s="1"/>
  <c r="K353" i="61"/>
  <c r="M353" i="61" s="1"/>
  <c r="N51" i="159"/>
  <c r="W51" i="159" s="1"/>
  <c r="N29" i="86"/>
  <c r="P29" i="86" s="1"/>
  <c r="BU51" i="169"/>
  <c r="BW51" i="169" s="1"/>
  <c r="AF322" i="61"/>
  <c r="K535" i="61"/>
  <c r="M535" i="61" s="1"/>
  <c r="G33" i="65"/>
  <c r="I33" i="65" s="1"/>
  <c r="K23" i="61"/>
  <c r="M23" i="61" s="1"/>
  <c r="G37" i="65"/>
  <c r="I37" i="65" s="1"/>
  <c r="K27" i="61"/>
  <c r="M27" i="61" s="1"/>
  <c r="BF43" i="169"/>
  <c r="BH43" i="169" s="1"/>
  <c r="K349" i="61"/>
  <c r="M349" i="61" s="1"/>
  <c r="K372" i="61"/>
  <c r="M372" i="61" s="1"/>
  <c r="H10" i="149"/>
  <c r="K355" i="61"/>
  <c r="M355" i="61" s="1"/>
  <c r="BF49" i="169"/>
  <c r="BH49" i="169" s="1"/>
  <c r="BF46" i="169"/>
  <c r="BH46" i="169" s="1"/>
  <c r="BF50" i="169"/>
  <c r="BH50" i="169" s="1"/>
  <c r="BF51" i="169"/>
  <c r="BH51" i="169" s="1"/>
  <c r="BF47" i="169"/>
  <c r="BH47" i="169" s="1"/>
  <c r="BF48" i="169"/>
  <c r="BH48" i="169" s="1"/>
  <c r="K335" i="61"/>
  <c r="M335" i="61" s="1"/>
  <c r="H40" i="56"/>
  <c r="K356" i="61"/>
  <c r="M356" i="61" s="1"/>
  <c r="BK70" i="161"/>
  <c r="H18" i="149"/>
  <c r="K358" i="61"/>
  <c r="M358" i="61" s="1"/>
  <c r="K541" i="61"/>
  <c r="M541" i="61" s="1"/>
  <c r="K564" i="61"/>
  <c r="M564" i="61" s="1"/>
  <c r="K552" i="61"/>
  <c r="M552" i="61" s="1"/>
  <c r="K549" i="61"/>
  <c r="M549" i="61" s="1"/>
  <c r="K556" i="61"/>
  <c r="M556" i="61" s="1"/>
  <c r="K553" i="61"/>
  <c r="M553" i="61" s="1"/>
  <c r="AA329" i="61"/>
  <c r="K559" i="61"/>
  <c r="M559" i="61" s="1"/>
  <c r="AL44" i="169"/>
  <c r="AL49" i="169"/>
  <c r="AL46" i="169"/>
  <c r="AL47" i="169"/>
  <c r="AL51" i="169"/>
  <c r="AL45" i="169"/>
  <c r="AL50" i="169"/>
  <c r="AL43" i="169"/>
  <c r="AL48" i="169"/>
  <c r="AL42" i="169"/>
  <c r="N46" i="159"/>
  <c r="W46" i="159" s="1"/>
  <c r="N44" i="159"/>
  <c r="W44" i="159" s="1"/>
  <c r="N49" i="159"/>
  <c r="W49" i="159" s="1"/>
  <c r="N50" i="159"/>
  <c r="W50" i="159" s="1"/>
  <c r="N42" i="159"/>
  <c r="W42" i="159" s="1"/>
  <c r="N43" i="159"/>
  <c r="W43" i="159" s="1"/>
  <c r="N45" i="159"/>
  <c r="W45" i="159" s="1"/>
  <c r="N47" i="159"/>
  <c r="W47" i="159" s="1"/>
  <c r="N48" i="159"/>
  <c r="W48" i="159" s="1"/>
  <c r="K53" i="61"/>
  <c r="M53" i="61" s="1"/>
  <c r="AB329" i="61"/>
  <c r="H14" i="149"/>
  <c r="BU42" i="169"/>
  <c r="BW42" i="169" s="1"/>
  <c r="N12" i="86"/>
  <c r="P12" i="86" s="1"/>
  <c r="AC329" i="61"/>
  <c r="R32" i="159"/>
  <c r="AE11" i="159"/>
  <c r="K35" i="61"/>
  <c r="M35" i="61" s="1"/>
  <c r="K24" i="61"/>
  <c r="M24" i="61" s="1"/>
  <c r="G34" i="65"/>
  <c r="I34" i="65" s="1"/>
  <c r="H30" i="149"/>
  <c r="K44" i="159"/>
  <c r="V44" i="159" s="1"/>
  <c r="BP42" i="169"/>
  <c r="BR42" i="169" s="1"/>
  <c r="K50" i="159"/>
  <c r="V50" i="159" s="1"/>
  <c r="K46" i="159"/>
  <c r="V46" i="159" s="1"/>
  <c r="K526" i="61"/>
  <c r="M526" i="61" s="1"/>
  <c r="K45" i="159"/>
  <c r="V45" i="159" s="1"/>
  <c r="K47" i="159"/>
  <c r="V47" i="159" s="1"/>
  <c r="K48" i="159"/>
  <c r="V48" i="159" s="1"/>
  <c r="K51" i="159"/>
  <c r="V51" i="159" s="1"/>
  <c r="K49" i="159"/>
  <c r="V49" i="159" s="1"/>
  <c r="H38" i="126"/>
  <c r="K38" i="126" s="1"/>
  <c r="H32" i="126"/>
  <c r="K32" i="126" s="1"/>
  <c r="H7" i="149"/>
  <c r="H33" i="149"/>
  <c r="H13" i="149"/>
  <c r="K22" i="61"/>
  <c r="M22" i="61" s="1"/>
  <c r="G32" i="65"/>
  <c r="I32" i="65" s="1"/>
  <c r="K551" i="61"/>
  <c r="M551" i="61" s="1"/>
  <c r="BP50" i="169"/>
  <c r="BR50" i="169" s="1"/>
  <c r="K543" i="61"/>
  <c r="M543" i="61" s="1"/>
  <c r="K566" i="61"/>
  <c r="M566" i="61" s="1"/>
  <c r="K561" i="61"/>
  <c r="M561" i="61" s="1"/>
  <c r="K538" i="61"/>
  <c r="M538" i="61" s="1"/>
  <c r="K33" i="61"/>
  <c r="M33" i="61" s="1"/>
  <c r="AJ44" i="169"/>
  <c r="AJ47" i="169"/>
  <c r="AJ48" i="169"/>
  <c r="AJ42" i="169"/>
  <c r="AJ49" i="169"/>
  <c r="AJ45" i="169"/>
  <c r="AJ50" i="169"/>
  <c r="AJ46" i="169"/>
  <c r="AJ43" i="169"/>
  <c r="AJ51" i="169"/>
  <c r="K563" i="61"/>
  <c r="M563" i="61" s="1"/>
  <c r="K546" i="61"/>
  <c r="M546" i="61" s="1"/>
  <c r="DJ53" i="169"/>
  <c r="AC23" i="100"/>
  <c r="CQ99" i="109"/>
  <c r="AE23" i="100"/>
  <c r="G96" i="56" s="1"/>
  <c r="H67" i="56"/>
  <c r="R132" i="100"/>
  <c r="R143" i="100" s="1"/>
  <c r="G102" i="56" s="1"/>
  <c r="P143" i="100"/>
  <c r="AE72" i="100"/>
  <c r="AE83" i="100" s="1"/>
  <c r="G99" i="56" s="1"/>
  <c r="AC83" i="100"/>
  <c r="X32" i="100"/>
  <c r="X43" i="100" s="1"/>
  <c r="G97" i="56" s="1"/>
  <c r="V43" i="100"/>
  <c r="AV52" i="161"/>
  <c r="AV70" i="161" s="1"/>
  <c r="BZ52" i="161"/>
  <c r="BZ70" i="161" s="1"/>
  <c r="BY70" i="161"/>
  <c r="DG70" i="161"/>
  <c r="DH53" i="161"/>
  <c r="EM53" i="161" s="1"/>
  <c r="EO53" i="161" s="1"/>
  <c r="L60" i="154" s="1"/>
  <c r="DH52" i="161"/>
  <c r="DA70" i="161"/>
  <c r="B3" i="109" l="1"/>
  <c r="G68" i="56" s="1"/>
  <c r="H27" i="56"/>
  <c r="AU166" i="61"/>
  <c r="AV166" i="61" s="1"/>
  <c r="AU174" i="61"/>
  <c r="AV174" i="61" s="1"/>
  <c r="AU175" i="61"/>
  <c r="AV175" i="61" s="1"/>
  <c r="AU173" i="61"/>
  <c r="AV173" i="61" s="1"/>
  <c r="AU165" i="61"/>
  <c r="AU182" i="61"/>
  <c r="AV182" i="61" s="1"/>
  <c r="AU183" i="61"/>
  <c r="AV183" i="61" s="1"/>
  <c r="AU181" i="61"/>
  <c r="AV181" i="61" s="1"/>
  <c r="AU184" i="61"/>
  <c r="AV184" i="61" s="1"/>
  <c r="AU172" i="61"/>
  <c r="AV172" i="61" s="1"/>
  <c r="AU169" i="61"/>
  <c r="AV169" i="61" s="1"/>
  <c r="AU180" i="61"/>
  <c r="AV180" i="61" s="1"/>
  <c r="AU167" i="61"/>
  <c r="AV167" i="61" s="1"/>
  <c r="AU178" i="61"/>
  <c r="AV178" i="61" s="1"/>
  <c r="AU168" i="61"/>
  <c r="AV168" i="61" s="1"/>
  <c r="AU176" i="61"/>
  <c r="AV176" i="61" s="1"/>
  <c r="AU179" i="61"/>
  <c r="AV179" i="61" s="1"/>
  <c r="AU177" i="61"/>
  <c r="AV177" i="61" s="1"/>
  <c r="AU170" i="61"/>
  <c r="AV170" i="61" s="1"/>
  <c r="AU171" i="61"/>
  <c r="AV171" i="61" s="1"/>
  <c r="AE28" i="157"/>
  <c r="AE25" i="157"/>
  <c r="AE24" i="157"/>
  <c r="AE13" i="157"/>
  <c r="AE17" i="157"/>
  <c r="AE18" i="157"/>
  <c r="AE15" i="157"/>
  <c r="AE22" i="157"/>
  <c r="AE19" i="157"/>
  <c r="AE30" i="157"/>
  <c r="AE26" i="157"/>
  <c r="AE16" i="157"/>
  <c r="AE14" i="157"/>
  <c r="AE29" i="157"/>
  <c r="AE27" i="157"/>
  <c r="AE21" i="157"/>
  <c r="AE20" i="157"/>
  <c r="AE23" i="157"/>
  <c r="AS222" i="61"/>
  <c r="AT222" i="61" s="1"/>
  <c r="AS231" i="61"/>
  <c r="AT231" i="61" s="1"/>
  <c r="AS233" i="61"/>
  <c r="AT233" i="61" s="1"/>
  <c r="AS229" i="61"/>
  <c r="AT229" i="61" s="1"/>
  <c r="AS220" i="61"/>
  <c r="AT220" i="61" s="1"/>
  <c r="AS232" i="61"/>
  <c r="AT232" i="61" s="1"/>
  <c r="AS226" i="61"/>
  <c r="AT226" i="61" s="1"/>
  <c r="AS230" i="61"/>
  <c r="AT230" i="61" s="1"/>
  <c r="AS221" i="61"/>
  <c r="AT221" i="61" s="1"/>
  <c r="AS235" i="61"/>
  <c r="AT235" i="61" s="1"/>
  <c r="AS228" i="61"/>
  <c r="AT228" i="61" s="1"/>
  <c r="AS218" i="61"/>
  <c r="AT218" i="61" s="1"/>
  <c r="AS224" i="61"/>
  <c r="AT224" i="61" s="1"/>
  <c r="AS227" i="61"/>
  <c r="AT227" i="61" s="1"/>
  <c r="AS223" i="61"/>
  <c r="AT223" i="61" s="1"/>
  <c r="AS236" i="61"/>
  <c r="AT236" i="61" s="1"/>
  <c r="AS217" i="61"/>
  <c r="AS225" i="61"/>
  <c r="AT225" i="61" s="1"/>
  <c r="AS234" i="61"/>
  <c r="AT234" i="61" s="1"/>
  <c r="AS219" i="61"/>
  <c r="AT219" i="61" s="1"/>
  <c r="H46" i="56"/>
  <c r="I59" i="160"/>
  <c r="K48" i="160"/>
  <c r="K59" i="160" s="1"/>
  <c r="G90" i="56" s="1"/>
  <c r="P16" i="160"/>
  <c r="P17" i="160"/>
  <c r="P20" i="160"/>
  <c r="P21" i="160"/>
  <c r="P13" i="160"/>
  <c r="P14" i="160"/>
  <c r="P22" i="160"/>
  <c r="P18" i="160"/>
  <c r="P15" i="160"/>
  <c r="P19" i="160"/>
  <c r="G79" i="113"/>
  <c r="G97" i="113"/>
  <c r="G87" i="113"/>
  <c r="G83" i="113"/>
  <c r="AT83" i="113" s="1"/>
  <c r="G81" i="113"/>
  <c r="G85" i="113"/>
  <c r="G91" i="113"/>
  <c r="G86" i="113"/>
  <c r="G88" i="113"/>
  <c r="G90" i="113"/>
  <c r="G84" i="113"/>
  <c r="G93" i="113"/>
  <c r="AT93" i="113" s="1"/>
  <c r="G82" i="113"/>
  <c r="G98" i="113"/>
  <c r="G89" i="113"/>
  <c r="G80" i="113"/>
  <c r="G95" i="113"/>
  <c r="G94" i="113"/>
  <c r="G96" i="113"/>
  <c r="G92" i="113"/>
  <c r="W18" i="157"/>
  <c r="W19" i="157"/>
  <c r="W24" i="157"/>
  <c r="W28" i="157"/>
  <c r="W15" i="157"/>
  <c r="W29" i="157"/>
  <c r="W26" i="157"/>
  <c r="W30" i="157"/>
  <c r="W20" i="157"/>
  <c r="W22" i="157"/>
  <c r="W25" i="157"/>
  <c r="W21" i="157"/>
  <c r="W16" i="157"/>
  <c r="W13" i="157"/>
  <c r="W27" i="157"/>
  <c r="W12" i="157"/>
  <c r="W17" i="157"/>
  <c r="W11" i="157"/>
  <c r="W23" i="157"/>
  <c r="W14" i="157"/>
  <c r="X45" i="169"/>
  <c r="X51" i="169"/>
  <c r="X43" i="169"/>
  <c r="X49" i="169"/>
  <c r="X46" i="169"/>
  <c r="X42" i="169"/>
  <c r="X44" i="169"/>
  <c r="X48" i="169"/>
  <c r="X50" i="169"/>
  <c r="X47" i="169"/>
  <c r="AT75" i="61"/>
  <c r="AU75" i="61" s="1"/>
  <c r="AT85" i="61"/>
  <c r="AU85" i="61" s="1"/>
  <c r="AT71" i="61"/>
  <c r="AT74" i="61"/>
  <c r="AU74" i="61" s="1"/>
  <c r="AT86" i="61"/>
  <c r="AU86" i="61" s="1"/>
  <c r="AT79" i="61"/>
  <c r="AU79" i="61" s="1"/>
  <c r="AT84" i="61"/>
  <c r="AU84" i="61" s="1"/>
  <c r="AT72" i="61"/>
  <c r="AU72" i="61" s="1"/>
  <c r="AT73" i="61"/>
  <c r="AU73" i="61" s="1"/>
  <c r="AT77" i="61"/>
  <c r="AU77" i="61" s="1"/>
  <c r="AT81" i="61"/>
  <c r="AU81" i="61" s="1"/>
  <c r="AT78" i="61"/>
  <c r="AU78" i="61" s="1"/>
  <c r="AT83" i="61"/>
  <c r="AU83" i="61" s="1"/>
  <c r="AT89" i="61"/>
  <c r="AU89" i="61" s="1"/>
  <c r="AT76" i="61"/>
  <c r="AU76" i="61" s="1"/>
  <c r="AT90" i="61"/>
  <c r="AU90" i="61" s="1"/>
  <c r="AT80" i="61"/>
  <c r="AU80" i="61" s="1"/>
  <c r="AT88" i="61"/>
  <c r="AU88" i="61" s="1"/>
  <c r="AT82" i="61"/>
  <c r="AU82" i="61" s="1"/>
  <c r="AT87" i="61"/>
  <c r="AU87" i="61" s="1"/>
  <c r="I51" i="169"/>
  <c r="I48" i="169"/>
  <c r="I44" i="169"/>
  <c r="I46" i="169"/>
  <c r="I42" i="169"/>
  <c r="I47" i="169"/>
  <c r="I43" i="169"/>
  <c r="I45" i="169"/>
  <c r="I50" i="169"/>
  <c r="I49" i="169"/>
  <c r="M291" i="61"/>
  <c r="G33" i="56" s="1"/>
  <c r="Z16" i="157"/>
  <c r="Z26" i="157"/>
  <c r="Z21" i="157"/>
  <c r="Z20" i="157"/>
  <c r="Z30" i="157"/>
  <c r="Z25" i="157"/>
  <c r="Z13" i="157"/>
  <c r="Z12" i="157"/>
  <c r="Z24" i="157"/>
  <c r="Z19" i="157"/>
  <c r="Z28" i="157"/>
  <c r="Z17" i="157"/>
  <c r="Z11" i="157"/>
  <c r="Z14" i="157"/>
  <c r="Z23" i="157"/>
  <c r="Z22" i="157"/>
  <c r="Z18" i="157"/>
  <c r="Z27" i="157"/>
  <c r="Z29" i="157"/>
  <c r="Z15" i="157"/>
  <c r="AJ11" i="157"/>
  <c r="AJ26" i="157"/>
  <c r="AJ29" i="157"/>
  <c r="AJ12" i="157"/>
  <c r="AJ22" i="157"/>
  <c r="AJ16" i="157"/>
  <c r="AJ27" i="157"/>
  <c r="AJ28" i="157"/>
  <c r="AJ25" i="157"/>
  <c r="AJ30" i="157"/>
  <c r="AJ24" i="157"/>
  <c r="AJ18" i="157"/>
  <c r="AJ14" i="157"/>
  <c r="AJ20" i="157"/>
  <c r="AJ19" i="157"/>
  <c r="AJ17" i="157"/>
  <c r="AJ23" i="157"/>
  <c r="AJ15" i="157"/>
  <c r="AJ13" i="157"/>
  <c r="AJ21" i="157"/>
  <c r="N13" i="160"/>
  <c r="N19" i="160"/>
  <c r="N21" i="160"/>
  <c r="N16" i="160"/>
  <c r="N14" i="160"/>
  <c r="N22" i="160"/>
  <c r="S22" i="160" s="1"/>
  <c r="U22" i="160" s="1"/>
  <c r="N17" i="160"/>
  <c r="N15" i="160"/>
  <c r="N20" i="160"/>
  <c r="N18" i="160"/>
  <c r="X18" i="157"/>
  <c r="X13" i="157"/>
  <c r="X26" i="157"/>
  <c r="X17" i="157"/>
  <c r="X11" i="157"/>
  <c r="X30" i="157"/>
  <c r="X28" i="157"/>
  <c r="X25" i="157"/>
  <c r="X23" i="157"/>
  <c r="X22" i="157"/>
  <c r="X20" i="157"/>
  <c r="X19" i="157"/>
  <c r="X24" i="157"/>
  <c r="X29" i="157"/>
  <c r="X16" i="157"/>
  <c r="X21" i="157"/>
  <c r="X14" i="157"/>
  <c r="X27" i="157"/>
  <c r="X15" i="157"/>
  <c r="X12" i="157"/>
  <c r="K96" i="160"/>
  <c r="I115" i="160"/>
  <c r="AH267" i="61"/>
  <c r="AH269" i="61"/>
  <c r="AI269" i="61" s="1"/>
  <c r="AH275" i="61"/>
  <c r="AI275" i="61" s="1"/>
  <c r="AH276" i="61"/>
  <c r="AI276" i="61" s="1"/>
  <c r="AH270" i="61"/>
  <c r="AI270" i="61" s="1"/>
  <c r="AH273" i="61"/>
  <c r="AI273" i="61" s="1"/>
  <c r="AH272" i="61"/>
  <c r="AI272" i="61" s="1"/>
  <c r="AH274" i="61"/>
  <c r="AI274" i="61" s="1"/>
  <c r="AH268" i="61"/>
  <c r="AI268" i="61" s="1"/>
  <c r="AH271" i="61"/>
  <c r="AI271" i="61" s="1"/>
  <c r="AB51" i="159"/>
  <c r="AD51" i="159" s="1"/>
  <c r="BK178" i="113"/>
  <c r="BK184" i="113"/>
  <c r="BK195" i="113"/>
  <c r="BK194" i="113"/>
  <c r="BK176" i="113"/>
  <c r="BK177" i="113"/>
  <c r="BK181" i="113"/>
  <c r="BK189" i="113"/>
  <c r="BK190" i="113"/>
  <c r="BK193" i="113"/>
  <c r="BK186" i="113"/>
  <c r="BK192" i="113"/>
  <c r="BK191" i="113"/>
  <c r="BK180" i="113"/>
  <c r="BK185" i="113"/>
  <c r="BK188" i="113"/>
  <c r="BK187" i="113"/>
  <c r="BK183" i="113"/>
  <c r="BK182" i="113"/>
  <c r="BK179" i="113"/>
  <c r="BJ195" i="113"/>
  <c r="BJ191" i="113"/>
  <c r="BJ193" i="113"/>
  <c r="BJ179" i="113"/>
  <c r="BL179" i="113" s="1"/>
  <c r="BJ194" i="113"/>
  <c r="BJ184" i="113"/>
  <c r="BL184" i="113" s="1"/>
  <c r="BJ181" i="113"/>
  <c r="BJ178" i="113"/>
  <c r="BL178" i="113" s="1"/>
  <c r="BJ177" i="113"/>
  <c r="BL177" i="113" s="1"/>
  <c r="BJ192" i="113"/>
  <c r="BJ176" i="113"/>
  <c r="BJ190" i="113"/>
  <c r="BL190" i="113" s="1"/>
  <c r="BJ188" i="113"/>
  <c r="BJ180" i="113"/>
  <c r="BL180" i="113" s="1"/>
  <c r="BJ183" i="113"/>
  <c r="BJ186" i="113"/>
  <c r="BL186" i="113" s="1"/>
  <c r="BJ182" i="113"/>
  <c r="BJ187" i="113"/>
  <c r="BL187" i="113" s="1"/>
  <c r="BJ189" i="113"/>
  <c r="BJ185" i="113"/>
  <c r="BL185" i="113" s="1"/>
  <c r="I101" i="65"/>
  <c r="G17" i="56" s="1"/>
  <c r="AF14" i="157"/>
  <c r="AF11" i="157"/>
  <c r="AK11" i="157"/>
  <c r="AK20" i="157"/>
  <c r="AK21" i="157"/>
  <c r="AK17" i="157"/>
  <c r="AK18" i="157"/>
  <c r="AK15" i="157"/>
  <c r="AK12" i="157"/>
  <c r="AK30" i="157"/>
  <c r="AK29" i="157"/>
  <c r="AK26" i="157"/>
  <c r="AK14" i="157"/>
  <c r="AK13" i="157"/>
  <c r="AK25" i="157"/>
  <c r="AK22" i="157"/>
  <c r="AK16" i="157"/>
  <c r="AK28" i="157"/>
  <c r="AK23" i="157"/>
  <c r="AK24" i="157"/>
  <c r="AK27" i="157"/>
  <c r="AK19" i="157"/>
  <c r="H13" i="56"/>
  <c r="AA13" i="157"/>
  <c r="AA25" i="157"/>
  <c r="AA29" i="157"/>
  <c r="AA23" i="157"/>
  <c r="AA22" i="157"/>
  <c r="AA27" i="157"/>
  <c r="AA24" i="157"/>
  <c r="AA18" i="157"/>
  <c r="AA12" i="157"/>
  <c r="AA11" i="157"/>
  <c r="AA19" i="157"/>
  <c r="AA15" i="157"/>
  <c r="AA17" i="157"/>
  <c r="AA28" i="157"/>
  <c r="AA14" i="157"/>
  <c r="AA26" i="157"/>
  <c r="AA16" i="157"/>
  <c r="AA30" i="157"/>
  <c r="AA21" i="157"/>
  <c r="AA20" i="157"/>
  <c r="AS81" i="113"/>
  <c r="AS88" i="113"/>
  <c r="AS91" i="113"/>
  <c r="AS82" i="113"/>
  <c r="AS95" i="113"/>
  <c r="AS96" i="113"/>
  <c r="AS98" i="113"/>
  <c r="AS79" i="113"/>
  <c r="AS85" i="113"/>
  <c r="AS97" i="113"/>
  <c r="AS80" i="113"/>
  <c r="AS92" i="113"/>
  <c r="AS83" i="113"/>
  <c r="AS93" i="113"/>
  <c r="AS86" i="113"/>
  <c r="AS89" i="113"/>
  <c r="AS94" i="113"/>
  <c r="AS87" i="113"/>
  <c r="AS84" i="113"/>
  <c r="AS90" i="113"/>
  <c r="Y12" i="157"/>
  <c r="Y18" i="157"/>
  <c r="Y17" i="157"/>
  <c r="Y19" i="157"/>
  <c r="Y26" i="157"/>
  <c r="Y25" i="157"/>
  <c r="Y24" i="157"/>
  <c r="Y23" i="157"/>
  <c r="Y16" i="157"/>
  <c r="Y29" i="157"/>
  <c r="Y22" i="157"/>
  <c r="Y15" i="157"/>
  <c r="Y20" i="157"/>
  <c r="Y28" i="157"/>
  <c r="Y14" i="157"/>
  <c r="Y21" i="157"/>
  <c r="Y30" i="157"/>
  <c r="Y13" i="157"/>
  <c r="Y27" i="157"/>
  <c r="Y11" i="157"/>
  <c r="H31" i="56"/>
  <c r="H48" i="56"/>
  <c r="M459" i="61"/>
  <c r="G43" i="56" s="1"/>
  <c r="K56" i="133"/>
  <c r="B3" i="133" s="1"/>
  <c r="I77" i="65"/>
  <c r="G16" i="56" s="1"/>
  <c r="BE159" i="113"/>
  <c r="BE153" i="113"/>
  <c r="BE160" i="113"/>
  <c r="BE146" i="113"/>
  <c r="BE161" i="113"/>
  <c r="BE154" i="113"/>
  <c r="BE163" i="113"/>
  <c r="BE148" i="113"/>
  <c r="BE155" i="113"/>
  <c r="BE156" i="113"/>
  <c r="BE158" i="113"/>
  <c r="BE150" i="113"/>
  <c r="BE151" i="113"/>
  <c r="BE144" i="113"/>
  <c r="BE145" i="113"/>
  <c r="BE147" i="113"/>
  <c r="BE152" i="113"/>
  <c r="BE149" i="113"/>
  <c r="BE157" i="113"/>
  <c r="BE162" i="113"/>
  <c r="M136" i="61"/>
  <c r="G26" i="56" s="1"/>
  <c r="M309" i="61"/>
  <c r="G34" i="56" s="1"/>
  <c r="M427" i="61"/>
  <c r="G41" i="56" s="1"/>
  <c r="O13" i="160"/>
  <c r="O19" i="160"/>
  <c r="O16" i="160"/>
  <c r="O14" i="160"/>
  <c r="O20" i="160"/>
  <c r="O17" i="160"/>
  <c r="O18" i="160"/>
  <c r="S18" i="160" s="1"/>
  <c r="U18" i="160" s="1"/>
  <c r="O21" i="160"/>
  <c r="O15" i="160"/>
  <c r="S15" i="160" s="1"/>
  <c r="U15" i="160" s="1"/>
  <c r="O22" i="160"/>
  <c r="J117" i="65"/>
  <c r="G18" i="56" s="1"/>
  <c r="AR79" i="113"/>
  <c r="AR97" i="113"/>
  <c r="AR83" i="113"/>
  <c r="AR93" i="113"/>
  <c r="AR84" i="113"/>
  <c r="AR81" i="113"/>
  <c r="AR92" i="113"/>
  <c r="AR82" i="113"/>
  <c r="AR95" i="113"/>
  <c r="AR90" i="113"/>
  <c r="AR94" i="113"/>
  <c r="AR86" i="113"/>
  <c r="AR89" i="113"/>
  <c r="AR88" i="113"/>
  <c r="AR91" i="113"/>
  <c r="AR80" i="113"/>
  <c r="AR98" i="113"/>
  <c r="AR85" i="113"/>
  <c r="AR87" i="113"/>
  <c r="AR96" i="113"/>
  <c r="AE320" i="61"/>
  <c r="AF320" i="61" s="1"/>
  <c r="AE324" i="61"/>
  <c r="AF324" i="61" s="1"/>
  <c r="AE327" i="61"/>
  <c r="AF327" i="61" s="1"/>
  <c r="AE325" i="61"/>
  <c r="AF325" i="61" s="1"/>
  <c r="AE318" i="61"/>
  <c r="AE323" i="61"/>
  <c r="AF323" i="61" s="1"/>
  <c r="AE326" i="61"/>
  <c r="AF326" i="61" s="1"/>
  <c r="AE321" i="61"/>
  <c r="AF321" i="61" s="1"/>
  <c r="AE319" i="61"/>
  <c r="AF319" i="61" s="1"/>
  <c r="M17" i="61"/>
  <c r="G21" i="56" s="1"/>
  <c r="H75" i="56"/>
  <c r="V30" i="157"/>
  <c r="V23" i="157"/>
  <c r="V25" i="157"/>
  <c r="AL25" i="157" s="1"/>
  <c r="AN25" i="157" s="1"/>
  <c r="V21" i="157"/>
  <c r="V29" i="157"/>
  <c r="V20" i="157"/>
  <c r="V24" i="157"/>
  <c r="V11" i="157"/>
  <c r="V12" i="157"/>
  <c r="V18" i="157"/>
  <c r="V26" i="157"/>
  <c r="V19" i="157"/>
  <c r="V13" i="157"/>
  <c r="AL13" i="157" s="1"/>
  <c r="AN13" i="157" s="1"/>
  <c r="V27" i="157"/>
  <c r="V14" i="157"/>
  <c r="V22" i="157"/>
  <c r="V28" i="157"/>
  <c r="V16" i="157"/>
  <c r="V17" i="157"/>
  <c r="V15" i="157"/>
  <c r="H44" i="56"/>
  <c r="K115" i="160"/>
  <c r="G93" i="56" s="1"/>
  <c r="Q146" i="113"/>
  <c r="Q144" i="113"/>
  <c r="Q161" i="113"/>
  <c r="Q151" i="113"/>
  <c r="BG151" i="113" s="1"/>
  <c r="Q154" i="113"/>
  <c r="Q149" i="113"/>
  <c r="BG149" i="113" s="1"/>
  <c r="Q159" i="113"/>
  <c r="BG159" i="113" s="1"/>
  <c r="Q162" i="113"/>
  <c r="Q157" i="113"/>
  <c r="Q155" i="113"/>
  <c r="Q152" i="113"/>
  <c r="Q147" i="113"/>
  <c r="BG147" i="113" s="1"/>
  <c r="Q150" i="113"/>
  <c r="Q160" i="113"/>
  <c r="BG160" i="113" s="1"/>
  <c r="Q158" i="113"/>
  <c r="Q156" i="113"/>
  <c r="Q145" i="113"/>
  <c r="Q163" i="113"/>
  <c r="Q153" i="113"/>
  <c r="Q148" i="113"/>
  <c r="AI11" i="157"/>
  <c r="AI27" i="157"/>
  <c r="AI22" i="157"/>
  <c r="AI13" i="157"/>
  <c r="AI18" i="157"/>
  <c r="AI29" i="157"/>
  <c r="AI12" i="157"/>
  <c r="AI26" i="157"/>
  <c r="AI28" i="157"/>
  <c r="AI17" i="157"/>
  <c r="AI23" i="157"/>
  <c r="AI25" i="157"/>
  <c r="AI20" i="157"/>
  <c r="AI19" i="157"/>
  <c r="AI21" i="157"/>
  <c r="AI24" i="157"/>
  <c r="AI16" i="157"/>
  <c r="AI14" i="157"/>
  <c r="AI15" i="157"/>
  <c r="AI30" i="157"/>
  <c r="M501" i="61"/>
  <c r="G47" i="56" s="1"/>
  <c r="AB23" i="157"/>
  <c r="AB26" i="157"/>
  <c r="AB15" i="157"/>
  <c r="AB21" i="157"/>
  <c r="AB20" i="157"/>
  <c r="AB24" i="157"/>
  <c r="AB18" i="157"/>
  <c r="AB30" i="157"/>
  <c r="AB12" i="157"/>
  <c r="AB28" i="157"/>
  <c r="AB16" i="157"/>
  <c r="AB19" i="157"/>
  <c r="AB22" i="157"/>
  <c r="AB17" i="157"/>
  <c r="AB29" i="157"/>
  <c r="AB25" i="157"/>
  <c r="AB27" i="157"/>
  <c r="AV118" i="113"/>
  <c r="AW118" i="113" s="1"/>
  <c r="AV123" i="113"/>
  <c r="AW123" i="113" s="1"/>
  <c r="AV116" i="113"/>
  <c r="AW116" i="113" s="1"/>
  <c r="AV120" i="113"/>
  <c r="AW120" i="113" s="1"/>
  <c r="AV122" i="113"/>
  <c r="AW122" i="113" s="1"/>
  <c r="AV115" i="113"/>
  <c r="AW115" i="113" s="1"/>
  <c r="AV129" i="113"/>
  <c r="AW129" i="113" s="1"/>
  <c r="AV117" i="113"/>
  <c r="AW117" i="113" s="1"/>
  <c r="AV128" i="113"/>
  <c r="AW128" i="113" s="1"/>
  <c r="AV121" i="113"/>
  <c r="AW121" i="113" s="1"/>
  <c r="AV119" i="113"/>
  <c r="AW119" i="113" s="1"/>
  <c r="AV114" i="113"/>
  <c r="AW114" i="113" s="1"/>
  <c r="AV112" i="113"/>
  <c r="AW112" i="113" s="1"/>
  <c r="AV113" i="113"/>
  <c r="AW113" i="113" s="1"/>
  <c r="AV127" i="113"/>
  <c r="AW127" i="113" s="1"/>
  <c r="AV126" i="113"/>
  <c r="AW126" i="113" s="1"/>
  <c r="AV124" i="113"/>
  <c r="AW124" i="113" s="1"/>
  <c r="AV130" i="113"/>
  <c r="AW130" i="113" s="1"/>
  <c r="AV125" i="113"/>
  <c r="AW125" i="113" s="1"/>
  <c r="AV111" i="113"/>
  <c r="B3" i="162"/>
  <c r="G76" i="56" s="1"/>
  <c r="M445" i="61"/>
  <c r="G42" i="56" s="1"/>
  <c r="K64" i="160"/>
  <c r="K75" i="160" s="1"/>
  <c r="G91" i="56" s="1"/>
  <c r="I75" i="160"/>
  <c r="AH22" i="157"/>
  <c r="AH17" i="157"/>
  <c r="AH25" i="157"/>
  <c r="AH30" i="157"/>
  <c r="AH23" i="157"/>
  <c r="AH26" i="157"/>
  <c r="AH14" i="157"/>
  <c r="AH13" i="157"/>
  <c r="AH19" i="157"/>
  <c r="AH11" i="157"/>
  <c r="AH32" i="157" s="1"/>
  <c r="AH20" i="157"/>
  <c r="AH15" i="157"/>
  <c r="AH29" i="157"/>
  <c r="AH16" i="157"/>
  <c r="AH27" i="157"/>
  <c r="AH18" i="157"/>
  <c r="AH24" i="157"/>
  <c r="AH28" i="157"/>
  <c r="AH12" i="157"/>
  <c r="AH21" i="157"/>
  <c r="H12" i="56"/>
  <c r="BF153" i="113"/>
  <c r="BF144" i="113"/>
  <c r="BF155" i="113"/>
  <c r="BF154" i="113"/>
  <c r="BF152" i="113"/>
  <c r="BF158" i="113"/>
  <c r="BF145" i="113"/>
  <c r="BF147" i="113"/>
  <c r="BF160" i="113"/>
  <c r="BF163" i="113"/>
  <c r="BF161" i="113"/>
  <c r="BF157" i="113"/>
  <c r="BF162" i="113"/>
  <c r="BF156" i="113"/>
  <c r="BF150" i="113"/>
  <c r="BF151" i="113"/>
  <c r="BF159" i="113"/>
  <c r="BF146" i="113"/>
  <c r="BF149" i="113"/>
  <c r="BF148" i="113"/>
  <c r="AS116" i="61"/>
  <c r="AT116" i="61" s="1"/>
  <c r="AS123" i="61"/>
  <c r="AT123" i="61" s="1"/>
  <c r="AS122" i="61"/>
  <c r="AT122" i="61" s="1"/>
  <c r="AS121" i="61"/>
  <c r="AT121" i="61" s="1"/>
  <c r="AS119" i="61"/>
  <c r="AT119" i="61" s="1"/>
  <c r="AS110" i="61"/>
  <c r="AT110" i="61" s="1"/>
  <c r="AS114" i="61"/>
  <c r="AT114" i="61" s="1"/>
  <c r="AS115" i="61"/>
  <c r="AT115" i="61" s="1"/>
  <c r="AS117" i="61"/>
  <c r="AT117" i="61" s="1"/>
  <c r="AS104" i="61"/>
  <c r="AS105" i="61"/>
  <c r="AT105" i="61" s="1"/>
  <c r="AS120" i="61"/>
  <c r="AT120" i="61" s="1"/>
  <c r="AS106" i="61"/>
  <c r="AT106" i="61" s="1"/>
  <c r="AS108" i="61"/>
  <c r="AT108" i="61" s="1"/>
  <c r="AS111" i="61"/>
  <c r="AT111" i="61" s="1"/>
  <c r="AS113" i="61"/>
  <c r="AT113" i="61" s="1"/>
  <c r="AS107" i="61"/>
  <c r="AT107" i="61" s="1"/>
  <c r="AS109" i="61"/>
  <c r="AT109" i="61" s="1"/>
  <c r="AS112" i="61"/>
  <c r="AT112" i="61" s="1"/>
  <c r="AS118" i="61"/>
  <c r="AT118" i="61" s="1"/>
  <c r="H1" i="101"/>
  <c r="I1" i="101" s="1"/>
  <c r="E90" i="65"/>
  <c r="E95" i="65"/>
  <c r="E70" i="65"/>
  <c r="I300" i="61"/>
  <c r="J20" i="126"/>
  <c r="J27" i="126"/>
  <c r="J29" i="126"/>
  <c r="J10" i="126"/>
  <c r="AD37" i="169"/>
  <c r="I15" i="169"/>
  <c r="I17" i="169"/>
  <c r="BJ172" i="113"/>
  <c r="DX47" i="109"/>
  <c r="N41" i="113"/>
  <c r="I12" i="61"/>
  <c r="I374" i="61"/>
  <c r="H11" i="65"/>
  <c r="AF7" i="157"/>
  <c r="G37" i="133"/>
  <c r="G9" i="133"/>
  <c r="G20" i="133"/>
  <c r="G19" i="133"/>
  <c r="G34" i="133"/>
  <c r="E64" i="165" s="1"/>
  <c r="L10" i="86"/>
  <c r="I359" i="61"/>
  <c r="I358" i="61"/>
  <c r="I341" i="61"/>
  <c r="I147" i="61"/>
  <c r="I26" i="61"/>
  <c r="I25" i="61"/>
  <c r="I24" i="61"/>
  <c r="I201" i="61"/>
  <c r="I194" i="61"/>
  <c r="I199" i="61"/>
  <c r="E83" i="65"/>
  <c r="E86" i="65"/>
  <c r="E69" i="65"/>
  <c r="I301" i="61"/>
  <c r="J28" i="126"/>
  <c r="J35" i="126"/>
  <c r="I140" i="113"/>
  <c r="J34" i="126"/>
  <c r="AB37" i="169"/>
  <c r="I27" i="169"/>
  <c r="G32" i="133"/>
  <c r="DW47" i="109"/>
  <c r="I11" i="61"/>
  <c r="I373" i="61"/>
  <c r="I54" i="61"/>
  <c r="N10" i="160"/>
  <c r="Y7" i="157"/>
  <c r="E33" i="65"/>
  <c r="G15" i="133"/>
  <c r="G31" i="133"/>
  <c r="G25" i="133"/>
  <c r="I360" i="61"/>
  <c r="I351" i="61"/>
  <c r="I350" i="61"/>
  <c r="I36" i="61"/>
  <c r="I251" i="61"/>
  <c r="I146" i="61"/>
  <c r="I145" i="61"/>
  <c r="I144" i="61"/>
  <c r="I193" i="61"/>
  <c r="I200" i="61"/>
  <c r="F109" i="65"/>
  <c r="E91" i="65"/>
  <c r="E87" i="65"/>
  <c r="I299" i="61"/>
  <c r="J36" i="126"/>
  <c r="J26" i="126"/>
  <c r="J33" i="126"/>
  <c r="I16" i="169"/>
  <c r="I18" i="169"/>
  <c r="AS75" i="113"/>
  <c r="EE47" i="161"/>
  <c r="I286" i="61"/>
  <c r="I494" i="61"/>
  <c r="I398" i="61"/>
  <c r="I55" i="61"/>
  <c r="K140" i="113"/>
  <c r="AG7" i="157"/>
  <c r="G39" i="133"/>
  <c r="G16" i="133"/>
  <c r="G12" i="133"/>
  <c r="G22" i="133"/>
  <c r="I352" i="61"/>
  <c r="I343" i="61"/>
  <c r="I342" i="61"/>
  <c r="I28" i="61"/>
  <c r="I363" i="61"/>
  <c r="I250" i="61"/>
  <c r="I249" i="61"/>
  <c r="I248" i="61"/>
  <c r="I196" i="61"/>
  <c r="F108" i="65"/>
  <c r="E93" i="65"/>
  <c r="E65" i="65"/>
  <c r="J16" i="126"/>
  <c r="J38" i="126"/>
  <c r="J22" i="126"/>
  <c r="I19" i="169"/>
  <c r="I12" i="169"/>
  <c r="AR75" i="113"/>
  <c r="AH7" i="157"/>
  <c r="O140" i="113"/>
  <c r="I285" i="61"/>
  <c r="I22" i="61"/>
  <c r="I53" i="61"/>
  <c r="L140" i="113"/>
  <c r="Z7" i="157"/>
  <c r="G40" i="133"/>
  <c r="G35" i="133"/>
  <c r="E65" i="165" s="1"/>
  <c r="G11" i="133"/>
  <c r="E63" i="165" s="1"/>
  <c r="I131" i="61"/>
  <c r="G30" i="133"/>
  <c r="I344" i="61"/>
  <c r="I38" i="61"/>
  <c r="I37" i="61"/>
  <c r="I148" i="61"/>
  <c r="I355" i="61"/>
  <c r="I362" i="61"/>
  <c r="I361" i="61"/>
  <c r="I388" i="61"/>
  <c r="E61" i="65"/>
  <c r="E85" i="65"/>
  <c r="E64" i="65"/>
  <c r="I304" i="61"/>
  <c r="J24" i="126"/>
  <c r="J37" i="126"/>
  <c r="J21" i="126"/>
  <c r="I28" i="169"/>
  <c r="I13" i="169"/>
  <c r="AU107" i="113"/>
  <c r="AK7" i="157"/>
  <c r="P140" i="113"/>
  <c r="I495" i="61"/>
  <c r="I52" i="61"/>
  <c r="H21" i="65"/>
  <c r="M140" i="113"/>
  <c r="H140" i="113"/>
  <c r="AC7" i="157"/>
  <c r="AA7" i="157"/>
  <c r="G42" i="133"/>
  <c r="G36" i="133"/>
  <c r="E66" i="165" s="1"/>
  <c r="G14" i="133"/>
  <c r="G23" i="133"/>
  <c r="G10" i="133"/>
  <c r="E62" i="165" s="1"/>
  <c r="I336" i="61"/>
  <c r="I30" i="61"/>
  <c r="I29" i="61"/>
  <c r="I246" i="61"/>
  <c r="I347" i="61"/>
  <c r="I354" i="61"/>
  <c r="I353" i="61"/>
  <c r="H10" i="65"/>
  <c r="E32" i="65"/>
  <c r="E89" i="65"/>
  <c r="BD65" i="86"/>
  <c r="E68" i="65"/>
  <c r="I302" i="61"/>
  <c r="J32" i="126"/>
  <c r="J18" i="126"/>
  <c r="J25" i="126"/>
  <c r="I24" i="169"/>
  <c r="I25" i="169"/>
  <c r="BK172" i="113"/>
  <c r="P41" i="113"/>
  <c r="I511" i="61"/>
  <c r="E48" i="65"/>
  <c r="I50" i="61"/>
  <c r="H23" i="65"/>
  <c r="J140" i="113"/>
  <c r="W7" i="157"/>
  <c r="AB7" i="157"/>
  <c r="G41" i="133"/>
  <c r="G24" i="133"/>
  <c r="G21" i="133"/>
  <c r="G28" i="133"/>
  <c r="I440" i="61"/>
  <c r="I31" i="61"/>
  <c r="I150" i="61"/>
  <c r="I149" i="61"/>
  <c r="I348" i="61"/>
  <c r="I339" i="61"/>
  <c r="I346" i="61"/>
  <c r="I345" i="61"/>
  <c r="I408" i="61"/>
  <c r="E88" i="65"/>
  <c r="BC65" i="86"/>
  <c r="E63" i="65"/>
  <c r="I303" i="61"/>
  <c r="J40" i="126"/>
  <c r="J31" i="126"/>
  <c r="J14" i="126"/>
  <c r="I20" i="169"/>
  <c r="I29" i="169"/>
  <c r="BE140" i="113"/>
  <c r="EQ48" i="162"/>
  <c r="G140" i="113"/>
  <c r="I496" i="61"/>
  <c r="E50" i="65"/>
  <c r="H22" i="65"/>
  <c r="E82" i="65"/>
  <c r="G43" i="133"/>
  <c r="G29" i="133"/>
  <c r="I132" i="61"/>
  <c r="G27" i="133"/>
  <c r="I437" i="61"/>
  <c r="I247" i="61"/>
  <c r="I386" i="61"/>
  <c r="I357" i="61"/>
  <c r="I35" i="61"/>
  <c r="I384" i="61"/>
  <c r="I338" i="61"/>
  <c r="I337" i="61"/>
  <c r="E94" i="65"/>
  <c r="E71" i="65"/>
  <c r="E67" i="65"/>
  <c r="J12" i="126"/>
  <c r="J19" i="126"/>
  <c r="J30" i="126"/>
  <c r="J17" i="126"/>
  <c r="AF37" i="169"/>
  <c r="I23" i="169"/>
  <c r="I14" i="169"/>
  <c r="BF140" i="113"/>
  <c r="ER48" i="162"/>
  <c r="G75" i="113"/>
  <c r="I49" i="61"/>
  <c r="H12" i="65"/>
  <c r="AE7" i="157"/>
  <c r="E35" i="65"/>
  <c r="G38" i="133"/>
  <c r="G13" i="133"/>
  <c r="G26" i="133"/>
  <c r="G18" i="133"/>
  <c r="I435" i="61"/>
  <c r="I387" i="61"/>
  <c r="I464" i="61"/>
  <c r="I349" i="61"/>
  <c r="I27" i="61"/>
  <c r="I34" i="61"/>
  <c r="I33" i="61"/>
  <c r="I32" i="61"/>
  <c r="I198" i="61"/>
  <c r="I195" i="61"/>
  <c r="L18" i="86"/>
  <c r="L29" i="86"/>
  <c r="E66" i="65"/>
  <c r="I11" i="169"/>
  <c r="I356" i="61"/>
  <c r="J39" i="126"/>
  <c r="E49" i="65"/>
  <c r="P10" i="160"/>
  <c r="J13" i="126"/>
  <c r="F107" i="65"/>
  <c r="I340" i="61"/>
  <c r="I143" i="61"/>
  <c r="G17" i="133"/>
  <c r="I37" i="169"/>
  <c r="AI7" i="157"/>
  <c r="O10" i="160"/>
  <c r="I421" i="61"/>
  <c r="E43" i="165" s="1"/>
  <c r="I420" i="61"/>
  <c r="E42" i="165" s="1"/>
  <c r="I438" i="61"/>
  <c r="E47" i="165" s="1"/>
  <c r="I451" i="61"/>
  <c r="E48" i="165" s="1"/>
  <c r="V7" i="157"/>
  <c r="E92" i="65"/>
  <c r="I51" i="61"/>
  <c r="G44" i="133"/>
  <c r="I453" i="61"/>
  <c r="E50" i="165" s="1"/>
  <c r="I372" i="61"/>
  <c r="I436" i="61"/>
  <c r="E46" i="165" s="1"/>
  <c r="X7" i="157"/>
  <c r="E34" i="65"/>
  <c r="I484" i="61"/>
  <c r="ED47" i="161"/>
  <c r="I298" i="61"/>
  <c r="I39" i="61"/>
  <c r="I371" i="61"/>
  <c r="E36" i="65"/>
  <c r="J9" i="126"/>
  <c r="I507" i="61"/>
  <c r="E57" i="165" s="1"/>
  <c r="I422" i="61"/>
  <c r="E44" i="165" s="1"/>
  <c r="I21" i="169"/>
  <c r="I509" i="61"/>
  <c r="E59" i="165" s="1"/>
  <c r="I335" i="61"/>
  <c r="I284" i="61"/>
  <c r="J23" i="126"/>
  <c r="I434" i="61"/>
  <c r="E45" i="165" s="1"/>
  <c r="I506" i="61"/>
  <c r="E56" i="165" s="1"/>
  <c r="I418" i="61"/>
  <c r="E40" i="165" s="1"/>
  <c r="I22" i="169"/>
  <c r="I508" i="61"/>
  <c r="E58" i="165" s="1"/>
  <c r="I385" i="61"/>
  <c r="I23" i="61"/>
  <c r="L11" i="86"/>
  <c r="AD7" i="157"/>
  <c r="N140" i="113"/>
  <c r="I419" i="61"/>
  <c r="E41" i="165" s="1"/>
  <c r="AJ7" i="157"/>
  <c r="J15" i="126"/>
  <c r="E84" i="65"/>
  <c r="U7" i="157"/>
  <c r="I26" i="169"/>
  <c r="I474" i="61"/>
  <c r="I479" i="61" s="1"/>
  <c r="I439" i="61"/>
  <c r="E37" i="65"/>
  <c r="I297" i="61"/>
  <c r="AV107" i="113"/>
  <c r="I452" i="61"/>
  <c r="E49" i="165" s="1"/>
  <c r="I10" i="169"/>
  <c r="I510" i="61"/>
  <c r="E60" i="165" s="1"/>
  <c r="I364" i="61"/>
  <c r="I142" i="61"/>
  <c r="G33" i="133"/>
  <c r="I197" i="61"/>
  <c r="E62" i="65"/>
  <c r="I454" i="61"/>
  <c r="E51" i="165" s="1"/>
  <c r="J11" i="126"/>
  <c r="I49" i="86"/>
  <c r="I46" i="86"/>
  <c r="I53" i="86"/>
  <c r="I41" i="86"/>
  <c r="I54" i="86"/>
  <c r="I50" i="86"/>
  <c r="I47" i="86"/>
  <c r="L27" i="86"/>
  <c r="I44" i="86"/>
  <c r="L25" i="86"/>
  <c r="L13" i="86"/>
  <c r="L14" i="86"/>
  <c r="I42" i="86"/>
  <c r="I51" i="86"/>
  <c r="I45" i="86"/>
  <c r="L24" i="86"/>
  <c r="L28" i="86"/>
  <c r="L16" i="86"/>
  <c r="L23" i="86"/>
  <c r="L22" i="86"/>
  <c r="L19" i="86"/>
  <c r="L15" i="86"/>
  <c r="L17" i="86"/>
  <c r="L12" i="86"/>
  <c r="I48" i="86"/>
  <c r="L26" i="86"/>
  <c r="L21" i="86"/>
  <c r="L20" i="86"/>
  <c r="I43" i="86"/>
  <c r="I52" i="86"/>
  <c r="AB47" i="159"/>
  <c r="AD47" i="159" s="1"/>
  <c r="BW53" i="169"/>
  <c r="AB44" i="159"/>
  <c r="AD44" i="159" s="1"/>
  <c r="P36" i="86"/>
  <c r="G55" i="56" s="1"/>
  <c r="K50" i="61"/>
  <c r="M50" i="61" s="1"/>
  <c r="G49" i="65"/>
  <c r="I49" i="65" s="1"/>
  <c r="I43" i="65"/>
  <c r="G14" i="56" s="1"/>
  <c r="H14" i="56" s="1"/>
  <c r="K364" i="61"/>
  <c r="M364" i="61" s="1"/>
  <c r="BF45" i="169"/>
  <c r="BH45" i="169" s="1"/>
  <c r="K373" i="61"/>
  <c r="M373" i="61" s="1"/>
  <c r="K350" i="61"/>
  <c r="M350" i="61" s="1"/>
  <c r="BF44" i="169"/>
  <c r="BH44" i="169" s="1"/>
  <c r="BH53" i="169" s="1"/>
  <c r="H57" i="56"/>
  <c r="AB45" i="159"/>
  <c r="AD45" i="159" s="1"/>
  <c r="K544" i="61"/>
  <c r="M544" i="61" s="1"/>
  <c r="AB46" i="159"/>
  <c r="AD46" i="159" s="1"/>
  <c r="K374" i="61"/>
  <c r="M374" i="61" s="1"/>
  <c r="K532" i="61"/>
  <c r="M532" i="61" s="1"/>
  <c r="K539" i="61"/>
  <c r="M539" i="61" s="1"/>
  <c r="M44" i="61"/>
  <c r="K562" i="61"/>
  <c r="M562" i="61" s="1"/>
  <c r="AB50" i="159"/>
  <c r="AD50" i="159" s="1"/>
  <c r="K548" i="61"/>
  <c r="M548" i="61" s="1"/>
  <c r="BP48" i="169"/>
  <c r="BR48" i="169" s="1"/>
  <c r="K533" i="61"/>
  <c r="M533" i="61" s="1"/>
  <c r="BP43" i="169"/>
  <c r="BR43" i="169" s="1"/>
  <c r="K547" i="61"/>
  <c r="M547" i="61" s="1"/>
  <c r="BP47" i="169"/>
  <c r="BR47" i="169" s="1"/>
  <c r="K531" i="61"/>
  <c r="M531" i="61" s="1"/>
  <c r="K550" i="61"/>
  <c r="M550" i="61" s="1"/>
  <c r="BP49" i="169"/>
  <c r="BR49" i="169" s="1"/>
  <c r="K529" i="61"/>
  <c r="M529" i="61" s="1"/>
  <c r="BP45" i="169"/>
  <c r="BR45" i="169" s="1"/>
  <c r="K536" i="61"/>
  <c r="M536" i="61" s="1"/>
  <c r="H47" i="149"/>
  <c r="H56" i="56"/>
  <c r="K555" i="61"/>
  <c r="M555" i="61" s="1"/>
  <c r="AB49" i="159"/>
  <c r="AD49" i="159" s="1"/>
  <c r="AG11" i="159"/>
  <c r="AG32" i="159" s="1"/>
  <c r="AE32" i="159"/>
  <c r="AB48" i="159"/>
  <c r="AD48" i="159" s="1"/>
  <c r="K528" i="61"/>
  <c r="M528" i="61" s="1"/>
  <c r="K527" i="61"/>
  <c r="M527" i="61" s="1"/>
  <c r="K560" i="61"/>
  <c r="M560" i="61" s="1"/>
  <c r="BP51" i="169"/>
  <c r="BR51" i="169" s="1"/>
  <c r="G48" i="65"/>
  <c r="I48" i="65" s="1"/>
  <c r="K49" i="61"/>
  <c r="M49" i="61" s="1"/>
  <c r="K542" i="61"/>
  <c r="M542" i="61" s="1"/>
  <c r="W53" i="159"/>
  <c r="G50" i="65"/>
  <c r="I50" i="65" s="1"/>
  <c r="K51" i="61"/>
  <c r="M51" i="61" s="1"/>
  <c r="BP44" i="169"/>
  <c r="BR44" i="169" s="1"/>
  <c r="K534" i="61"/>
  <c r="M534" i="61" s="1"/>
  <c r="G66" i="56"/>
  <c r="H97" i="56"/>
  <c r="B3" i="100"/>
  <c r="G105" i="56" s="1"/>
  <c r="H102" i="56"/>
  <c r="H96" i="56"/>
  <c r="H99" i="56"/>
  <c r="DH70" i="161"/>
  <c r="EM52" i="161"/>
  <c r="AT92" i="113" l="1"/>
  <c r="AU92" i="113" s="1"/>
  <c r="BG148" i="113"/>
  <c r="AU93" i="113"/>
  <c r="AV93" i="113"/>
  <c r="Q27" i="113"/>
  <c r="AV83" i="113"/>
  <c r="AU83" i="113"/>
  <c r="Q17" i="113"/>
  <c r="B3" i="86"/>
  <c r="G58" i="56" s="1"/>
  <c r="AT104" i="61"/>
  <c r="AS125" i="61"/>
  <c r="AW111" i="113"/>
  <c r="AV132" i="113"/>
  <c r="R16" i="113"/>
  <c r="AX114" i="113"/>
  <c r="R22" i="113"/>
  <c r="AX120" i="113"/>
  <c r="BI160" i="113"/>
  <c r="S29" i="113"/>
  <c r="BI149" i="113"/>
  <c r="S18" i="113"/>
  <c r="AL29" i="157"/>
  <c r="AN29" i="157" s="1"/>
  <c r="H34" i="56"/>
  <c r="BE165" i="113"/>
  <c r="H43" i="56"/>
  <c r="BM180" i="113"/>
  <c r="T17" i="113"/>
  <c r="T21" i="113"/>
  <c r="BM184" i="113"/>
  <c r="Z32" i="157"/>
  <c r="X53" i="169"/>
  <c r="W32" i="157"/>
  <c r="AT98" i="113"/>
  <c r="AT85" i="113"/>
  <c r="H90" i="56"/>
  <c r="R32" i="113"/>
  <c r="AX130" i="113"/>
  <c r="M379" i="61"/>
  <c r="G37" i="56" s="1"/>
  <c r="E12" i="56"/>
  <c r="E10" i="165"/>
  <c r="E22" i="56"/>
  <c r="E21" i="165"/>
  <c r="R27" i="113"/>
  <c r="AX125" i="113"/>
  <c r="AX119" i="113"/>
  <c r="R21" i="113"/>
  <c r="AX116" i="113"/>
  <c r="R18" i="113"/>
  <c r="AI32" i="157"/>
  <c r="BG150" i="113"/>
  <c r="BG154" i="113"/>
  <c r="AL15" i="157"/>
  <c r="AN15" i="157" s="1"/>
  <c r="AL19" i="157"/>
  <c r="AN19" i="157" s="1"/>
  <c r="AL21" i="157"/>
  <c r="AN21" i="157" s="1"/>
  <c r="S17" i="160"/>
  <c r="U17" i="160" s="1"/>
  <c r="H26" i="56"/>
  <c r="H17" i="56"/>
  <c r="BL188" i="113"/>
  <c r="BL194" i="113"/>
  <c r="AU71" i="61"/>
  <c r="AT92" i="61"/>
  <c r="AT82" i="113"/>
  <c r="AT81" i="113"/>
  <c r="P24" i="160"/>
  <c r="AU186" i="61"/>
  <c r="AV165" i="61"/>
  <c r="AV186" i="61" s="1"/>
  <c r="G29" i="56" s="1"/>
  <c r="S16" i="113"/>
  <c r="BI147" i="113"/>
  <c r="E15" i="56"/>
  <c r="E15" i="165"/>
  <c r="AX124" i="113"/>
  <c r="R26" i="113"/>
  <c r="R30" i="113"/>
  <c r="AX128" i="113"/>
  <c r="R20" i="113"/>
  <c r="AX118" i="113"/>
  <c r="BG153" i="113"/>
  <c r="BG152" i="113"/>
  <c r="BG161" i="113"/>
  <c r="AL16" i="157"/>
  <c r="AN16" i="157" s="1"/>
  <c r="AL18" i="157"/>
  <c r="AN18" i="157" s="1"/>
  <c r="AL23" i="157"/>
  <c r="AN23" i="157" s="1"/>
  <c r="AF318" i="61"/>
  <c r="AE329" i="61"/>
  <c r="AR100" i="113"/>
  <c r="S14" i="160"/>
  <c r="U14" i="160" s="1"/>
  <c r="AT97" i="113"/>
  <c r="BL189" i="113"/>
  <c r="BJ197" i="113"/>
  <c r="BL176" i="113"/>
  <c r="BL193" i="113"/>
  <c r="BL181" i="113"/>
  <c r="S19" i="160"/>
  <c r="U19" i="160" s="1"/>
  <c r="AT96" i="113"/>
  <c r="AT84" i="113"/>
  <c r="AT87" i="113"/>
  <c r="S20" i="113"/>
  <c r="BI151" i="113"/>
  <c r="E18" i="165"/>
  <c r="E18" i="56"/>
  <c r="BF165" i="113"/>
  <c r="R28" i="113"/>
  <c r="AX126" i="113"/>
  <c r="R19" i="113"/>
  <c r="AX117" i="113"/>
  <c r="AB32" i="157"/>
  <c r="BG163" i="113"/>
  <c r="BG155" i="113"/>
  <c r="BG144" i="113"/>
  <c r="BH144" i="113" s="1"/>
  <c r="BH165" i="113" s="1"/>
  <c r="AL28" i="157"/>
  <c r="AN28" i="157" s="1"/>
  <c r="AL12" i="157"/>
  <c r="AN12" i="157" s="1"/>
  <c r="AL30" i="157"/>
  <c r="AN30" i="157" s="1"/>
  <c r="H18" i="56"/>
  <c r="S16" i="160"/>
  <c r="U16" i="160" s="1"/>
  <c r="T24" i="113"/>
  <c r="BM187" i="113"/>
  <c r="BL192" i="113"/>
  <c r="BL191" i="113"/>
  <c r="AH278" i="61"/>
  <c r="AI267" i="61"/>
  <c r="AI278" i="61" s="1"/>
  <c r="G32" i="56" s="1"/>
  <c r="S20" i="160"/>
  <c r="U20" i="160" s="1"/>
  <c r="S13" i="160"/>
  <c r="N24" i="160"/>
  <c r="AJ32" i="157"/>
  <c r="AU92" i="61"/>
  <c r="G24" i="56" s="1"/>
  <c r="AT94" i="113"/>
  <c r="AT90" i="113"/>
  <c r="AX123" i="113"/>
  <c r="R25" i="113"/>
  <c r="AL17" i="157"/>
  <c r="AN17" i="157" s="1"/>
  <c r="BM179" i="113"/>
  <c r="T16" i="113"/>
  <c r="E25" i="126"/>
  <c r="E30" i="126"/>
  <c r="E19" i="126"/>
  <c r="E21" i="126"/>
  <c r="E11" i="126"/>
  <c r="E26" i="126"/>
  <c r="E37" i="126"/>
  <c r="E29" i="126"/>
  <c r="E20" i="126"/>
  <c r="E12" i="126"/>
  <c r="E18" i="126"/>
  <c r="E22" i="126"/>
  <c r="E32" i="126"/>
  <c r="E16" i="126"/>
  <c r="E15" i="126"/>
  <c r="E33" i="126"/>
  <c r="E9" i="126"/>
  <c r="E24" i="126"/>
  <c r="E31" i="126"/>
  <c r="E36" i="126"/>
  <c r="E13" i="126"/>
  <c r="E40" i="126"/>
  <c r="E35" i="126"/>
  <c r="E14" i="126"/>
  <c r="E34" i="126"/>
  <c r="E27" i="126"/>
  <c r="E23" i="126"/>
  <c r="E10" i="126"/>
  <c r="E39" i="126"/>
  <c r="E17" i="126"/>
  <c r="E38" i="126"/>
  <c r="E28" i="126"/>
  <c r="AT125" i="61"/>
  <c r="G25" i="56" s="1"/>
  <c r="H91" i="56"/>
  <c r="R29" i="113"/>
  <c r="AX127" i="113"/>
  <c r="R31" i="113"/>
  <c r="AX129" i="113"/>
  <c r="H47" i="56"/>
  <c r="BG145" i="113"/>
  <c r="BG157" i="113"/>
  <c r="BG146" i="113"/>
  <c r="AL22" i="157"/>
  <c r="AN22" i="157" s="1"/>
  <c r="AL11" i="157"/>
  <c r="V32" i="157"/>
  <c r="Y32" i="157"/>
  <c r="AS100" i="113"/>
  <c r="BL182" i="113"/>
  <c r="BM177" i="113"/>
  <c r="T14" i="113"/>
  <c r="BL195" i="113"/>
  <c r="BK197" i="113"/>
  <c r="H33" i="56"/>
  <c r="AT95" i="113"/>
  <c r="AT88" i="113"/>
  <c r="G100" i="113"/>
  <c r="AT79" i="113"/>
  <c r="R23" i="113"/>
  <c r="AX121" i="113"/>
  <c r="AL26" i="157"/>
  <c r="AN26" i="157" s="1"/>
  <c r="T22" i="113"/>
  <c r="BM185" i="113"/>
  <c r="H42" i="56"/>
  <c r="R15" i="113"/>
  <c r="AX113" i="113"/>
  <c r="R17" i="113"/>
  <c r="AX115" i="113"/>
  <c r="BG156" i="113"/>
  <c r="BG162" i="113"/>
  <c r="H93" i="56"/>
  <c r="AL14" i="157"/>
  <c r="AN14" i="157" s="1"/>
  <c r="AL24" i="157"/>
  <c r="AN24" i="157" s="1"/>
  <c r="H21" i="56"/>
  <c r="O24" i="160"/>
  <c r="H16" i="56"/>
  <c r="AK32" i="157"/>
  <c r="BM186" i="113"/>
  <c r="T23" i="113"/>
  <c r="T15" i="113"/>
  <c r="BM178" i="113"/>
  <c r="X32" i="157"/>
  <c r="I53" i="169"/>
  <c r="AT80" i="113"/>
  <c r="AT86" i="113"/>
  <c r="AE32" i="157"/>
  <c r="O479" i="61"/>
  <c r="E53" i="165"/>
  <c r="E13" i="56"/>
  <c r="E12" i="165"/>
  <c r="T27" i="113"/>
  <c r="BM190" i="113"/>
  <c r="R14" i="113"/>
  <c r="AX112" i="113"/>
  <c r="AX122" i="113"/>
  <c r="R24" i="113"/>
  <c r="BG158" i="113"/>
  <c r="BI159" i="113"/>
  <c r="S28" i="113"/>
  <c r="AL27" i="157"/>
  <c r="AN27" i="157" s="1"/>
  <c r="AL20" i="157"/>
  <c r="AN20" i="157" s="1"/>
  <c r="AF329" i="61"/>
  <c r="G35" i="56" s="1"/>
  <c r="S21" i="160"/>
  <c r="U21" i="160" s="1"/>
  <c r="H41" i="56"/>
  <c r="G53" i="56"/>
  <c r="G52" i="56"/>
  <c r="AA32" i="157"/>
  <c r="AF32" i="157"/>
  <c r="BL183" i="113"/>
  <c r="AT89" i="113"/>
  <c r="AT91" i="113"/>
  <c r="AT217" i="61"/>
  <c r="AT238" i="61" s="1"/>
  <c r="G30" i="56" s="1"/>
  <c r="AS238" i="61"/>
  <c r="M366" i="61"/>
  <c r="G36" i="56" s="1"/>
  <c r="H66" i="56"/>
  <c r="H37" i="56"/>
  <c r="K387" i="61"/>
  <c r="M387" i="61" s="1"/>
  <c r="H55" i="56"/>
  <c r="BP46" i="169"/>
  <c r="BR46" i="169" s="1"/>
  <c r="BR53" i="169" s="1"/>
  <c r="K537" i="61"/>
  <c r="M537" i="61" s="1"/>
  <c r="M60" i="61"/>
  <c r="G23" i="56" s="1"/>
  <c r="K557" i="61"/>
  <c r="M557" i="61" s="1"/>
  <c r="K558" i="61"/>
  <c r="M558" i="61" s="1"/>
  <c r="BA46" i="169"/>
  <c r="BC46" i="169" s="1"/>
  <c r="I56" i="65"/>
  <c r="BA51" i="169"/>
  <c r="BC51" i="169" s="1"/>
  <c r="BA42" i="169"/>
  <c r="BC42" i="169" s="1"/>
  <c r="K398" i="61"/>
  <c r="M398" i="61" s="1"/>
  <c r="M403" i="61" s="1"/>
  <c r="G39" i="56" s="1"/>
  <c r="BA49" i="169"/>
  <c r="BC49" i="169" s="1"/>
  <c r="BA50" i="169"/>
  <c r="BC50" i="169" s="1"/>
  <c r="BA48" i="169"/>
  <c r="BC48" i="169" s="1"/>
  <c r="K530" i="61"/>
  <c r="M530" i="61" s="1"/>
  <c r="G60" i="56"/>
  <c r="K554" i="61"/>
  <c r="M554" i="61" s="1"/>
  <c r="K43" i="159"/>
  <c r="V43" i="159" s="1"/>
  <c r="AB43" i="159" s="1"/>
  <c r="AD43" i="159" s="1"/>
  <c r="G22" i="56"/>
  <c r="EM70" i="161"/>
  <c r="EO52" i="161"/>
  <c r="L59" i="154" s="1"/>
  <c r="Q26" i="113" l="1"/>
  <c r="AV92" i="113"/>
  <c r="H32" i="56"/>
  <c r="H52" i="56"/>
  <c r="S31" i="113"/>
  <c r="BI162" i="113"/>
  <c r="AV95" i="113"/>
  <c r="Q29" i="113"/>
  <c r="AU95" i="113"/>
  <c r="H25" i="56"/>
  <c r="H24" i="56"/>
  <c r="T29" i="113"/>
  <c r="BM192" i="113"/>
  <c r="AV96" i="113"/>
  <c r="Q30" i="113"/>
  <c r="AU96" i="113"/>
  <c r="BI152" i="113"/>
  <c r="S21" i="113"/>
  <c r="AV82" i="113"/>
  <c r="AU82" i="113"/>
  <c r="Q16" i="113"/>
  <c r="U16" i="113" s="1"/>
  <c r="W16" i="113" s="1"/>
  <c r="AV98" i="113"/>
  <c r="Q32" i="113"/>
  <c r="AU98" i="113"/>
  <c r="AX111" i="113"/>
  <c r="AW132" i="113"/>
  <c r="AX132" i="113" s="1"/>
  <c r="R13" i="113"/>
  <c r="R34" i="113" s="1"/>
  <c r="Q22" i="113"/>
  <c r="U22" i="113" s="1"/>
  <c r="W22" i="113" s="1"/>
  <c r="AU88" i="113"/>
  <c r="AV88" i="113"/>
  <c r="AV94" i="113"/>
  <c r="AU94" i="113"/>
  <c r="Q28" i="113"/>
  <c r="Q31" i="113"/>
  <c r="AU97" i="113"/>
  <c r="AV97" i="113"/>
  <c r="S13" i="113"/>
  <c r="BI144" i="113"/>
  <c r="BG165" i="113"/>
  <c r="S22" i="113"/>
  <c r="BI153" i="113"/>
  <c r="AV80" i="113"/>
  <c r="Q14" i="113"/>
  <c r="U14" i="113" s="1"/>
  <c r="W14" i="113" s="1"/>
  <c r="AU80" i="113"/>
  <c r="T19" i="113"/>
  <c r="BM182" i="113"/>
  <c r="U27" i="113"/>
  <c r="W27" i="113" s="1"/>
  <c r="H30" i="56"/>
  <c r="S27" i="113"/>
  <c r="BI158" i="113"/>
  <c r="BI155" i="113"/>
  <c r="S24" i="113"/>
  <c r="T18" i="113"/>
  <c r="BM181" i="113"/>
  <c r="BI161" i="113"/>
  <c r="S30" i="113"/>
  <c r="AU91" i="113"/>
  <c r="Q25" i="113"/>
  <c r="AV91" i="113"/>
  <c r="AN11" i="157"/>
  <c r="AN32" i="157" s="1"/>
  <c r="AL32" i="157"/>
  <c r="U13" i="160"/>
  <c r="U24" i="160" s="1"/>
  <c r="S24" i="160"/>
  <c r="BI163" i="113"/>
  <c r="S32" i="113"/>
  <c r="T30" i="113"/>
  <c r="BM193" i="113"/>
  <c r="T31" i="113"/>
  <c r="BM194" i="113"/>
  <c r="AU84" i="113"/>
  <c r="AV84" i="113"/>
  <c r="Q18" i="113"/>
  <c r="AV89" i="113"/>
  <c r="Q23" i="113"/>
  <c r="U23" i="113" s="1"/>
  <c r="W23" i="113" s="1"/>
  <c r="AU89" i="113"/>
  <c r="T32" i="113"/>
  <c r="BM195" i="113"/>
  <c r="T13" i="113"/>
  <c r="BM176" i="113"/>
  <c r="BL197" i="113"/>
  <c r="H29" i="56"/>
  <c r="T25" i="113"/>
  <c r="BM188" i="113"/>
  <c r="BI145" i="113"/>
  <c r="S14" i="113"/>
  <c r="BM191" i="113"/>
  <c r="T28" i="113"/>
  <c r="BM183" i="113"/>
  <c r="T20" i="113"/>
  <c r="H35" i="56"/>
  <c r="AV79" i="113"/>
  <c r="AT100" i="113"/>
  <c r="AU100" i="113" s="1"/>
  <c r="Q13" i="113"/>
  <c r="AU79" i="113"/>
  <c r="BI146" i="113"/>
  <c r="S15" i="113"/>
  <c r="S23" i="113"/>
  <c r="BI154" i="113"/>
  <c r="AU81" i="113"/>
  <c r="AV81" i="113"/>
  <c r="Q15" i="113"/>
  <c r="AV85" i="113"/>
  <c r="Q19" i="113"/>
  <c r="AU85" i="113"/>
  <c r="S25" i="113"/>
  <c r="BI156" i="113"/>
  <c r="AU86" i="113"/>
  <c r="Q20" i="113"/>
  <c r="AV86" i="113"/>
  <c r="S26" i="113"/>
  <c r="U26" i="113" s="1"/>
  <c r="W26" i="113" s="1"/>
  <c r="BI157" i="113"/>
  <c r="AU90" i="113"/>
  <c r="AV90" i="113"/>
  <c r="Q24" i="113"/>
  <c r="U24" i="113" s="1"/>
  <c r="W24" i="113" s="1"/>
  <c r="AV87" i="113"/>
  <c r="Q21" i="113"/>
  <c r="AU87" i="113"/>
  <c r="T26" i="113"/>
  <c r="BM189" i="113"/>
  <c r="S19" i="113"/>
  <c r="BI150" i="113"/>
  <c r="U17" i="113"/>
  <c r="W17" i="113" s="1"/>
  <c r="S17" i="113"/>
  <c r="BI148" i="113"/>
  <c r="H36" i="56"/>
  <c r="H60" i="56"/>
  <c r="K386" i="61"/>
  <c r="M386" i="61" s="1"/>
  <c r="BA45" i="169"/>
  <c r="BC45" i="169" s="1"/>
  <c r="B3" i="65"/>
  <c r="G19" i="56" s="1"/>
  <c r="G15" i="56"/>
  <c r="H23" i="56"/>
  <c r="K565" i="61"/>
  <c r="M565" i="61" s="1"/>
  <c r="M568" i="61" s="1"/>
  <c r="G49" i="56" s="1"/>
  <c r="K42" i="159"/>
  <c r="V42" i="159" s="1"/>
  <c r="H22" i="56"/>
  <c r="H39" i="56"/>
  <c r="BA47" i="169"/>
  <c r="BC47" i="169" s="1"/>
  <c r="K388" i="61"/>
  <c r="M388" i="61" s="1"/>
  <c r="B3" i="161"/>
  <c r="G72" i="56" s="1"/>
  <c r="G71" i="56"/>
  <c r="U25" i="113" l="1"/>
  <c r="W25" i="113" s="1"/>
  <c r="U31" i="113"/>
  <c r="W31" i="113" s="1"/>
  <c r="S34" i="113"/>
  <c r="U19" i="113"/>
  <c r="W19" i="113" s="1"/>
  <c r="U13" i="113"/>
  <c r="Q34" i="113"/>
  <c r="U21" i="113"/>
  <c r="W21" i="113" s="1"/>
  <c r="U20" i="113"/>
  <c r="W20" i="113" s="1"/>
  <c r="T34" i="113"/>
  <c r="G88" i="56"/>
  <c r="B3" i="160"/>
  <c r="G94" i="56" s="1"/>
  <c r="U28" i="113"/>
  <c r="W28" i="113" s="1"/>
  <c r="U18" i="113"/>
  <c r="W18" i="113" s="1"/>
  <c r="U15" i="113"/>
  <c r="W15" i="113" s="1"/>
  <c r="U32" i="113"/>
  <c r="W32" i="113" s="1"/>
  <c r="U30" i="113"/>
  <c r="W30" i="113" s="1"/>
  <c r="G81" i="56"/>
  <c r="H81" i="56" s="1"/>
  <c r="B3" i="157"/>
  <c r="G82" i="56" s="1"/>
  <c r="U29" i="113"/>
  <c r="W29" i="113" s="1"/>
  <c r="H49" i="56"/>
  <c r="H15" i="56"/>
  <c r="H25" i="126"/>
  <c r="K25" i="126" s="1"/>
  <c r="K57" i="126" s="1"/>
  <c r="BA44" i="169"/>
  <c r="BC44" i="169" s="1"/>
  <c r="K385" i="61"/>
  <c r="M385" i="61" s="1"/>
  <c r="V53" i="159"/>
  <c r="AB42" i="159"/>
  <c r="H71" i="56"/>
  <c r="U34" i="113" l="1"/>
  <c r="W13" i="113"/>
  <c r="H88" i="56"/>
  <c r="K474" i="61"/>
  <c r="M474" i="61" s="1"/>
  <c r="M479" i="61" s="1"/>
  <c r="G45" i="56" s="1"/>
  <c r="H45" i="56" s="1"/>
  <c r="BA43" i="169"/>
  <c r="BC43" i="169" s="1"/>
  <c r="BC53" i="169" s="1"/>
  <c r="K384" i="61"/>
  <c r="M384" i="61" s="1"/>
  <c r="M393" i="61" s="1"/>
  <c r="H13" i="169"/>
  <c r="K13" i="169" s="1"/>
  <c r="H14" i="169"/>
  <c r="K14" i="169" s="1"/>
  <c r="H11" i="169"/>
  <c r="K11" i="169" s="1"/>
  <c r="AB53" i="159"/>
  <c r="AD42" i="159"/>
  <c r="AD53" i="159" s="1"/>
  <c r="G9" i="56"/>
  <c r="B3" i="126"/>
  <c r="G10" i="56" s="1"/>
  <c r="W34" i="113" l="1"/>
  <c r="X13" i="113"/>
  <c r="G61" i="56"/>
  <c r="B3" i="159"/>
  <c r="G62" i="56" s="1"/>
  <c r="H12" i="169"/>
  <c r="K12" i="169" s="1"/>
  <c r="AB35" i="169"/>
  <c r="G38" i="56"/>
  <c r="B3" i="61"/>
  <c r="G50" i="56" s="1"/>
  <c r="H23" i="169"/>
  <c r="K23" i="169" s="1"/>
  <c r="H17" i="169"/>
  <c r="K17" i="169" s="1"/>
  <c r="H18" i="169"/>
  <c r="K18" i="169" s="1"/>
  <c r="H22" i="169"/>
  <c r="K22" i="169" s="1"/>
  <c r="H10" i="169"/>
  <c r="K10" i="169" s="1"/>
  <c r="H27" i="169"/>
  <c r="K27" i="169" s="1"/>
  <c r="H26" i="169"/>
  <c r="K26" i="169" s="1"/>
  <c r="H28" i="169"/>
  <c r="K28" i="169" s="1"/>
  <c r="H19" i="169"/>
  <c r="K19" i="169" s="1"/>
  <c r="H24" i="169"/>
  <c r="K24" i="169" s="1"/>
  <c r="H29" i="169"/>
  <c r="K29" i="169" s="1"/>
  <c r="H20" i="169"/>
  <c r="K20" i="169" s="1"/>
  <c r="H21" i="169"/>
  <c r="K21" i="169" s="1"/>
  <c r="H25" i="169"/>
  <c r="K25" i="169" s="1"/>
  <c r="H16" i="169"/>
  <c r="K16" i="169" s="1"/>
  <c r="AF35" i="169"/>
  <c r="AD35" i="169"/>
  <c r="H15" i="169"/>
  <c r="K15" i="169" s="1"/>
  <c r="H9" i="56"/>
  <c r="B3" i="113" l="1"/>
  <c r="G79" i="56" s="1"/>
  <c r="X34" i="113"/>
  <c r="F78" i="56" s="1"/>
  <c r="G78" i="56"/>
  <c r="H78" i="56" s="1"/>
  <c r="H61" i="56"/>
  <c r="AD47" i="169"/>
  <c r="AD45" i="169"/>
  <c r="AD50" i="169"/>
  <c r="AD46" i="169"/>
  <c r="AD49" i="169"/>
  <c r="AD43" i="169"/>
  <c r="AD51" i="169"/>
  <c r="AD44" i="169"/>
  <c r="AD48" i="169"/>
  <c r="AD42" i="169"/>
  <c r="AF44" i="169"/>
  <c r="AF42" i="169"/>
  <c r="AF43" i="169"/>
  <c r="AF48" i="169"/>
  <c r="AF47" i="169"/>
  <c r="AF46" i="169"/>
  <c r="AF49" i="169"/>
  <c r="AF45" i="169"/>
  <c r="AF51" i="169"/>
  <c r="AF50" i="169"/>
  <c r="H38" i="56"/>
  <c r="AB42" i="169"/>
  <c r="AB50" i="169"/>
  <c r="AB49" i="169"/>
  <c r="AB43" i="169"/>
  <c r="AB48" i="169"/>
  <c r="AB44" i="169"/>
  <c r="AB45" i="169"/>
  <c r="AB51" i="169"/>
  <c r="AB46" i="169"/>
  <c r="AB47" i="169"/>
  <c r="K31" i="169"/>
  <c r="AM48" i="169" l="1"/>
  <c r="DN48" i="169" s="1"/>
  <c r="DP48" i="169" s="1"/>
  <c r="AM47" i="169"/>
  <c r="DN47" i="169" s="1"/>
  <c r="DP47" i="169" s="1"/>
  <c r="AM44" i="169"/>
  <c r="AM51" i="169"/>
  <c r="DN51" i="169"/>
  <c r="DP51" i="169" s="1"/>
  <c r="DN44" i="169"/>
  <c r="DP44" i="169" s="1"/>
  <c r="AB53" i="169"/>
  <c r="AM43" i="169"/>
  <c r="DN43" i="169" s="1"/>
  <c r="DP43" i="169" s="1"/>
  <c r="AM49" i="169"/>
  <c r="DN49" i="169" s="1"/>
  <c r="DP49" i="169" s="1"/>
  <c r="AM46" i="169"/>
  <c r="DN46" i="169" s="1"/>
  <c r="DP46" i="169" s="1"/>
  <c r="G84" i="56"/>
  <c r="AM50" i="169"/>
  <c r="DN50" i="169" s="1"/>
  <c r="DP50" i="169" s="1"/>
  <c r="AM42" i="169"/>
  <c r="AM45" i="169"/>
  <c r="DN45" i="169" s="1"/>
  <c r="DP45" i="169" s="1"/>
  <c r="AM53" i="169" l="1"/>
  <c r="DN42" i="169"/>
  <c r="H84" i="56"/>
  <c r="DP42" i="169" l="1"/>
  <c r="DP53" i="169" s="1"/>
  <c r="DN53" i="169"/>
  <c r="G85" i="56" l="1"/>
  <c r="B3" i="169"/>
  <c r="G86" i="56" s="1"/>
  <c r="H85" i="56" l="1"/>
  <c r="B112" i="56"/>
  <c r="G125" i="56"/>
  <c r="F111" i="56" s="1"/>
  <c r="G111" i="56" s="1"/>
  <c r="B111" i="56"/>
  <c r="H111" i="56" l="1"/>
  <c r="G112" i="56"/>
  <c r="G116" i="56" l="1"/>
  <c r="G119" i="56" l="1"/>
  <c r="G120" i="56"/>
  <c r="G121" i="56"/>
  <c r="G122" i="56" l="1"/>
  <c r="B4" i="61" s="1"/>
  <c r="B4" i="159" l="1"/>
  <c r="B4" i="126"/>
  <c r="G124" i="56"/>
  <c r="B4" i="161"/>
  <c r="B4" i="100"/>
  <c r="B3" i="56"/>
  <c r="B3" i="165" s="1"/>
  <c r="B4" i="136"/>
  <c r="B3" i="137"/>
  <c r="B4" i="65"/>
  <c r="B4" i="86"/>
  <c r="B4" i="157"/>
  <c r="B4" i="162"/>
  <c r="B4" i="109"/>
  <c r="B4" i="133"/>
  <c r="B4" i="113"/>
  <c r="B4" i="169"/>
  <c r="B4" i="16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<sst xmlns="http://schemas.openxmlformats.org/spreadsheetml/2006/main" count="11838" uniqueCount="3290">
  <si>
    <t>Mining ERC Calculator</t>
  </si>
  <si>
    <t>Default</t>
  </si>
  <si>
    <t>Unit</t>
  </si>
  <si>
    <t>D6R Dozer</t>
  </si>
  <si>
    <t>D7R Dozer</t>
  </si>
  <si>
    <t>D8R Dozer</t>
  </si>
  <si>
    <t>D9R Dozer</t>
  </si>
  <si>
    <t>D10T Dozer</t>
  </si>
  <si>
    <t>D11T Dozer</t>
  </si>
  <si>
    <t>Spare</t>
  </si>
  <si>
    <t>797F</t>
  </si>
  <si>
    <t>m</t>
  </si>
  <si>
    <t>litre</t>
  </si>
  <si>
    <t>hole</t>
  </si>
  <si>
    <t>Concrete</t>
  </si>
  <si>
    <t>m3</t>
  </si>
  <si>
    <t>Grader</t>
  </si>
  <si>
    <t>Dozer</t>
  </si>
  <si>
    <t>Loader</t>
  </si>
  <si>
    <t>Water truck</t>
  </si>
  <si>
    <t>Value</t>
  </si>
  <si>
    <t>t / m3</t>
  </si>
  <si>
    <t>Salt</t>
  </si>
  <si>
    <t>Sludge</t>
  </si>
  <si>
    <t>km</t>
  </si>
  <si>
    <t>Notes</t>
  </si>
  <si>
    <t>Top</t>
  </si>
  <si>
    <t>#</t>
  </si>
  <si>
    <t>$/ha</t>
  </si>
  <si>
    <t>$/m3</t>
  </si>
  <si>
    <t>$/m2</t>
  </si>
  <si>
    <t>Haul Distance</t>
  </si>
  <si>
    <t>Total Cost</t>
  </si>
  <si>
    <t>t</t>
  </si>
  <si>
    <t>$/t</t>
  </si>
  <si>
    <t>Rate</t>
  </si>
  <si>
    <t>m2</t>
  </si>
  <si>
    <t>$/m</t>
  </si>
  <si>
    <t>Items</t>
  </si>
  <si>
    <t>$ / m3</t>
  </si>
  <si>
    <t>Installation of rock armouring</t>
  </si>
  <si>
    <t>per ha</t>
  </si>
  <si>
    <t>Medium Fleet</t>
  </si>
  <si>
    <t>Large Fleet</t>
  </si>
  <si>
    <t>Mobilisation and Demobilisation</t>
  </si>
  <si>
    <t>Width (m)</t>
  </si>
  <si>
    <t>Rock</t>
  </si>
  <si>
    <t>Arid</t>
  </si>
  <si>
    <t>No Amend</t>
  </si>
  <si>
    <t>Gypsum Normal Soil</t>
  </si>
  <si>
    <t>Gypsum Sodic Soil</t>
  </si>
  <si>
    <t>Gypsum Recycled Normal Soil</t>
  </si>
  <si>
    <t>Gypsum Recycled Sodic Soil</t>
  </si>
  <si>
    <t>Lime</t>
  </si>
  <si>
    <t>Biosolids, MSW, Manure</t>
  </si>
  <si>
    <t>Hay Mulch / Sugar Cane</t>
  </si>
  <si>
    <t>Fertiliser</t>
  </si>
  <si>
    <t>Summary</t>
  </si>
  <si>
    <t>$ / ha</t>
  </si>
  <si>
    <t>Totals</t>
  </si>
  <si>
    <t>t / ha</t>
  </si>
  <si>
    <t>$ / t</t>
  </si>
  <si>
    <t>Water Supply / Monitoring bore hole plugging</t>
  </si>
  <si>
    <t>Exploration bore hole plugging</t>
  </si>
  <si>
    <t>Water supply bore hole backfilling with cuttings</t>
  </si>
  <si>
    <t>Monitoring bore hole backfilling with cuttings</t>
  </si>
  <si>
    <t>Exploration bore hole backfilling with cuttings</t>
  </si>
  <si>
    <t>Water supply bore hole grouting</t>
  </si>
  <si>
    <t>Monitoring bore hole grouting</t>
  </si>
  <si>
    <t>Water reinjection bore hole grouting</t>
  </si>
  <si>
    <t>Exploration bore hole grouting (coal / mineral sands / large impact drilling)</t>
  </si>
  <si>
    <t>Exploration bore hole grouting (metalliferous / low impact drilling)</t>
  </si>
  <si>
    <t>Exploration sumps</t>
  </si>
  <si>
    <t>Gas and goaf drainage bore hole grout and cap</t>
  </si>
  <si>
    <t>Exploration disturbance Includes costeans, sumps and general disturbance</t>
  </si>
  <si>
    <t>Total</t>
  </si>
  <si>
    <t>$</t>
  </si>
  <si>
    <t>Area</t>
  </si>
  <si>
    <t>Volume</t>
  </si>
  <si>
    <t>Seeding</t>
  </si>
  <si>
    <t>TSF</t>
  </si>
  <si>
    <t>HLP</t>
  </si>
  <si>
    <t>For long haul</t>
  </si>
  <si>
    <t xml:space="preserve">TOTAL COST </t>
  </si>
  <si>
    <t>WRD</t>
  </si>
  <si>
    <t>$/ML</t>
  </si>
  <si>
    <t>Pipelines</t>
  </si>
  <si>
    <t>Flushing</t>
  </si>
  <si>
    <t>Tailings</t>
  </si>
  <si>
    <t>Flush</t>
  </si>
  <si>
    <t>Aboveground</t>
  </si>
  <si>
    <t>Buried</t>
  </si>
  <si>
    <t>Remove</t>
  </si>
  <si>
    <t>Pasture</t>
  </si>
  <si>
    <t>item</t>
  </si>
  <si>
    <t>ha</t>
  </si>
  <si>
    <t>Revegetation</t>
  </si>
  <si>
    <t>Haul Road, Decompact, doze, Pasture</t>
  </si>
  <si>
    <t>Haul Road, Decompact, doze, shape, Native</t>
  </si>
  <si>
    <t>Haul Road, Decompact, doze, shape, Arid</t>
  </si>
  <si>
    <t>Haul Road, Rock, Remove contam only, Pasture</t>
  </si>
  <si>
    <t>Haul Road, Rock, Remove contam only, Native</t>
  </si>
  <si>
    <t>Haul Road, Rock, Remove contam only, Arid</t>
  </si>
  <si>
    <t>Haul Road, Rock, Remove rock cover and replace, Pasture</t>
  </si>
  <si>
    <t>Haul Road, Rock, Remove rock cover and replace, Native</t>
  </si>
  <si>
    <t>Haul Road, Rock, Remove rock cover and replace, Arid</t>
  </si>
  <si>
    <t>#2.35</t>
  </si>
  <si>
    <t>#2.36</t>
  </si>
  <si>
    <t>#2.37</t>
  </si>
  <si>
    <t>#2.38</t>
  </si>
  <si>
    <t>#2.39</t>
  </si>
  <si>
    <t>Type</t>
  </si>
  <si>
    <t>Track</t>
  </si>
  <si>
    <t>Haul Road</t>
  </si>
  <si>
    <t>Laydown</t>
  </si>
  <si>
    <t>Vegetation</t>
  </si>
  <si>
    <t>Native</t>
  </si>
  <si>
    <t>Earthen</t>
  </si>
  <si>
    <t>Gravel</t>
  </si>
  <si>
    <t>No replace</t>
  </si>
  <si>
    <t>Replace rock</t>
  </si>
  <si>
    <t>Decompress only</t>
  </si>
  <si>
    <t>Remove contam only</t>
  </si>
  <si>
    <t>&gt;1500 m to &lt;=2000 m</t>
  </si>
  <si>
    <t>&gt;2000 m to &lt;=2500 m</t>
  </si>
  <si>
    <t>&gt;2500 m to &lt;=3000 m</t>
  </si>
  <si>
    <t>Remove fence (cyclone/wire fence)</t>
  </si>
  <si>
    <t>Camps</t>
  </si>
  <si>
    <t>Camp</t>
  </si>
  <si>
    <t>Small temporary camp (&lt;= 50 persons) (footprint)</t>
  </si>
  <si>
    <t>Larger temporary camp (&gt; 50 persons) (footprint)</t>
  </si>
  <si>
    <t>Small permanent camp (&lt;= 50 persons)  (footprint)</t>
  </si>
  <si>
    <t>Larger permanent camp (&gt; 50 persons)  (footprint)</t>
  </si>
  <si>
    <t>Liquid</t>
  </si>
  <si>
    <t>Type and Capacity</t>
  </si>
  <si>
    <t>Temporary</t>
  </si>
  <si>
    <t>Permanent</t>
  </si>
  <si>
    <t>Buildings</t>
  </si>
  <si>
    <t>unit</t>
  </si>
  <si>
    <t>Details</t>
  </si>
  <si>
    <t>Size</t>
  </si>
  <si>
    <t>Portable</t>
  </si>
  <si>
    <t>None</t>
  </si>
  <si>
    <t>Brick</t>
  </si>
  <si>
    <t>Steel</t>
  </si>
  <si>
    <t>Number</t>
  </si>
  <si>
    <t>$/unit</t>
  </si>
  <si>
    <t>Wall</t>
  </si>
  <si>
    <t>Communications Tower</t>
  </si>
  <si>
    <t>Overhead powerlines (steel towers)</t>
  </si>
  <si>
    <t>Overhead powerlines (wooden poles)</t>
  </si>
  <si>
    <t>Overhead powerlines (concrete poles)</t>
  </si>
  <si>
    <t>lump</t>
  </si>
  <si>
    <t>Tanks and Vessels</t>
  </si>
  <si>
    <t>ML</t>
  </si>
  <si>
    <t>Vertical</t>
  </si>
  <si>
    <t>Concrete Ring</t>
  </si>
  <si>
    <t>Horizontal</t>
  </si>
  <si>
    <t>Panel</t>
  </si>
  <si>
    <t>Rainwater</t>
  </si>
  <si>
    <t>Plastic</t>
  </si>
  <si>
    <t>Open top</t>
  </si>
  <si>
    <t>Closed top</t>
  </si>
  <si>
    <t>Base</t>
  </si>
  <si>
    <t>Earth</t>
  </si>
  <si>
    <t>Skid</t>
  </si>
  <si>
    <t>Liner</t>
  </si>
  <si>
    <t>Lined</t>
  </si>
  <si>
    <t>Not lined</t>
  </si>
  <si>
    <t>Single skin</t>
  </si>
  <si>
    <t>Vertical, Steel, Open top, Earth, Lined, Single skin</t>
  </si>
  <si>
    <t>Concrete Ring, Steel, Open top, Earth, Lined, Single skin</t>
  </si>
  <si>
    <t>Horizontal, Steel, Closed top, Skid, Not lined, Single skin</t>
  </si>
  <si>
    <t>Vertical, Steel, Closed top, Steel, Not lined, Single skin</t>
  </si>
  <si>
    <t>Hopper, Steel, Closed top, Steel, Not lined, Single skin</t>
  </si>
  <si>
    <t>Small Pump Set</t>
  </si>
  <si>
    <t>Large Pump Set</t>
  </si>
  <si>
    <t>Dams</t>
  </si>
  <si>
    <t>Item</t>
  </si>
  <si>
    <t>Process</t>
  </si>
  <si>
    <t>Raw</t>
  </si>
  <si>
    <t>Evaporation and other</t>
  </si>
  <si>
    <t>Unlined</t>
  </si>
  <si>
    <t>Surface</t>
  </si>
  <si>
    <t>&gt;1000 m to &lt;=1500 m</t>
  </si>
  <si>
    <t>Small Fleet 2</t>
  </si>
  <si>
    <t>Permeability / Compaction Testing for caps</t>
  </si>
  <si>
    <t>Water pH 5.5 Adjustment</t>
  </si>
  <si>
    <t>Water Salt Removal</t>
  </si>
  <si>
    <t>Water Organics Removal</t>
  </si>
  <si>
    <t>Naturally Evaporate Water in Pond</t>
  </si>
  <si>
    <t>Evaporate Water with Evaporators</t>
  </si>
  <si>
    <t>Mobilisation of Reverse Osmosis Unit</t>
  </si>
  <si>
    <t>Water Pumping 6" Pump</t>
  </si>
  <si>
    <t>Water Pumping 12" Pump</t>
  </si>
  <si>
    <t>Water pH 4.5 Adjustment</t>
  </si>
  <si>
    <t>Dam</t>
  </si>
  <si>
    <t>ML/day</t>
  </si>
  <si>
    <t>Water Management establishment, engineering, O&amp;M</t>
  </si>
  <si>
    <t>Water Treatment Plant (company owned)</t>
  </si>
  <si>
    <t>Light Vehicle Wash Down</t>
  </si>
  <si>
    <t>Heavy Vehicle Wash Down</t>
  </si>
  <si>
    <t>Water Filling Station</t>
  </si>
  <si>
    <t>Fuel Filling Station</t>
  </si>
  <si>
    <t>Oil/water separator</t>
  </si>
  <si>
    <t>ML / day</t>
  </si>
  <si>
    <t>Process Equipment</t>
  </si>
  <si>
    <t xml:space="preserve">Demolish and remove processing plant </t>
  </si>
  <si>
    <t>Remove stacker or reclaimer</t>
  </si>
  <si>
    <t>Demolish and remove bucket wheel stacker/reclaimer or wing stacker</t>
  </si>
  <si>
    <t>Remove rails and ballast for stacker and/or reclaimer</t>
  </si>
  <si>
    <t>Collapse, cut and remove 1250 t silo / bin / hopper</t>
  </si>
  <si>
    <t>Collapse, cut and remove 3000 t silo / bin / hopper</t>
  </si>
  <si>
    <t>Collapse, cut and remove 5000 t silo / bin / hopper</t>
  </si>
  <si>
    <t>Demolish and remove on-ground conveyors and gantries</t>
  </si>
  <si>
    <t xml:space="preserve">Demolish and remove overhead conveyors and gantries </t>
  </si>
  <si>
    <t xml:space="preserve">Demolish and remove elevated conveyors and gantries </t>
  </si>
  <si>
    <t xml:space="preserve">Demolish reclaim tunnel, cut reo and expose reclaim conveyor, then collapse into the reclaim tunnel void </t>
  </si>
  <si>
    <t xml:space="preserve">Remove and demolish conveyor from reclaim tunnel </t>
  </si>
  <si>
    <t xml:space="preserve">Demolition of reclaim tunnel concrete </t>
  </si>
  <si>
    <t>Dismantle on-ground conveyors for reuse/resale</t>
  </si>
  <si>
    <t>Dismantle overhead conveyors for reuse/resale</t>
  </si>
  <si>
    <t>Transport small tank and dispose</t>
  </si>
  <si>
    <t>Demolish and remove above ground small tank clean (Fuel storage, thickener etc. 3 - 9 m diameter)</t>
  </si>
  <si>
    <t>Demolish and remove above ground medium tank clean (Fuel storage, thickener etc. 10 - 15 m diameter)</t>
  </si>
  <si>
    <t>Demolish and remove above ground large tank clean (Fuel storage, thickener etc. 16 - 25 m diameter)</t>
  </si>
  <si>
    <t>Demolish and remove above ground extra large tank clean (Fuel storage, thickener etc. 26 - 50 m diameter)</t>
  </si>
  <si>
    <t>Demolish and remove above ground extra extra large tank clean (Fuel storage, thickener etc. &gt;50 m diameter)</t>
  </si>
  <si>
    <t xml:space="preserve">Removal of small underground tank (&lt;5000 L) - including pipes, bunds etc. </t>
  </si>
  <si>
    <t>Removal of large underground tank (&gt;5000 L) - including pipes, bunds etc.</t>
  </si>
  <si>
    <t>Remove rail overpass</t>
  </si>
  <si>
    <t>Remove road overpass</t>
  </si>
  <si>
    <t>Remove course overpass</t>
  </si>
  <si>
    <t>Remove bitumen (aprons, sealed areas) for dumping in a void on-site</t>
  </si>
  <si>
    <t>Remove bitumen (airstrip) for dumping in a void on-site</t>
  </si>
  <si>
    <t>Remove concrete pads &amp; footings (&lt;=0.3 m thickness) and dumping in void</t>
  </si>
  <si>
    <t>Remove concrete pads &amp; footings (&gt;0.3 m thickness) and dumping in void</t>
  </si>
  <si>
    <t>Crush concrete to make road aggregate - 75 mm</t>
  </si>
  <si>
    <t>Crush concrete to make road aggregate - 50 mm</t>
  </si>
  <si>
    <t>Crush concrete to make road aggregate - 30 mm</t>
  </si>
  <si>
    <t>Removal of conveyors and support services down Drift/Decline</t>
  </si>
  <si>
    <t>Dismantle and remove dragline up to 2,000 t</t>
  </si>
  <si>
    <t>Dismantle and remove dragline &gt;2,000 t to 5,000 t</t>
  </si>
  <si>
    <t>Dismantle and remove dragline &gt; 5,000 t</t>
  </si>
  <si>
    <t>Qty</t>
  </si>
  <si>
    <t>m2/floor</t>
  </si>
  <si>
    <t>Water</t>
  </si>
  <si>
    <t>Amendments</t>
  </si>
  <si>
    <t>Borrow Pits</t>
  </si>
  <si>
    <t>Sewage Treatment Plants</t>
  </si>
  <si>
    <t>kL/day</t>
  </si>
  <si>
    <t>Tanks</t>
  </si>
  <si>
    <t>Pipe</t>
  </si>
  <si>
    <t>Ports</t>
  </si>
  <si>
    <t>Dolphins</t>
  </si>
  <si>
    <t>Shiploaders</t>
  </si>
  <si>
    <t>Contents</t>
  </si>
  <si>
    <t>Terms and Conditions of Use</t>
  </si>
  <si>
    <t>ESR/2015/1824</t>
  </si>
  <si>
    <t>History</t>
  </si>
  <si>
    <t>Click on the Links below to navigate to the target sheet</t>
  </si>
  <si>
    <t>Date</t>
  </si>
  <si>
    <t>Version</t>
  </si>
  <si>
    <t>Live Date of first issue</t>
  </si>
  <si>
    <t xml:space="preserve">Fixed error in Overburden noted during use - added column X in Waste Rock </t>
  </si>
  <si>
    <t>Dumps (User Defined) and column V in Overburden Dumps and Spoil Piles</t>
  </si>
  <si>
    <t>(User Defined).</t>
  </si>
  <si>
    <t xml:space="preserve">Fixed error in Miscellaneous tab in Bore and drainage input sheet.  </t>
  </si>
  <si>
    <t>Alternate rates was not multiplying.</t>
  </si>
  <si>
    <t xml:space="preserve">Infrastructure tab.  User Inputs for roads didn’t calculate linear and area </t>
  </si>
  <si>
    <t>correctly. Added columns.</t>
  </si>
  <si>
    <t>Macro issue.  No impact to user version.</t>
  </si>
  <si>
    <t>Change "pad" to "hole" for drill holes.</t>
  </si>
  <si>
    <t>Improved clarity of scope in rates #2.03 to 2.11 and 8.01.</t>
  </si>
  <si>
    <t>Added use and scope descriptions to rates #2.72 to 2.75, 8.05 to 8.07.</t>
  </si>
  <si>
    <t>growth media added to rate #2.11 (borrow pit) and #2.81 (rail spur).</t>
  </si>
  <si>
    <t>(Note unit change from ha to m2 for #2.81)</t>
  </si>
  <si>
    <t xml:space="preserve">New rate: #2.84 and table ("Rehabilitation of Areas not covered above") </t>
  </si>
  <si>
    <r>
      <t>added to Tab 2.</t>
    </r>
    <r>
      <rPr>
        <i/>
        <sz val="10"/>
        <rFont val="Arial"/>
        <family val="2"/>
      </rPr>
      <t xml:space="preserve"> Infrastructure</t>
    </r>
    <r>
      <rPr>
        <sz val="10"/>
        <rFont val="Arial"/>
        <family val="2"/>
      </rPr>
      <t xml:space="preserve"> to allow for grade, topsoil and seed of</t>
    </r>
  </si>
  <si>
    <t>areas not covered in the tables above (see TOV description for applicability).</t>
  </si>
  <si>
    <r>
      <t xml:space="preserve">New rate: #8.34 to Tab 8. </t>
    </r>
    <r>
      <rPr>
        <i/>
        <sz val="10"/>
        <rFont val="Arial"/>
        <family val="2"/>
      </rPr>
      <t>Process Equipment</t>
    </r>
    <r>
      <rPr>
        <sz val="10"/>
        <rFont val="Arial"/>
        <family val="2"/>
      </rPr>
      <t xml:space="preserve"> to cover land rehabilitation</t>
    </r>
  </si>
  <si>
    <t>of any process equipment areas requiring such.</t>
  </si>
  <si>
    <r>
      <t xml:space="preserve">New rate: #8.35 to table Concrete Pads in Tab 2. </t>
    </r>
    <r>
      <rPr>
        <i/>
        <sz val="10"/>
        <rFont val="Arial"/>
        <family val="2"/>
      </rPr>
      <t xml:space="preserve">Infrastructure </t>
    </r>
    <r>
      <rPr>
        <sz val="10"/>
        <rFont val="Arial"/>
        <family val="2"/>
      </rPr>
      <t xml:space="preserve">to allow for </t>
    </r>
  </si>
  <si>
    <t>land rehabilitation where concrete pads are removed.</t>
  </si>
  <si>
    <t xml:space="preserve">New rate: #10.62 and table ("Rehabilitation of Areas not included elsewhere") </t>
  </si>
  <si>
    <r>
      <t>added to Tab 10.</t>
    </r>
    <r>
      <rPr>
        <i/>
        <sz val="10"/>
        <rFont val="Arial"/>
        <family val="2"/>
      </rPr>
      <t xml:space="preserve"> Miscellaneous Activities</t>
    </r>
    <r>
      <rPr>
        <sz val="10"/>
        <rFont val="Arial"/>
        <family val="2"/>
      </rPr>
      <t>.</t>
    </r>
  </si>
  <si>
    <t xml:space="preserve">Added ramp areas to seeding areas to Waste Rock and Overburden Dumps </t>
  </si>
  <si>
    <t>EA - Environmental Authority</t>
  </si>
  <si>
    <r>
      <t>in Tab 3.</t>
    </r>
    <r>
      <rPr>
        <i/>
        <sz val="10"/>
        <rFont val="Arial"/>
        <family val="2"/>
      </rPr>
      <t xml:space="preserve"> Overburden Dumps Piles.</t>
    </r>
  </si>
  <si>
    <t>ERC - Estimated Rehabilitation Cost</t>
  </si>
  <si>
    <t>Removed references "if input sheet not used" in Exploration rates in TOV.</t>
  </si>
  <si>
    <t>EMA - Eligible Mining Activities</t>
  </si>
  <si>
    <r>
      <t xml:space="preserve">Fixed default width reference in Haul Roads table in 2. </t>
    </r>
    <r>
      <rPr>
        <i/>
        <sz val="10"/>
        <rFont val="Arial"/>
        <family val="2"/>
      </rPr>
      <t>Infrastructure</t>
    </r>
    <r>
      <rPr>
        <sz val="10"/>
        <rFont val="Arial"/>
        <family val="2"/>
      </rPr>
      <t>.</t>
    </r>
  </si>
  <si>
    <t>Minor fixes of typos, referencing and formatting.</t>
  </si>
  <si>
    <t>Added mobilisation rate for small projects (total ERC pre-mobe &lt; $1000,000).</t>
  </si>
  <si>
    <t xml:space="preserve">The User can chose this option by entering a 1 in the "Mobilisation </t>
  </si>
  <si>
    <t>&amp; Demobilisation - small projects (total ERC &lt; $1000,000 before mobe added</t>
  </si>
  <si>
    <t xml:space="preserve">10% applied)" line in the Summary tab and not entering quantities in the </t>
  </si>
  <si>
    <t>Mobilisation tables.</t>
  </si>
  <si>
    <t xml:space="preserve">Fixed referencing error for Pits Low wall volume - now reports correctly to </t>
  </si>
  <si>
    <t>Qty Summary tab.</t>
  </si>
  <si>
    <t>Adjusted earthen laydown rate by removing excessive earthmoving.</t>
  </si>
  <si>
    <t>Added more slope for dozer push.</t>
  </si>
  <si>
    <t>GENERAL INFORMATION</t>
  </si>
  <si>
    <t>Added longer dozer push lengths.</t>
  </si>
  <si>
    <t>Added truck and shovel option to backfill pits.</t>
  </si>
  <si>
    <t>Added grade, rip, deep rip, seeding to Miscellaneous tab.</t>
  </si>
  <si>
    <t>Added rate for Medium risk metalliferous mines.</t>
  </si>
  <si>
    <t>Added Growth Media to other pit treatments.</t>
  </si>
  <si>
    <t>Fixed error in area calculation for haul roads.</t>
  </si>
  <si>
    <t>Fixed error in calculation for sewage plants.</t>
  </si>
  <si>
    <t xml:space="preserve">Macro issue. Addressed issue with 'add row' functionality. </t>
  </si>
  <si>
    <t>Major Review</t>
  </si>
  <si>
    <t>Rates reviewed and updated.</t>
  </si>
  <si>
    <t>Reworking of Input sheets to make consistent with spatial data requirements.</t>
  </si>
  <si>
    <t>Registration</t>
  </si>
  <si>
    <t>The Terms and Conditions should be read before using this calculator.</t>
  </si>
  <si>
    <t>Environmental Authority Ref:</t>
  </si>
  <si>
    <t>EA Holder:</t>
  </si>
  <si>
    <t>Tenure:</t>
  </si>
  <si>
    <t>Site Name:</t>
  </si>
  <si>
    <t>Last ERC Decision Date:</t>
  </si>
  <si>
    <t>Current ERC Amount:</t>
  </si>
  <si>
    <t>Site Contact:</t>
  </si>
  <si>
    <t>Position:</t>
  </si>
  <si>
    <t>Site Address:</t>
  </si>
  <si>
    <t>Phone:</t>
  </si>
  <si>
    <t>Email:</t>
  </si>
  <si>
    <t>Name of Assessor:</t>
  </si>
  <si>
    <t>Name of Authorised Person:</t>
  </si>
  <si>
    <t>Title:</t>
  </si>
  <si>
    <t>Date:</t>
  </si>
  <si>
    <t>Waste Levy (select)</t>
  </si>
  <si>
    <t xml:space="preserve">
Further user comment on waste levy application:
</t>
  </si>
  <si>
    <t>Waste Levy Summary</t>
  </si>
  <si>
    <t>The most common reason for the Waste Levy not applying is that the site is not in a Waste Levy zone.</t>
  </si>
  <si>
    <t>Below this line for the Department's use only</t>
  </si>
  <si>
    <t>Name of Department Reviewer:</t>
  </si>
  <si>
    <t>Name of Department Manager:</t>
  </si>
  <si>
    <t>Subrates</t>
  </si>
  <si>
    <t>Subrates Table 1</t>
  </si>
  <si>
    <t>Use</t>
  </si>
  <si>
    <t>Growth Media
Bitumen etc</t>
  </si>
  <si>
    <t>Sediment</t>
  </si>
  <si>
    <t>Fill</t>
  </si>
  <si>
    <t>Growth Media Fill
Sediment</t>
  </si>
  <si>
    <t>Growth Media / Fill</t>
  </si>
  <si>
    <t>Load and Haul Values per LCM</t>
  </si>
  <si>
    <t>Small Fleet 1</t>
  </si>
  <si>
    <t>Small Fleet 3</t>
  </si>
  <si>
    <t>Truck / shovel</t>
  </si>
  <si>
    <t>&lt;=200 m</t>
  </si>
  <si>
    <t>&gt;200 m to &lt;=500 m</t>
  </si>
  <si>
    <t>&gt;500 m to &lt;=1000 m</t>
  </si>
  <si>
    <t>&gt;3000 m to &lt;=4000 m</t>
  </si>
  <si>
    <t>&gt;4000 m to &lt;=5000 m</t>
  </si>
  <si>
    <t>&gt;5000 m to &lt;=6000 m</t>
  </si>
  <si>
    <t>&gt; 6000 m</t>
  </si>
  <si>
    <t>Fleet_Size</t>
  </si>
  <si>
    <t>Fleet GM Large structure</t>
  </si>
  <si>
    <t>Fleet Sediment</t>
  </si>
  <si>
    <t>Fleet GM Surface</t>
  </si>
  <si>
    <t>Fleet GM small features</t>
  </si>
  <si>
    <t>Note: productivity rates are sourced from the Caterpillar manual and vary according to the type and size of equipment.</t>
  </si>
  <si>
    <t>Activity #</t>
  </si>
  <si>
    <t>5, 6</t>
  </si>
  <si>
    <t>7a</t>
  </si>
  <si>
    <t>7b</t>
  </si>
  <si>
    <t>7c</t>
  </si>
  <si>
    <t>8a</t>
  </si>
  <si>
    <t>Load and Haul Fleet Make-up</t>
  </si>
  <si>
    <t>Haul truck</t>
  </si>
  <si>
    <t>740 C(ADT)</t>
  </si>
  <si>
    <t>741 C(ADT)</t>
  </si>
  <si>
    <t>777G</t>
  </si>
  <si>
    <t>793F</t>
  </si>
  <si>
    <t>Excavator / shovel</t>
  </si>
  <si>
    <t>390F</t>
  </si>
  <si>
    <t>PC1250</t>
  </si>
  <si>
    <t>EX2500</t>
  </si>
  <si>
    <t>6090 Hyd</t>
  </si>
  <si>
    <t>980M</t>
  </si>
  <si>
    <t>14M</t>
  </si>
  <si>
    <t>16M</t>
  </si>
  <si>
    <t>16M d/s</t>
  </si>
  <si>
    <t>D9R</t>
  </si>
  <si>
    <t>D10T</t>
  </si>
  <si>
    <t>D11T</t>
  </si>
  <si>
    <t>D11T d/s</t>
  </si>
  <si>
    <t>19 kL</t>
  </si>
  <si>
    <t>785D</t>
  </si>
  <si>
    <t>Notes:</t>
  </si>
  <si>
    <t>The number of machines varies according to the activity and distance to push or haul.</t>
  </si>
  <si>
    <t>Activity 5 is for load, haul and place growth media using the small fleet make-up shown above.</t>
  </si>
  <si>
    <t>Activity 6 is load, haul and dump bitumen, stabilised materials, and concrete and dispose within onsite void using the small fleet make-up shown above.</t>
  </si>
  <si>
    <t>Activity 7a is  load, haul, dump spread fill - Waste Rock Landforms, Spoil Piles, Roadways, contaminated soil footprints, ponds, dams, shallow voids, inpit and other tailings storage facilities and other fill areas using the small fleet make-up shown above.</t>
  </si>
  <si>
    <t>Activity 7b is  load, haul, dump spread fill - Waste Rock Landforms, Spoil Piles, Roadways, contaminated soil footprints, ponds, dams, shallow voids, inpit and other tailings storage facilities and other fill areas using the medium fleet make-up shown above.</t>
  </si>
  <si>
    <t>Activity 7c is  load, haul, dump spread fill - Waste Rock Landforms, Spoil Piles, Roadways, contaminated soil footprints, ponds, dams, shallow voids, and other fill areas using the large fleet make-up shown above.</t>
  </si>
  <si>
    <t>Activity 8a is load, haul, dump, spread overburden for pit backfill and recontouring using the large fleet make-up shown above.</t>
  </si>
  <si>
    <t>Activity 10 is excavate, load, haul, dump and spread water storage sediment and silt using the small fleet shown above.</t>
  </si>
  <si>
    <t>Large and truck / shovel fleets are not used on Tailings Storage Facilities due to stability of  material.</t>
  </si>
  <si>
    <t>"Hyd" = hydraulic shovel"</t>
  </si>
  <si>
    <t>"d/s" = double shift</t>
  </si>
  <si>
    <t>Subrates Table 2</t>
  </si>
  <si>
    <t>Bulk Push</t>
  </si>
  <si>
    <t>per LCM</t>
  </si>
  <si>
    <t>&lt;= 20m push</t>
  </si>
  <si>
    <t>&gt; 20m to &lt;= 30m push</t>
  </si>
  <si>
    <t>&gt; 30m to &lt;= 50m push</t>
  </si>
  <si>
    <t>&gt; 50m to &lt;= 75m push</t>
  </si>
  <si>
    <t>&gt; 75m to &lt;= 100m push</t>
  </si>
  <si>
    <t>&gt; 100m to &lt;= 125m push</t>
  </si>
  <si>
    <t>&gt; 125m to &lt;= 150m push</t>
  </si>
  <si>
    <t>Dozer too small</t>
  </si>
  <si>
    <t>&gt; 150m to &lt;= 200m push</t>
  </si>
  <si>
    <t>&gt; 200m to &lt;= 250m push</t>
  </si>
  <si>
    <t>&gt; 250m to &lt;= 300m push</t>
  </si>
  <si>
    <t>&gt; 300m to &lt;= 350m push</t>
  </si>
  <si>
    <t>&gt; 350m to &lt;= 400m push</t>
  </si>
  <si>
    <t>&gt; 400m to &lt;= 450m push</t>
  </si>
  <si>
    <t>&gt; 450m to &lt;= 500m push</t>
  </si>
  <si>
    <t>Used in Overburden, HLP, TSF and Pits Input sheets</t>
  </si>
  <si>
    <t>Major bulk pushing to achieve grades nominated in the approval/permit</t>
  </si>
  <si>
    <t>Subrates Table 3</t>
  </si>
  <si>
    <t>Reshape slopes and batters to angle shown. Max 100 mm push</t>
  </si>
  <si>
    <t>&lt;=2.8 degrees</t>
  </si>
  <si>
    <t>&gt;2.8&lt;=5.7 degrees</t>
  </si>
  <si>
    <t>&gt;5.7&lt;=8.5 degrees</t>
  </si>
  <si>
    <t>&gt;8.5&lt;=14 degrees</t>
  </si>
  <si>
    <t>&gt;14&lt;=17.5 degrees</t>
  </si>
  <si>
    <t>&gt;17.5 degrees</t>
  </si>
  <si>
    <t>Subrates Table 4</t>
  </si>
  <si>
    <t>Rip up and Push Up</t>
  </si>
  <si>
    <t>Category</t>
  </si>
  <si>
    <t>D9 - 30 m push</t>
  </si>
  <si>
    <t>Subrates Table 5</t>
  </si>
  <si>
    <t>Additional Capping and Testing</t>
  </si>
  <si>
    <t xml:space="preserve">Geofabric layer over tailings materials as part of cap / cover </t>
  </si>
  <si>
    <r>
      <t>m</t>
    </r>
    <r>
      <rPr>
        <vertAlign val="superscript"/>
        <sz val="10"/>
        <rFont val="Arial"/>
        <family val="2"/>
      </rPr>
      <t>2</t>
    </r>
  </si>
  <si>
    <t>Used for waste structures if additional capping is required. Price is delivered to sites.</t>
  </si>
  <si>
    <t>Geosynthetic clay liner</t>
  </si>
  <si>
    <t>Geomembrane</t>
  </si>
  <si>
    <t>Source and prepare Capillary Break Layer Material Rate</t>
  </si>
  <si>
    <r>
      <t>m</t>
    </r>
    <r>
      <rPr>
        <vertAlign val="superscript"/>
        <sz val="10"/>
        <rFont val="Arial"/>
        <family val="2"/>
      </rPr>
      <t>3</t>
    </r>
    <r>
      <rPr>
        <sz val="11"/>
        <color theme="1"/>
        <rFont val="Calibri"/>
        <family val="2"/>
        <scheme val="minor"/>
      </rPr>
      <t/>
    </r>
  </si>
  <si>
    <t>Screening of rock to &lt;50mm</t>
  </si>
  <si>
    <t>Low Permeability Clay Layer - source, haul, condition, compact</t>
  </si>
  <si>
    <r>
      <t>m</t>
    </r>
    <r>
      <rPr>
        <vertAlign val="superscript"/>
        <sz val="10"/>
        <rFont val="Arial"/>
        <family val="2"/>
      </rPr>
      <t>3</t>
    </r>
  </si>
  <si>
    <t>Source haul, condition and compaction</t>
  </si>
  <si>
    <t>Low Permeability Clay Layer - condition and compact</t>
  </si>
  <si>
    <t>Used if clay is not sourced locally. Load, haul, purchase is added separately in the Input Sheets.</t>
  </si>
  <si>
    <t>Used for testing on caps</t>
  </si>
  <si>
    <t>Subrates Table 6</t>
  </si>
  <si>
    <t>Waste Rock Landforms, Spoil Piles, Stockpiles, Run of Mine pads, Heap Leach piles, Tailings Storage Facilities  - rates used in User calculations</t>
  </si>
  <si>
    <t>Water management for soil conservation on rehabilitated landforms (construct surface cell and crest bunding etc)</t>
  </si>
  <si>
    <t>Landform footprint. Banks and drains to minimise the potential for erosion. D10 max 50m push, 1.5m high bunds, 2 cells per ha</t>
  </si>
  <si>
    <t>Construct landform spine drains, drop structures and/or stabilising water course entry points - required for large catchments on landforms</t>
  </si>
  <si>
    <t>Drainage footprint. Installation of on-site rock material (rip-rap) where managing water run-off from disturbed land and/or upon entry to water courses - prevents erosion of gully head (assumes competent material is locally available). Prevents erosion of gully head and facilitates water run-off from dumps etc. (assumes competent material is locally available).</t>
  </si>
  <si>
    <t>Doze and shape for natural  drainage earthworks, final trim and deep rip, and seed (pasture seed)</t>
  </si>
  <si>
    <t>Area of landform. CAT D10 dozer, average push 20m, CAT14M grader, pasture seeding</t>
  </si>
  <si>
    <t>Doze and shape for natural  drainage earthworks, final trim and deep rip, and seed (trees, shrubs, native grasses)</t>
  </si>
  <si>
    <t>Area of landform. CAT D10 dozer, average push 20m, CAT14M grader, native seeding</t>
  </si>
  <si>
    <t xml:space="preserve">Heap Leach Flushing
</t>
  </si>
  <si>
    <t>Default is zero as most heap leach pads wont be flushed.  Assumes volume of water required is 10% over field capacity, includes cost for treatment of metals and pH adjustment. Allowance for water cost and equipment set-up.</t>
  </si>
  <si>
    <t>Subrates Table 7</t>
  </si>
  <si>
    <t>Dams - rates used in User Build-up</t>
  </si>
  <si>
    <t>Liner Remove</t>
  </si>
  <si>
    <t>Liner Dispose</t>
  </si>
  <si>
    <t>Subrates Table 8</t>
  </si>
  <si>
    <t>Clay work on-site</t>
  </si>
  <si>
    <t>Growth media</t>
  </si>
  <si>
    <t>Subrates Table 9</t>
  </si>
  <si>
    <t>Growth Media / Amendments / Clay</t>
  </si>
  <si>
    <t>Load and Haul Long Distance</t>
  </si>
  <si>
    <t>$ / m3 -km</t>
  </si>
  <si>
    <t>$ / t -km</t>
  </si>
  <si>
    <t>Average for Category</t>
  </si>
  <si>
    <t>5 to 10 km</t>
  </si>
  <si>
    <t>10 to 15 km</t>
  </si>
  <si>
    <t>15 to 20 km</t>
  </si>
  <si>
    <t>20 to 25 km</t>
  </si>
  <si>
    <t>25 to 30 km</t>
  </si>
  <si>
    <t>30 to 35 km</t>
  </si>
  <si>
    <t>35 to 40 km</t>
  </si>
  <si>
    <t>40 to 45 km</t>
  </si>
  <si>
    <t>45 to 50 km</t>
  </si>
  <si>
    <t>50 to 60 km</t>
  </si>
  <si>
    <t>60 to 70 km</t>
  </si>
  <si>
    <t>70 to 80 km</t>
  </si>
  <si>
    <t>80 to 90 km</t>
  </si>
  <si>
    <t>90 to 100 km</t>
  </si>
  <si>
    <t>100 to 150 km</t>
  </si>
  <si>
    <t>150 to 200 km</t>
  </si>
  <si>
    <t>200 to 250 km</t>
  </si>
  <si>
    <t>Subrates Table 10</t>
  </si>
  <si>
    <t>Purchase Capping Material (gate price)</t>
  </si>
  <si>
    <t>Rate ($/t)</t>
  </si>
  <si>
    <t>Subrates Table 11</t>
  </si>
  <si>
    <t xml:space="preserve">Pasture </t>
  </si>
  <si>
    <t>Subrates Table 12</t>
  </si>
  <si>
    <t xml:space="preserve">Dewatering </t>
  </si>
  <si>
    <t>Remove downwell dewater pumps</t>
  </si>
  <si>
    <t>pump</t>
  </si>
  <si>
    <t>Includes electrical and mechanical disconnection, two labourers, winch with and flatbed.</t>
  </si>
  <si>
    <t>Diesel generator removal</t>
  </si>
  <si>
    <t>Disconnect, load to truck and transport for storage</t>
  </si>
  <si>
    <t>Subrates Table 13</t>
  </si>
  <si>
    <t>Piping</t>
  </si>
  <si>
    <t>Cut and Cap</t>
  </si>
  <si>
    <t>Subrates Table 14 (name: Amend_subrates_table)</t>
  </si>
  <si>
    <t>Purchase Amendments (gate price)</t>
  </si>
  <si>
    <t>Rate (t/ha)</t>
  </si>
  <si>
    <t>Subrates Table 15 (name: )</t>
  </si>
  <si>
    <t>Material / Waste Type</t>
  </si>
  <si>
    <t>Levy - Metro Zone ($/t)</t>
  </si>
  <si>
    <t>Levy - Regional Zone ($/t)</t>
  </si>
  <si>
    <t>Gate Fee ($/t)</t>
  </si>
  <si>
    <t>Table Of Values</t>
  </si>
  <si>
    <t>Use Excel Search function to find key words (Home Ribbon - Find &amp; Select)</t>
  </si>
  <si>
    <t>Used</t>
  </si>
  <si>
    <t>Input Sheet</t>
  </si>
  <si>
    <t>Activity / Description</t>
  </si>
  <si>
    <t>Use / Notes</t>
  </si>
  <si>
    <t>Scope and Key Assumptions to TOV</t>
  </si>
  <si>
    <t>#1.01</t>
  </si>
  <si>
    <t>Eligible Mining Activities</t>
  </si>
  <si>
    <t xml:space="preserve">
Enter area of disturbance to be backfilled.
</t>
  </si>
  <si>
    <t>#1.02</t>
  </si>
  <si>
    <t>Exploration drill holes</t>
  </si>
  <si>
    <t xml:space="preserve">
Enter number of holes. Does not include seeding. Use rates #1.03 (pasture) and #1.04 (native) for seeding.
</t>
  </si>
  <si>
    <t>#1.03</t>
  </si>
  <si>
    <t xml:space="preserve">
Eligible Mining Activities
</t>
  </si>
  <si>
    <t>Seeding of drill holes in pasture</t>
  </si>
  <si>
    <t>Enter number of drill holes requiring pasture seed.</t>
  </si>
  <si>
    <t>#1.04</t>
  </si>
  <si>
    <t>Seeding of drill holes in native</t>
  </si>
  <si>
    <t>Enter number of drill holes requiring native seed.</t>
  </si>
  <si>
    <t>#1.05</t>
  </si>
  <si>
    <t>Open Pit Abandonment Bunds</t>
  </si>
  <si>
    <t>Enter length of abandonment bunds</t>
  </si>
  <si>
    <t>#1.06</t>
  </si>
  <si>
    <t>Open Pit Fencing and Signage</t>
  </si>
  <si>
    <t>Enter length of fence and signage.</t>
  </si>
  <si>
    <t>#1.07</t>
  </si>
  <si>
    <t>Backfill Pits and Voids</t>
  </si>
  <si>
    <t xml:space="preserve">
Enter volume to be backfilled.</t>
  </si>
  <si>
    <t>#1.08</t>
  </si>
  <si>
    <t>Grade backfilled areas</t>
  </si>
  <si>
    <t>Enter area to be graded.</t>
  </si>
  <si>
    <t>#1.09</t>
  </si>
  <si>
    <r>
      <t xml:space="preserve">HIGH RISK Waste Rock Dump / Low-grade Ore Stockpile 
</t>
    </r>
    <r>
      <rPr>
        <sz val="9"/>
        <rFont val="Arial"/>
        <family val="2"/>
      </rPr>
      <t>The unoxidized zone has been mined.</t>
    </r>
  </si>
  <si>
    <t>Enter total area.</t>
  </si>
  <si>
    <t>#1.10</t>
  </si>
  <si>
    <t xml:space="preserve">HIGH RISK Tailings Storage Facility The unoxidized zone has been mined; processing utilises hazardous chemicals (e.g. cyanide, sulfuric acid etc.) </t>
  </si>
  <si>
    <t>#1.11</t>
  </si>
  <si>
    <t>HIGH RISK Heap Leach Pads</t>
  </si>
  <si>
    <t>#1.12</t>
  </si>
  <si>
    <t xml:space="preserve">LOW RISK Waste Rock Dump/Low-grade Ore Stockpile The oxidised zone only has been mined 
</t>
  </si>
  <si>
    <t>#1.13</t>
  </si>
  <si>
    <t>LOW RISK Tailings Storage Facility The oxidised zone has been mined only; no chemicals used for processing.</t>
  </si>
  <si>
    <t>#1.14</t>
  </si>
  <si>
    <r>
      <t>HIGH RISK Processing Plant</t>
    </r>
    <r>
      <rPr>
        <i/>
        <sz val="9"/>
        <rFont val="Arial"/>
        <family val="2"/>
      </rPr>
      <t xml:space="preserve"> </t>
    </r>
    <r>
      <rPr>
        <sz val="10"/>
        <rFont val="Arial"/>
        <family val="2"/>
      </rPr>
      <t>Chemical processing or non-gravity / magnetic separation</t>
    </r>
  </si>
  <si>
    <t>#1.15</t>
  </si>
  <si>
    <t xml:space="preserve">LOW RISK Processing plant - Fixed Gravity / magnetic separation or non-chemical processing
</t>
  </si>
  <si>
    <t>#1.16</t>
  </si>
  <si>
    <t xml:space="preserve">LOW RISK Processing plant - Mobile (without footings) Gravity / magnetic separation or non-chemical processing
</t>
  </si>
  <si>
    <t>#1.17</t>
  </si>
  <si>
    <t xml:space="preserve">
Infrastructure Includes buildings (camps, administration buildings, accommodation, caravans, bath house etc.), plant and equipment, pipes, general waste
</t>
  </si>
  <si>
    <t>#1.18</t>
  </si>
  <si>
    <t>Rehabilitate infrastructure footprint</t>
  </si>
  <si>
    <t>#1.19</t>
  </si>
  <si>
    <r>
      <t>Run of mine areas</t>
    </r>
    <r>
      <rPr>
        <i/>
        <sz val="9"/>
        <rFont val="Arial"/>
        <family val="2"/>
      </rPr>
      <t xml:space="preserve"> </t>
    </r>
  </si>
  <si>
    <t>#1.20</t>
  </si>
  <si>
    <t>Fuel and chemical storage areas (land area)</t>
  </si>
  <si>
    <t>#1.21</t>
  </si>
  <si>
    <t>Fuel and chemical storage areas (tanks)</t>
  </si>
  <si>
    <t>tank</t>
  </si>
  <si>
    <t>Enter number of tanks.</t>
  </si>
  <si>
    <t>#1.22</t>
  </si>
  <si>
    <t>Uranium core disposal</t>
  </si>
  <si>
    <t>Enter total length of cores</t>
  </si>
  <si>
    <t>#1.23</t>
  </si>
  <si>
    <t>Regulated waste disposal</t>
  </si>
  <si>
    <t>tonne</t>
  </si>
  <si>
    <t>Enter total mass to dispose.</t>
  </si>
  <si>
    <t>#1.24</t>
  </si>
  <si>
    <t>Roads and access tracks</t>
  </si>
  <si>
    <t>#1.25</t>
  </si>
  <si>
    <t>Landfill</t>
  </si>
  <si>
    <t>#1.26</t>
  </si>
  <si>
    <t>Underground operations - Backfill shafts</t>
  </si>
  <si>
    <t>Enter total length of shaft to backfill.</t>
  </si>
  <si>
    <t>#1.27</t>
  </si>
  <si>
    <t>Underground operations - Plug Portals</t>
  </si>
  <si>
    <t>each</t>
  </si>
  <si>
    <t>Enter number of portals to plug.</t>
  </si>
  <si>
    <t>#1.28</t>
  </si>
  <si>
    <t>Water Storage Dams Contaminated</t>
  </si>
  <si>
    <t>Enter area of dams.</t>
  </si>
  <si>
    <t>#1.29</t>
  </si>
  <si>
    <t>Water Storage Dams Treatment</t>
  </si>
  <si>
    <t>Enter volume of water to treated</t>
  </si>
  <si>
    <t>#1.30</t>
  </si>
  <si>
    <t>Water storage dams Uncontaminated</t>
  </si>
  <si>
    <t>Enter area of dams</t>
  </si>
  <si>
    <t>#1.31</t>
  </si>
  <si>
    <t>Seeding of pasture areas</t>
  </si>
  <si>
    <t xml:space="preserve">
Enter total area of disturbance areas from above activities (excluding drill holes) requiring seeding in pasture land.
</t>
  </si>
  <si>
    <t>#1.32</t>
  </si>
  <si>
    <t>Seeding of native areas</t>
  </si>
  <si>
    <t xml:space="preserve">
Enter total area of disturbance areas from above activities (excluding drill holes) requiring seeding in native land.
</t>
  </si>
  <si>
    <t>#2.01</t>
  </si>
  <si>
    <t>Exploration</t>
  </si>
  <si>
    <t>Seismic corridor, grid-lines, minor tracks rehabilitation in pasture land</t>
  </si>
  <si>
    <t>Enter length of seismic corridor, grid-lines, minor tracks requiring rehabilitation (not the total length) in pasture land.</t>
  </si>
  <si>
    <t>#2.02</t>
  </si>
  <si>
    <t>Seismic corridor, grid-lines, minor tracks rehabilitation in native land</t>
  </si>
  <si>
    <t>Enter length of seismic corridor, grid-lines, minor tracks requiring rehabilitation (not the total length) in native land.</t>
  </si>
  <si>
    <t>#2.03</t>
  </si>
  <si>
    <t>Seismic corridor, grid-lines, minor tracks rehabilitation in arid land</t>
  </si>
  <si>
    <t>Enter length of seismic corridor, grid-lines, minor tracks requiring rehabilitation (not the total length) in arid land.</t>
  </si>
  <si>
    <t>#2.04</t>
  </si>
  <si>
    <t>Enter area of seismic corridor, grid-lines, minor tracks requiring rehabilitation (not the total length) in pasture land.</t>
  </si>
  <si>
    <t>#2.05</t>
  </si>
  <si>
    <t xml:space="preserve">
Enter area of seismic corridor, grid-lines, minor tracks requiring rehabilitation (not the total length) in native land.
</t>
  </si>
  <si>
    <t>#2.06</t>
  </si>
  <si>
    <t xml:space="preserve">
Enter area  (not the total length) of seismic corridor, grid-lines, minor tracks requiring rehabilitation in arid land.
</t>
  </si>
  <si>
    <t>#2.07</t>
  </si>
  <si>
    <t xml:space="preserve">
Enter total length of track in pasture land requiring rehabilitation. Use for tracks of width shown in Activity / Description column.
</t>
  </si>
  <si>
    <t xml:space="preserve"> </t>
  </si>
  <si>
    <t>#2.08</t>
  </si>
  <si>
    <t xml:space="preserve">
Enter total length of track in native land requiring rehabilitation. Use for tracks of width shown in Activity / Description column.
</t>
  </si>
  <si>
    <t>#2.09</t>
  </si>
  <si>
    <t xml:space="preserve">
Enter total length of track in arid land requiring rehabilitation. Use for tracks of width shown in Activity / Description column.
</t>
  </si>
  <si>
    <t>#2.10</t>
  </si>
  <si>
    <t>#2.11</t>
  </si>
  <si>
    <t>#2.12</t>
  </si>
  <si>
    <t>#2.13</t>
  </si>
  <si>
    <t xml:space="preserve">
Enter total area of track in pasture land requiring rehabilitation in pasture land. Length and width not required.
</t>
  </si>
  <si>
    <t>#2.14</t>
  </si>
  <si>
    <t xml:space="preserve">
Enter total area of track in native land requiring rehabilitation. Length and width not required.
</t>
  </si>
  <si>
    <t>#2.15</t>
  </si>
  <si>
    <t xml:space="preserve">
Enter total area of track in arid land requiring rehabilitation. Length and width not required.
</t>
  </si>
  <si>
    <t>#2.16</t>
  </si>
  <si>
    <t>bore</t>
  </si>
  <si>
    <t>Enter number of bores to plug. Use this rate if plugging is all that is required.</t>
  </si>
  <si>
    <t>#2.17</t>
  </si>
  <si>
    <t>#2.18</t>
  </si>
  <si>
    <t xml:space="preserve">
Enter number of bores to backfill with cuttings. Use this rate if backfill with cuttings is all that is required.
</t>
  </si>
  <si>
    <t>#2.19</t>
  </si>
  <si>
    <t>#2.20</t>
  </si>
  <si>
    <t>#2.21</t>
  </si>
  <si>
    <t xml:space="preserve">
Enter number of bores to grout up. Includes backfill to grouting location.
</t>
  </si>
  <si>
    <t>#2.22</t>
  </si>
  <si>
    <t>#2.23</t>
  </si>
  <si>
    <t>#2.24</t>
  </si>
  <si>
    <t>#2.25</t>
  </si>
  <si>
    <t>#2.26</t>
  </si>
  <si>
    <t>sump</t>
  </si>
  <si>
    <t xml:space="preserve">
Enter number of sumps associated with drillholes.  Not all drillholes will have sumps.
</t>
  </si>
  <si>
    <t>#2.27</t>
  </si>
  <si>
    <t xml:space="preserve">
Enter total crest area of water structures 
</t>
  </si>
  <si>
    <t>#2.28</t>
  </si>
  <si>
    <t>#2.29</t>
  </si>
  <si>
    <t>#2.30</t>
  </si>
  <si>
    <t>#2.31</t>
  </si>
  <si>
    <t>#2.32</t>
  </si>
  <si>
    <t>#2.33</t>
  </si>
  <si>
    <t>#2.34</t>
  </si>
  <si>
    <t>#2.40</t>
  </si>
  <si>
    <t>#2.41</t>
  </si>
  <si>
    <t>Grade and seed land (pasture) on which infrastructure and equipment owned by a third-party is implemented.</t>
  </si>
  <si>
    <t>Enter the total land disturbance of infrastructure and equipment such as camps and temporary water treatment facilities. Use for land that will be rehabilitated to pasture.</t>
  </si>
  <si>
    <t>#2.42</t>
  </si>
  <si>
    <t>Grade and seed land (native) on which infrastructure and equipment owned by a third-party is implemented.</t>
  </si>
  <si>
    <t>Enter the total land disturbance of infrastructure and equipment such as camps and temporary water treatment facilities. Use for land that will be rehabilitated with native species.</t>
  </si>
  <si>
    <t>#2.43</t>
  </si>
  <si>
    <t>Grade land (arid) on which infrastructure and equipment owned by a third-party is implemented.</t>
  </si>
  <si>
    <t xml:space="preserve">
Enter the total land disturbance of infrastructure and equipment such as camps and temporary water treatment facilities. Use these rate only for arid environments where seeding is not required.
</t>
  </si>
  <si>
    <t>#3.01</t>
  </si>
  <si>
    <t xml:space="preserve"> Infrastructure</t>
  </si>
  <si>
    <t xml:space="preserve">Disconnect and terminate all services </t>
  </si>
  <si>
    <t xml:space="preserve">Enter number of major terminations required to allow demolition / rehabilitation of site(s). </t>
  </si>
  <si>
    <t>#3.02</t>
  </si>
  <si>
    <t xml:space="preserve">Disconnect and terminate services at remote areas </t>
  </si>
  <si>
    <t xml:space="preserve">
Enter number of terminations at remote locations required to allow demolition / rehabilitation of site(s). Use for items such as pumps stations, remote workshops, remote sewage treatment plants).(i.e., pump stations, remote workshops, sewage treatment plant, etc.)
</t>
  </si>
  <si>
    <t>#3.03</t>
  </si>
  <si>
    <t>#3.04</t>
  </si>
  <si>
    <t>#3.05</t>
  </si>
  <si>
    <t>#3.06</t>
  </si>
  <si>
    <t>#3.07</t>
  </si>
  <si>
    <t>#3.08</t>
  </si>
  <si>
    <t>#3.09</t>
  </si>
  <si>
    <t>Enter total length of track in pasture</t>
  </si>
  <si>
    <t>#3.10</t>
  </si>
  <si>
    <t>Enter total length of track in native</t>
  </si>
  <si>
    <t>#3.11</t>
  </si>
  <si>
    <t>Enter total length of track in arid</t>
  </si>
  <si>
    <t>#3.12</t>
  </si>
  <si>
    <t>#3.13</t>
  </si>
  <si>
    <t>#3.14</t>
  </si>
  <si>
    <t>#3.15</t>
  </si>
  <si>
    <t>#3.16</t>
  </si>
  <si>
    <t>#3.17</t>
  </si>
  <si>
    <t>#3.18</t>
  </si>
  <si>
    <t>#3.19</t>
  </si>
  <si>
    <t>#3.20</t>
  </si>
  <si>
    <t>#3.21</t>
  </si>
  <si>
    <t>#3.22</t>
  </si>
  <si>
    <t>#3.23</t>
  </si>
  <si>
    <t>#3.24</t>
  </si>
  <si>
    <t>#3.25</t>
  </si>
  <si>
    <t>#3.26</t>
  </si>
  <si>
    <t>#3.27</t>
  </si>
  <si>
    <t xml:space="preserve">
Enter total area in any vegetation where rocks is to be replaced. 
</t>
  </si>
  <si>
    <t>#3.28</t>
  </si>
  <si>
    <t>Enter total length of haul road in pasture</t>
  </si>
  <si>
    <t>#3.29</t>
  </si>
  <si>
    <t>Enter total length of haul road in native</t>
  </si>
  <si>
    <t>#3.30</t>
  </si>
  <si>
    <t>Enter total length of haul road in arid</t>
  </si>
  <si>
    <t>#3.31</t>
  </si>
  <si>
    <t>#3.32</t>
  </si>
  <si>
    <t>#3.33</t>
  </si>
  <si>
    <t>#3.34</t>
  </si>
  <si>
    <t>#3.35</t>
  </si>
  <si>
    <t>#3.36</t>
  </si>
  <si>
    <t>#3.37</t>
  </si>
  <si>
    <t>Enter total area of haul road in pasture</t>
  </si>
  <si>
    <t>#3.38</t>
  </si>
  <si>
    <t>Enter total area of haul road in native</t>
  </si>
  <si>
    <t>#3.39</t>
  </si>
  <si>
    <t>Enter total area of haul road in arid</t>
  </si>
  <si>
    <t>#3.40</t>
  </si>
  <si>
    <t>#3.41</t>
  </si>
  <si>
    <t>#3.42</t>
  </si>
  <si>
    <t>#3.43</t>
  </si>
  <si>
    <t>#3.44</t>
  </si>
  <si>
    <t>#3.45</t>
  </si>
  <si>
    <t>#3.46</t>
  </si>
  <si>
    <t xml:space="preserve">Enter number of rail overpasses to be removed.
</t>
  </si>
  <si>
    <t>#3.47</t>
  </si>
  <si>
    <t xml:space="preserve">Enter number of road overpasses to be removed.
</t>
  </si>
  <si>
    <t>#3.48</t>
  </si>
  <si>
    <t xml:space="preserve">Enter number of water course overpasses to be removed.
</t>
  </si>
  <si>
    <t>#3.49</t>
  </si>
  <si>
    <t>Enter total area of earthen laydown in pasture</t>
  </si>
  <si>
    <t>#3.50</t>
  </si>
  <si>
    <t>Enter total area of earthen laydown in native</t>
  </si>
  <si>
    <t>#3.51</t>
  </si>
  <si>
    <t>Enter total area of earthen laydown in arid</t>
  </si>
  <si>
    <t>#3.52</t>
  </si>
  <si>
    <t>Enter total area of rock laydown in pasture</t>
  </si>
  <si>
    <t>#3.53</t>
  </si>
  <si>
    <t>Enter total area of rock laydown in native</t>
  </si>
  <si>
    <t>#3.54</t>
  </si>
  <si>
    <t>Enter total area of rock laydown in arid</t>
  </si>
  <si>
    <t>#3.55</t>
  </si>
  <si>
    <t>Borrow Pit - pasture</t>
  </si>
  <si>
    <t xml:space="preserve">
Enter area of borrow pit in pasture to be rehabilitated.
</t>
  </si>
  <si>
    <t>#3.56</t>
  </si>
  <si>
    <t>Borrow Pit - native</t>
  </si>
  <si>
    <t xml:space="preserve">
Enter area of borrow pit in native to be rehabilitated.
</t>
  </si>
  <si>
    <t>#3.57</t>
  </si>
  <si>
    <t>Borrow Pit - arid</t>
  </si>
  <si>
    <t xml:space="preserve">
Enter area of borrow pit in arid land to be rehabilitated.
</t>
  </si>
  <si>
    <t>#3.58</t>
  </si>
  <si>
    <t xml:space="preserve">
Enter the length of pipe to be removed.
</t>
  </si>
  <si>
    <t>#3.59</t>
  </si>
  <si>
    <t>#3.60</t>
  </si>
  <si>
    <t>#3.61</t>
  </si>
  <si>
    <t>#3.62</t>
  </si>
  <si>
    <t>#3.63</t>
  </si>
  <si>
    <t>#3.64</t>
  </si>
  <si>
    <t>#3.65</t>
  </si>
  <si>
    <t>#3.66</t>
  </si>
  <si>
    <t xml:space="preserve">Enter number of small demountable structures (e.g. small office.) This rate does not include grade and seed as a portable building will typically be within a larger area (e.g. laydown).
</t>
  </si>
  <si>
    <t>#3.67</t>
  </si>
  <si>
    <t xml:space="preserve">Enter the area of the building to be demolished.
</t>
  </si>
  <si>
    <t>#3.68</t>
  </si>
  <si>
    <t>#3.69</t>
  </si>
  <si>
    <t xml:space="preserve">Enter the floor area of the building to be demolished.
</t>
  </si>
  <si>
    <t>#3.70</t>
  </si>
  <si>
    <t>#3.71</t>
  </si>
  <si>
    <t xml:space="preserve">
Enter the floor area of the building to be demolished.  The area is the base footprint only as the rate takes account of the multi-storeys. For process plant such as CHPP use the rate in Process Equipment.
</t>
  </si>
  <si>
    <t>#3.72</t>
  </si>
  <si>
    <t>camp</t>
  </si>
  <si>
    <t>Enter number of camps</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</si>
  <si>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</si>
  <si>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</si>
  <si>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</si>
  <si>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</si>
  <si>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</si>
  <si>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</si>
  <si>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</si>
  <si>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</si>
  <si>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</si>
  <si>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</si>
  <si>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</si>
  <si>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</si>
  <si>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</si>
  <si>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</si>
  <si>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</si>
  <si>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</si>
  <si>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</si>
  <si>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</si>
  <si>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</si>
  <si>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</si>
  <si>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</si>
  <si>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</si>
  <si>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</si>
  <si>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</si>
  <si>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</si>
  <si>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</si>
  <si>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</si>
  <si>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</si>
  <si>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</si>
  <si>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</si>
  <si>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 xml:space="preserve">
Enter area of buildings and associated land between buildings. If the camp area has open land not associated with buildings and structures enter the area below
</t>
  </si>
  <si>
    <t>Includes the same items as the camps of the same type and size range.</t>
  </si>
  <si>
    <t>#3.103</t>
  </si>
  <si>
    <t>#3.104</t>
  </si>
  <si>
    <t>#3.105</t>
  </si>
  <si>
    <t>#3.106</t>
  </si>
  <si>
    <t>tower</t>
  </si>
  <si>
    <t>Enter number of towers.</t>
  </si>
  <si>
    <t>#3.107</t>
  </si>
  <si>
    <t>Enter length of power lines on steel tower and steel lattice.</t>
  </si>
  <si>
    <t>#3.108</t>
  </si>
  <si>
    <t>Enter length of power lines on wooden poles.</t>
  </si>
  <si>
    <t>#3.109</t>
  </si>
  <si>
    <t>Enter length of power lines on concrete poles.</t>
  </si>
  <si>
    <t>#3.110</t>
  </si>
  <si>
    <t>Assumes single story and includes segregation of materials for scrap.</t>
  </si>
  <si>
    <t>#3.111</t>
  </si>
  <si>
    <t>Enter the footprint of the switchyard</t>
  </si>
  <si>
    <t>#3.112</t>
  </si>
  <si>
    <t>Remove rail loop and spur, ballast etc.</t>
  </si>
  <si>
    <t>Enter the length of rail</t>
  </si>
  <si>
    <t>#3.113</t>
  </si>
  <si>
    <t>Collapse, cut and remove rail loading bins</t>
  </si>
  <si>
    <t>Enter the number of rail loading bins/hoppers.</t>
  </si>
  <si>
    <t>#3.114</t>
  </si>
  <si>
    <t>Remove train loading facilities</t>
  </si>
  <si>
    <t>Enter the footprint of train loading infrastructure.</t>
  </si>
  <si>
    <t>#3.115</t>
  </si>
  <si>
    <t xml:space="preserve">Landfill
</t>
  </si>
  <si>
    <t>Enter total area of landfill to be covered</t>
  </si>
  <si>
    <t>#3.116</t>
  </si>
  <si>
    <t xml:space="preserve">Sewage Plant
</t>
  </si>
  <si>
    <t xml:space="preserve">
Enter nameplate capacity of wastewater treatment plant. Rate is for aboveground unit with tanks.  If the facility has large in-ground clarifiers / settling ponds add a pond or tank rate. If the facility places / irrigates treated materials to land, add a land rehabilitation rate.
</t>
  </si>
  <si>
    <t>#3.117</t>
  </si>
  <si>
    <t xml:space="preserve">Enter capacity (ML/day) of company owned water treatment plant.
</t>
  </si>
  <si>
    <t>#3.118</t>
  </si>
  <si>
    <t>Enter total pad area of light vehicle (e.g. passenger vehicles) wash down pads.</t>
  </si>
  <si>
    <t>#3.119</t>
  </si>
  <si>
    <t>Enter total pad area of heavy vehicle (e.g. dump truck) wash down pads.</t>
  </si>
  <si>
    <t>#3.120</t>
  </si>
  <si>
    <t xml:space="preserve">Enter number of water filling stations.
</t>
  </si>
  <si>
    <t>#3.121</t>
  </si>
  <si>
    <t xml:space="preserve">Enter number of fuel filling stations.
</t>
  </si>
  <si>
    <t>#3.122</t>
  </si>
  <si>
    <t xml:space="preserve">Enter total area (top) of oil / water separators.
</t>
  </si>
  <si>
    <t>#3.123</t>
  </si>
  <si>
    <t xml:space="preserve">Enter area of bitumen to be removed.
</t>
  </si>
  <si>
    <t>#3.124</t>
  </si>
  <si>
    <t xml:space="preserve">Enter area of bitumen airstrip to be removed.
</t>
  </si>
  <si>
    <t>#3.125</t>
  </si>
  <si>
    <t xml:space="preserve">Enter area of concrete to be removed.
</t>
  </si>
  <si>
    <t>Breaking up slab and loading into void or crushing area for conversion to road aggregate.</t>
  </si>
  <si>
    <t>#3.126</t>
  </si>
  <si>
    <t>#3.127</t>
  </si>
  <si>
    <t xml:space="preserve">Crush concrete </t>
  </si>
  <si>
    <t>Does not include haulage of materials - assumes crushing plant is readily available.</t>
  </si>
  <si>
    <t>#3.128</t>
  </si>
  <si>
    <t>#3.129</t>
  </si>
  <si>
    <t xml:space="preserve">Does not include haulage of materials - assumes crushing plant is readily available.
</t>
  </si>
  <si>
    <t>#3.130</t>
  </si>
  <si>
    <t>Enter length of fence to remove.</t>
  </si>
  <si>
    <t>#3.131</t>
  </si>
  <si>
    <t>Construct no-climb stock fence around rehabilitated areas</t>
  </si>
  <si>
    <t>Enter length of fence to construct.</t>
  </si>
  <si>
    <t>#3.132</t>
  </si>
  <si>
    <t>Construct standard stock fence around rehabilitated areas</t>
  </si>
  <si>
    <t>#3.133</t>
  </si>
  <si>
    <t xml:space="preserve">Rehabilitation of infrastructure footprints
</t>
  </si>
  <si>
    <t xml:space="preserve">
Enter area of land beneath demolished / removed infrastructure to be rehabilitated. Includes reshape rail spur and load out areas.
</t>
  </si>
  <si>
    <t>#3.134</t>
  </si>
  <si>
    <t>General grader and shape to re-establish natural rip</t>
  </si>
  <si>
    <t xml:space="preserve">Enter the area to be ripped and graded.(Used in User build tables).
</t>
  </si>
  <si>
    <t>#3.135</t>
  </si>
  <si>
    <t>Enter number of tanks</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</si>
  <si>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</si>
  <si>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</si>
  <si>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</si>
  <si>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</si>
  <si>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</si>
  <si>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</si>
  <si>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</si>
  <si>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</si>
  <si>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</si>
  <si>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</si>
  <si>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</si>
  <si>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</si>
  <si>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</si>
  <si>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</si>
  <si>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</si>
  <si>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</si>
  <si>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</si>
  <si>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</si>
  <si>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</si>
  <si>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</si>
  <si>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</si>
  <si>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</si>
  <si>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</si>
  <si>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</si>
  <si>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</si>
  <si>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</si>
  <si>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</si>
  <si>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</si>
  <si>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</si>
  <si>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</si>
  <si>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</si>
  <si>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</si>
  <si>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</si>
  <si>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</si>
  <si>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</si>
  <si>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</si>
  <si>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</si>
  <si>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</si>
  <si>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</si>
  <si>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</si>
  <si>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#4.01</t>
  </si>
  <si>
    <t xml:space="preserve">Process Equipment </t>
  </si>
  <si>
    <t xml:space="preserve">Use for CHPP, mineral concentrator, CIP/CIL, crushing, milling and similar items. 
Enter total floor space including multiple levels. For example, if the ground floor is 100 m2 and second floor is 100 m2, the quantity to enter is 200 m2. Use for CHPP, crushers, mills, furnaces, agglomeration, electrowinning, floatation, sizing stations, rotary breakers etc. - include the area of each floor of the structure.
</t>
  </si>
  <si>
    <t>#4.02</t>
  </si>
  <si>
    <t xml:space="preserve">Enter the number of radial and/or luffing (or similar) stackers and reclaimers. 
</t>
  </si>
  <si>
    <t>#4.03</t>
  </si>
  <si>
    <t xml:space="preserve">Enter the number of bucket wheel stacker reclaimers.
</t>
  </si>
  <si>
    <t>#4.04</t>
  </si>
  <si>
    <t xml:space="preserve">Enter the length of rails and ballast/footings associated with rail mounted stacker reclaimers.
</t>
  </si>
  <si>
    <t>#4.05</t>
  </si>
  <si>
    <t xml:space="preserve">Enter the length of conveyors that are on the ground.
</t>
  </si>
  <si>
    <t>#4.06</t>
  </si>
  <si>
    <t xml:space="preserve">Enter the length of conveyors that are elevated &gt;5 but &lt;10 m off the ground.
</t>
  </si>
  <si>
    <t>#4.07</t>
  </si>
  <si>
    <t xml:space="preserve">Enter the length of conveyors that are elevated &gt;10 m off the ground.
</t>
  </si>
  <si>
    <t>#4.08</t>
  </si>
  <si>
    <t xml:space="preserve">Enter the area of the roof of the reclaim tunnel to be "punched in" to expose the conveyor for removal. Does not include excavation of material to expose the structure. Use rate below for conveyor removal and/or backfill.
</t>
  </si>
  <si>
    <t>#4.09</t>
  </si>
  <si>
    <t xml:space="preserve">Enter the length of conveyors in reclaim tunnels that do not have canopies or protection from the elements .Enter the length of reclaim tunnel to be demolished. Use rate above for excavation and demolition of reclaim tunnel roof.
</t>
  </si>
  <si>
    <t>#4.10</t>
  </si>
  <si>
    <t xml:space="preserve">Enter the area of reclaim tunnel is to be completely removed. 
</t>
  </si>
  <si>
    <t>#4.11</t>
  </si>
  <si>
    <t xml:space="preserve">Enter the length of on-ground conveyor to be dismantled for re-use.
</t>
  </si>
  <si>
    <t>#4.12</t>
  </si>
  <si>
    <t xml:space="preserve">Enter the length of overhead conveyor to be dismantled for re-use.
</t>
  </si>
  <si>
    <t>#4.13</t>
  </si>
  <si>
    <t xml:space="preserve">Enter the number of small silos to be removed. The User can assume this rate applies for vessel sizes up to the next category.
</t>
  </si>
  <si>
    <t>#4.14</t>
  </si>
  <si>
    <t xml:space="preserve">Enter the number of medium silos to be removed. The User can assume this rate applies for vessel sizes up to the next category.
</t>
  </si>
  <si>
    <t>#4.15</t>
  </si>
  <si>
    <t xml:space="preserve">Enter the number of large silos to be removed. The User can assume this rate applies for vessel sizes up to the next category.
</t>
  </si>
  <si>
    <t>#4.16</t>
  </si>
  <si>
    <t>Enter the number of tanks to demolish. Use for fuel storage, thickener, flocculation and similar tanks.</t>
  </si>
  <si>
    <t>#4.17</t>
  </si>
  <si>
    <t>#4.18</t>
  </si>
  <si>
    <t>#4.19</t>
  </si>
  <si>
    <t>#4.20</t>
  </si>
  <si>
    <t>#4.21</t>
  </si>
  <si>
    <t>Enter the number of small underground tanks to be removed and disposed.</t>
  </si>
  <si>
    <t>#4.22</t>
  </si>
  <si>
    <t>Enter the number of large underground tanks to be removed and disposed.</t>
  </si>
  <si>
    <t>#4.23</t>
  </si>
  <si>
    <t>Enter the number of small tanks to be transported for disposal.</t>
  </si>
  <si>
    <t>#4.24</t>
  </si>
  <si>
    <t xml:space="preserve">Enter the number of small skid mounted or plinth secured pump sets to be removed.
</t>
  </si>
  <si>
    <t>#4.25</t>
  </si>
  <si>
    <t xml:space="preserve">Enter the number of large skid mounted or plinth secured pump sets to be removed.
</t>
  </si>
  <si>
    <t>#4.26</t>
  </si>
  <si>
    <t xml:space="preserve">Enter the number of draglines to be removed.
</t>
  </si>
  <si>
    <t>#4.27</t>
  </si>
  <si>
    <t>#4.28</t>
  </si>
  <si>
    <t>#4.29</t>
  </si>
  <si>
    <t>#4.30</t>
  </si>
  <si>
    <t>#4.31</t>
  </si>
  <si>
    <t>#4.32</t>
  </si>
  <si>
    <t>#4.33</t>
  </si>
  <si>
    <t>#4.34</t>
  </si>
  <si>
    <t>#4.35</t>
  </si>
  <si>
    <t>#4.36</t>
  </si>
  <si>
    <t>Rehabilitation of infrastructure footprints</t>
  </si>
  <si>
    <t>#5.01</t>
  </si>
  <si>
    <t>Water Storage</t>
  </si>
  <si>
    <t>Clean water small dams/sediment control structures retained after closure</t>
  </si>
  <si>
    <t>Enter number of minor water management structures (i.e. small sediment dams) to remain after closure</t>
  </si>
  <si>
    <t>#5.02</t>
  </si>
  <si>
    <t>Clean water small mine/quarry dams/sediment control structures retained after closure</t>
  </si>
  <si>
    <t>Small Mine / Quarry - enter number of minor water management structures (i.e. small sediment dams) to remain after closure</t>
  </si>
  <si>
    <t>#5.03</t>
  </si>
  <si>
    <t>structure</t>
  </si>
  <si>
    <t>Enter number of water structures</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</si>
  <si>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</si>
  <si>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</si>
  <si>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</si>
  <si>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</si>
  <si>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</si>
  <si>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</si>
  <si>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</si>
  <si>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</si>
  <si>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</si>
  <si>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</si>
  <si>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</si>
  <si>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</si>
  <si>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</si>
  <si>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</si>
  <si>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</si>
  <si>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</si>
  <si>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</si>
  <si>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</si>
  <si>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</si>
  <si>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</si>
  <si>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</si>
  <si>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</si>
  <si>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</si>
  <si>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</si>
  <si>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</si>
  <si>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</si>
  <si>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</si>
  <si>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</si>
  <si>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</si>
  <si>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</si>
  <si>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</si>
  <si>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</si>
  <si>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</si>
  <si>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</si>
  <si>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</si>
  <si>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</si>
  <si>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</si>
  <si>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</si>
  <si>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</si>
  <si>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</si>
  <si>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</si>
  <si>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</si>
  <si>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</si>
  <si>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</si>
  <si>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</si>
  <si>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</si>
  <si>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</si>
  <si>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</si>
  <si>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</si>
  <si>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</si>
  <si>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</si>
  <si>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</si>
  <si>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</si>
  <si>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</si>
  <si>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</si>
  <si>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</si>
  <si>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</si>
  <si>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</si>
  <si>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</si>
  <si>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</si>
  <si>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</si>
  <si>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</si>
  <si>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</si>
  <si>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</si>
  <si>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</si>
  <si>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</si>
  <si>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</si>
  <si>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</si>
  <si>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</si>
  <si>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</si>
  <si>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</si>
  <si>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</si>
  <si>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</si>
  <si>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</si>
  <si>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</si>
  <si>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</si>
  <si>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</si>
  <si>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</si>
  <si>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</si>
  <si>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</si>
  <si>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</si>
  <si>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</si>
  <si>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</si>
  <si>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</si>
  <si>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</si>
  <si>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</si>
  <si>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</si>
  <si>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</si>
  <si>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</si>
  <si>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</si>
  <si>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</si>
  <si>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</si>
  <si>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</si>
  <si>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</si>
  <si>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</si>
  <si>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</si>
  <si>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</si>
  <si>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</si>
  <si>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</si>
  <si>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</si>
  <si>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</si>
  <si>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</si>
  <si>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</si>
  <si>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</si>
  <si>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</si>
  <si>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</si>
  <si>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</si>
  <si>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</si>
  <si>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</si>
  <si>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</si>
  <si>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</si>
  <si>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</si>
  <si>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</si>
  <si>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</si>
  <si>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</si>
  <si>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</si>
  <si>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</si>
  <si>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</si>
  <si>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</si>
  <si>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</si>
  <si>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</si>
  <si>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</si>
  <si>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</si>
  <si>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</si>
  <si>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</si>
  <si>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</si>
  <si>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</si>
  <si>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</si>
  <si>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</si>
  <si>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</si>
  <si>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</si>
  <si>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</si>
  <si>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</si>
  <si>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</si>
  <si>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</si>
  <si>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 xml:space="preserve">Enter total crest area of water structures </t>
  </si>
  <si>
    <t>#5.139</t>
  </si>
  <si>
    <t>#5.140</t>
  </si>
  <si>
    <t>#5.141</t>
  </si>
  <si>
    <t>#5.142</t>
  </si>
  <si>
    <t>#5.143</t>
  </si>
  <si>
    <t>#5.144</t>
  </si>
  <si>
    <t>#5.145</t>
  </si>
  <si>
    <t>#5.146</t>
  </si>
  <si>
    <t>#5.147</t>
  </si>
  <si>
    <t>#5.148</t>
  </si>
  <si>
    <t>#5.149</t>
  </si>
  <si>
    <t>#5.150</t>
  </si>
  <si>
    <t>#5.151</t>
  </si>
  <si>
    <t>#6.01</t>
  </si>
  <si>
    <t>Water Treatment and Pumping</t>
  </si>
  <si>
    <t>Enter the volume of water that is required to be treated for pH adjustment. Add pumping rate if required.</t>
  </si>
  <si>
    <t>#6.02</t>
  </si>
  <si>
    <t>#6.03</t>
  </si>
  <si>
    <t>Enter volume of residual water in dams to be treated. Add pumping rate if required.</t>
  </si>
  <si>
    <t>#6.04</t>
  </si>
  <si>
    <t xml:space="preserve">
Enter the volume of water that is required to be treated. This includes the removal of contaminated water from bunded areas and sump using a vacuum truck and disposing of the water to a licensed facility. Add pumping rate if required.
</t>
  </si>
  <si>
    <t>#6.05</t>
  </si>
  <si>
    <t xml:space="preserve">
Enter the number of dam / ponds with residual water and where the water will be allowed to evaporate.
</t>
  </si>
  <si>
    <t>#6.06</t>
  </si>
  <si>
    <t xml:space="preserve">
Enter the number of dam / ponds with residual water that will be evaporated using and atomiser.
</t>
  </si>
  <si>
    <t>#6.07</t>
  </si>
  <si>
    <t xml:space="preserve">
Enter if a unit must be mobilised to site.  Cost covers mobilisation to an area. 
</t>
  </si>
  <si>
    <t>#6.08</t>
  </si>
  <si>
    <t>Salt disposal - load and transport</t>
  </si>
  <si>
    <t>Enter the number of tonnes of salt to be transported for disposal.</t>
  </si>
  <si>
    <t>#6.09</t>
  </si>
  <si>
    <t>Salt disposal - gate fee</t>
  </si>
  <si>
    <t xml:space="preserve">
Enter the number of tonnes of salt to be disposed to a waste facility.
</t>
  </si>
  <si>
    <t>#6.10</t>
  </si>
  <si>
    <t>Water pumping / transfer</t>
  </si>
  <si>
    <t>Enter the volume of water that is required to be pumped/transferred on site.</t>
  </si>
  <si>
    <t>#6.11</t>
  </si>
  <si>
    <t xml:space="preserve">
Removal of evaporation fans and / or other water transfer and management infrastructure
</t>
  </si>
  <si>
    <t>Provisional sum for removal of water management infrastructure.</t>
  </si>
  <si>
    <t>#6.12</t>
  </si>
  <si>
    <t>Dewatering Plant Decommissioning</t>
  </si>
  <si>
    <t xml:space="preserve">
Enter capacity of dewatering system.
</t>
  </si>
  <si>
    <t>#6.13</t>
  </si>
  <si>
    <t xml:space="preserve">Enter the volume of water to which these items will apply.
</t>
  </si>
  <si>
    <t>#7.01</t>
  </si>
  <si>
    <t>WRD / Overburden</t>
  </si>
  <si>
    <t>HIGH RISK Waste Rock Dump / Overburden</t>
  </si>
  <si>
    <t xml:space="preserve">
Enter footprint for high risk waste rock dump (WRD) or overburden dump (OB). High risk WRD/OB contains potentially acid forming material (PAF); other highly reactive materials (ARD/AMD/NMD); or have observed contaminated seepage capable of causing environmental harm. 
</t>
  </si>
  <si>
    <t>#7.02</t>
  </si>
  <si>
    <t>MEDIUM RISK Waste Rock Dump / Overburden with low permeability layer</t>
  </si>
  <si>
    <t xml:space="preserve">High risk waste rock dump (WRD) or overburden dump (OB) has one or more of the following characteristics:
- Moderately reactive materials (ARD/AMD/NMD)
- Hypersaline tailings that could impact on the proposed end land use
</t>
  </si>
  <si>
    <t>#7.03</t>
  </si>
  <si>
    <t>MEDIUM RISK Waste Rock Dump / Overburden</t>
  </si>
  <si>
    <t xml:space="preserve">Medium risk waste rock dump (WRD) or overburden dump (OB) has one or more of the following characteristics:
- Moderately reactive materials (ARD/AMD/NMD)
- Hypersaline tailings that could impact on the proposed end land use
</t>
  </si>
  <si>
    <t>#7.04</t>
  </si>
  <si>
    <t>LOW RISK Waste Rock Dump / Overburden</t>
  </si>
  <si>
    <t xml:space="preserve">Low risk Waste rock dump (WRD) or overburden dump (OB) has one or more of the following characteristics:
- Low reactive materials (ARD/AMD/NMD)
</t>
  </si>
  <si>
    <t>#7.05</t>
  </si>
  <si>
    <t>VERY LOW RISK Waste Rock Dump / Overburden</t>
  </si>
  <si>
    <t>Very low risk Waste rock dump (WRD) or overburden dump (OB) which has benign materials.</t>
  </si>
  <si>
    <t>#8.01</t>
  </si>
  <si>
    <t>Heap Leach Pad Input Sheet</t>
  </si>
  <si>
    <t xml:space="preserve">HIGH RISK Heap Leach Pad
</t>
  </si>
  <si>
    <t xml:space="preserve">Enter footprint of the Heap Leach Pad. </t>
  </si>
  <si>
    <t>#8.02</t>
  </si>
  <si>
    <t>MEDIUM RISK Heap Leach Pad with low permeability layer</t>
  </si>
  <si>
    <t>#8.03</t>
  </si>
  <si>
    <t>MEDIUM RISK Heap Leach Pad</t>
  </si>
  <si>
    <t>#8.04</t>
  </si>
  <si>
    <t>LOW RISK Heap Leach Pad</t>
  </si>
  <si>
    <t>#8.05</t>
  </si>
  <si>
    <t>VERY LOW RISK Heap Leach Pad</t>
  </si>
  <si>
    <t>#9.01</t>
  </si>
  <si>
    <t>Tailings Storage Facilities</t>
  </si>
  <si>
    <t xml:space="preserve">HIGH RISK TSF
</t>
  </si>
  <si>
    <t xml:space="preserve">Enter footprint of the Tailings Storage Facility. </t>
  </si>
  <si>
    <t>#9.02</t>
  </si>
  <si>
    <t xml:space="preserve">MEDIUM RISK TSF with low permeability layer
</t>
  </si>
  <si>
    <t>#9.03</t>
  </si>
  <si>
    <t xml:space="preserve">MEDIUM RISK TSF
</t>
  </si>
  <si>
    <t>#9.04</t>
  </si>
  <si>
    <t xml:space="preserve">LOW RISK TSF
</t>
  </si>
  <si>
    <t>#9.05</t>
  </si>
  <si>
    <t xml:space="preserve">VERY LOW RISK TSF
</t>
  </si>
  <si>
    <t>#9.06</t>
  </si>
  <si>
    <t>In-pit tailings</t>
  </si>
  <si>
    <t xml:space="preserve">Enter the area of in-pit, alluvial etc tailings </t>
  </si>
  <si>
    <t>#10.01</t>
  </si>
  <si>
    <t>Pits</t>
  </si>
  <si>
    <t>Drill and blast faces to make safe</t>
  </si>
  <si>
    <t>Enter total volume of material to be blasted.</t>
  </si>
  <si>
    <t>#10.02</t>
  </si>
  <si>
    <t>Highwall treatment - trench and safety berm construction (excavate and place)</t>
  </si>
  <si>
    <t xml:space="preserve">Enter total length of highwall. </t>
  </si>
  <si>
    <t>#10.03</t>
  </si>
  <si>
    <t>Highwall treatment - safety berm construction haul from stockpile 4km</t>
  </si>
  <si>
    <t>#10.04</t>
  </si>
  <si>
    <t>Security fence around steep section of high wall</t>
  </si>
  <si>
    <t xml:space="preserve">Enter total length of highwall.
</t>
  </si>
  <si>
    <t>#10.05</t>
  </si>
  <si>
    <t>Standard barbed 5 strand cattle fence around open pit</t>
  </si>
  <si>
    <t>Km</t>
  </si>
  <si>
    <t>#10.06</t>
  </si>
  <si>
    <t>Purchase and erect warning signs</t>
  </si>
  <si>
    <t xml:space="preserve">Enter total length of fence.
</t>
  </si>
  <si>
    <t>#10.07</t>
  </si>
  <si>
    <t>#11.01</t>
  </si>
  <si>
    <t>Underground Mines</t>
  </si>
  <si>
    <t>Demolition and removal of vent fans, electrical substation and winch</t>
  </si>
  <si>
    <t xml:space="preserve">Enter number of fan installations.
</t>
  </si>
  <si>
    <t>#11.02</t>
  </si>
  <si>
    <t>Demolition and removal of hoisting shaft headframe, winder building, and support infrastructure</t>
  </si>
  <si>
    <t>Enter number of hoisting assemblies.</t>
  </si>
  <si>
    <t>#11.03</t>
  </si>
  <si>
    <t>Enter number of conveyor assemblies.</t>
  </si>
  <si>
    <t>#11.04</t>
  </si>
  <si>
    <t>Install gate or grill over an adit</t>
  </si>
  <si>
    <t xml:space="preserve">Enter number of adits. Example of use is where site might be used by bats.
</t>
  </si>
  <si>
    <t>#11.05</t>
  </si>
  <si>
    <t>Small adits - seal</t>
  </si>
  <si>
    <t>Enter number of adits. Use for small (width &lt; 2 m adits).</t>
  </si>
  <si>
    <t>#11.06</t>
  </si>
  <si>
    <t>Larger portals, declines, adits, drifts - seal</t>
  </si>
  <si>
    <t>Enter number of portals, declines, adits, drifts. Use for openings of width &gt;2 m. If concrete bulk head not required, reduce rate by 50%.</t>
  </si>
  <si>
    <t>#11.07</t>
  </si>
  <si>
    <t>Ventilation shafts - seal with concrete plug and rehabilitate</t>
  </si>
  <si>
    <t>Enter number of shafts. Use for openings up to 4 m diameter.</t>
  </si>
  <si>
    <t>#11.08</t>
  </si>
  <si>
    <t>Hoisting and person haulage shafts - seal with concrete plug and rehabilitate</t>
  </si>
  <si>
    <t>Enter number of shafts. Use for openings up to 8 m diameter.</t>
  </si>
  <si>
    <t>#11.09</t>
  </si>
  <si>
    <t xml:space="preserve">Ventilation shafts - seal with steel plate and rehabilitate </t>
  </si>
  <si>
    <t>#11.10</t>
  </si>
  <si>
    <t xml:space="preserve">Hoisting and person haulage shafts - seal with steel plate and rehabilitate </t>
  </si>
  <si>
    <t>#11.11</t>
  </si>
  <si>
    <t>Ventilation shafts - backfill using suitably sized (screened) material</t>
  </si>
  <si>
    <t>#11.12</t>
  </si>
  <si>
    <t>Hoisting and person haulage shafts - backfill using suitably sized (screened) material</t>
  </si>
  <si>
    <t>#11.13</t>
  </si>
  <si>
    <t>#11.14</t>
  </si>
  <si>
    <t>Existing rehabilitation repair - minor</t>
  </si>
  <si>
    <t xml:space="preserve">
Enter total area of land requiring minor earthworks. Applicable to land experiencing minor cracking and/or drainage issues.
</t>
  </si>
  <si>
    <t>#11.15</t>
  </si>
  <si>
    <t>Existing rehabilitation repair - moderate</t>
  </si>
  <si>
    <t xml:space="preserve">
Enter total area of land requiring moderate earthworks. Applicable to land experiencing surface expression of subsidence effects (e.g. cracking, sink holes) where remedial works have not been successful.
</t>
  </si>
  <si>
    <t>#11.16</t>
  </si>
  <si>
    <t>Existing rehabilitation repair - major</t>
  </si>
  <si>
    <t xml:space="preserve">
Enter total area of land requiring major earthworks. Applicable to land experiencing widespread surface expression of subsidence effects (e.g. cracking, sink holes) where remedial works have not been successful.
</t>
  </si>
  <si>
    <t>#11.17</t>
  </si>
  <si>
    <t>Existing rehabilitation repair - total failure of intended landform</t>
  </si>
  <si>
    <t>Enter only specific area of landform requiring re-construction following failure of intended design.</t>
  </si>
  <si>
    <t>#12.01</t>
  </si>
  <si>
    <t>Enter the length of jetty to demolish.</t>
  </si>
  <si>
    <t>#12.02</t>
  </si>
  <si>
    <t>Enter the area of wharf to demolish.</t>
  </si>
  <si>
    <t>#12.03</t>
  </si>
  <si>
    <t xml:space="preserve">Enter the number of dolphins to remove.
</t>
  </si>
  <si>
    <t>#12.04</t>
  </si>
  <si>
    <t>Enter the number of reclaimers to remove.</t>
  </si>
  <si>
    <t>#12.05</t>
  </si>
  <si>
    <t>Enter the number of shiploaders to remove.</t>
  </si>
  <si>
    <t>#12.06</t>
  </si>
  <si>
    <t>Enter the length of conveyor on jetty to remove.</t>
  </si>
  <si>
    <t>#12.07</t>
  </si>
  <si>
    <t>Enter the length of conveyor on land to remove.</t>
  </si>
  <si>
    <t>#13.01</t>
  </si>
  <si>
    <t>Investigation Contamination Scrap</t>
  </si>
  <si>
    <t>Preliminary site investigation (Phase 1 investigation)</t>
  </si>
  <si>
    <t>Cluster</t>
  </si>
  <si>
    <t xml:space="preserve">
Apply to a discrete area (e.g. a process area) or areas that are close together and share similar characteristics (e.g. operating history).
</t>
  </si>
  <si>
    <t>#13.02</t>
  </si>
  <si>
    <t>Land investigation one-off costs</t>
  </si>
  <si>
    <t xml:space="preserve">
Apply once to areas that can feasibly be investigated during one campaign. Typically this means facilities in close proximity. The User can enter a fraction (less than 1) if it is reasonable to assume the area will be part of multiple areas. For example, if two potentially contamination areas in the same area, the entry can be 0.5.
</t>
  </si>
  <si>
    <t>#13.03</t>
  </si>
  <si>
    <t>Land investigation per unit area costs</t>
  </si>
  <si>
    <t>Enter the area to be investigated (not the total facility area).</t>
  </si>
  <si>
    <t>#13.04</t>
  </si>
  <si>
    <t>Enter the total mass of asbestos to be disposed off-site.</t>
  </si>
  <si>
    <t>#13.05</t>
  </si>
  <si>
    <t>Enter the total mass of asbestos in soil to be disposed off-site.</t>
  </si>
  <si>
    <t>#13.06</t>
  </si>
  <si>
    <t>Enter the total mass of soil impacted with low level petroleum hydrocarbons in soil to be disposed off-site.</t>
  </si>
  <si>
    <t>#13.07</t>
  </si>
  <si>
    <t>Enter the total mass of soil impacted with high level petroleum hydrocarbons in soil to be disposed off-site.</t>
  </si>
  <si>
    <t>#13.08</t>
  </si>
  <si>
    <t>#13.09</t>
  </si>
  <si>
    <t>#13.10</t>
  </si>
  <si>
    <t>Enter the total mass of sludge to be disposed off-site.</t>
  </si>
  <si>
    <t>#13.11</t>
  </si>
  <si>
    <t>#13.12</t>
  </si>
  <si>
    <t>#13.13</t>
  </si>
  <si>
    <t>#13.14</t>
  </si>
  <si>
    <t>On-site remediation of hydrocarbon contaminated soils (&lt;=100m3 soil) -  landfarming / bioremediation.</t>
  </si>
  <si>
    <t xml:space="preserve">
Enter the total volume of soil to be treated. Where an assessment has been made to confirm that bioremediation is possible the total volume of material can be included for on-site land farming.
</t>
  </si>
  <si>
    <t>#13.15</t>
  </si>
  <si>
    <t>On-site remediation of hydrocarbon contaminated soils (&gt;100m3 to &lt;=500m3 soil) -  landfarming / bioremediation.</t>
  </si>
  <si>
    <t>#13.16</t>
  </si>
  <si>
    <r>
      <t>On-site remediation of hydrocarbon contaminated soils (&gt;500m</t>
    </r>
    <r>
      <rPr>
        <vertAlign val="superscript"/>
        <sz val="10"/>
        <rFont val="Arial"/>
        <family val="2"/>
      </rPr>
      <t>3</t>
    </r>
    <r>
      <rPr>
        <sz val="10"/>
        <rFont val="Arial"/>
        <family val="2"/>
      </rPr>
      <t>) -  landfarming / bioremediation.</t>
    </r>
  </si>
  <si>
    <t>#13.17</t>
  </si>
  <si>
    <t>Removal of scrap metal and bury on-site</t>
  </si>
  <si>
    <t xml:space="preserve">
Enter mass of miscellaneous scrap to be buried on-site. This rate is used in isolation for miscellaneous scrap that are not covered under other domains. If this activity is required under another domain (e.g. for a facility) the costs are included in that domain, i.e. no need to add again here.
</t>
  </si>
  <si>
    <t>#13.18</t>
  </si>
  <si>
    <t>Removal of scrap metal and dispose off-site</t>
  </si>
  <si>
    <t xml:space="preserve">
Enter mass of miscellaneous scrap to be dispose off-site. This rate is used in isolation for miscellaneous scrap that are not covered under other domains. If this activity is required under another domain (e.g. for a facility) the costs are included in that domain, i.e. no need to add again here.
</t>
  </si>
  <si>
    <t>#14.01</t>
  </si>
  <si>
    <t>General Land Rehabilitation</t>
  </si>
  <si>
    <t>Maintenance of rehabilitated areas</t>
  </si>
  <si>
    <t xml:space="preserve">
Enter area rehabilitated land requiring  maintenance (i.e., where revegetation was unsuccessful) whether previously disturbed or proposed to be disturbed and rehabilitated within the ERC period.
</t>
  </si>
  <si>
    <t>#14.02</t>
  </si>
  <si>
    <t xml:space="preserve">
Enter total area of land requiring minor earthworks. Applicable only to land experiencing minor cracking and/or drainage issues.
</t>
  </si>
  <si>
    <t>#14.03</t>
  </si>
  <si>
    <t xml:space="preserve">
Enter total area of land requiring moderate earthworks. Applicable only to land experiencing surface expression of subsidence effects (e.g. cracking, sink holes) where remedial works have not been successful.
</t>
  </si>
  <si>
    <t>#14.04</t>
  </si>
  <si>
    <t>#14.05</t>
  </si>
  <si>
    <t>#14.06</t>
  </si>
  <si>
    <t>Rehabilitation of miscellaneous footprints</t>
  </si>
  <si>
    <t xml:space="preserve">Enter area of footprint area to be rehabilitated. </t>
  </si>
  <si>
    <t>#14.07</t>
  </si>
  <si>
    <t xml:space="preserve">Land management of undisturbed areas (e.g., weed management, feral animal control, erosion and sediment control works)
</t>
  </si>
  <si>
    <t>Enter area requiring land management.</t>
  </si>
  <si>
    <t>#14.08</t>
  </si>
  <si>
    <t>Pest management on buffer lands, non-disturbed, and rehabilitated areas</t>
  </si>
  <si>
    <t>Enter area of land requiring pest management.</t>
  </si>
  <si>
    <t>#14.09</t>
  </si>
  <si>
    <t>Engineered cut-through drain (6m wide) riprap lined (100 mm thick) based on catchment size of subsidence using D10 dozer.</t>
  </si>
  <si>
    <t xml:space="preserve">
Enter surface area of the surface expression of chain pillars to re-establish natural drainage pathways.
</t>
  </si>
  <si>
    <t>#14.10</t>
  </si>
  <si>
    <t>Maintenance of water course diversion (major structure)</t>
  </si>
  <si>
    <t>Enter length of major channel requiring repair (not the total length) / maintenance. Major channels are assumed to be greater than 5 m wide.</t>
  </si>
  <si>
    <t>#14.11</t>
  </si>
  <si>
    <t>Maintenance of water course diversion (minor structure)</t>
  </si>
  <si>
    <t>Enter length of major channel requiring repair (not the total length) / maintenance. Major channels are assumed to be less than or equal to 5 m wide.</t>
  </si>
  <si>
    <t>#14.12</t>
  </si>
  <si>
    <t xml:space="preserve">
Enter area of diversions requiring rock armouring to ensure long term stability. Use if structure has rock armour (e.g. on slopes) that needs to be replaced.
</t>
  </si>
  <si>
    <t>#14.13</t>
  </si>
  <si>
    <t xml:space="preserve">
General Land Rehabilitation
</t>
  </si>
  <si>
    <t>Minor drainage line (non-watercourse) realignments.</t>
  </si>
  <si>
    <t>Enter length of minor drainage line to re-align.</t>
  </si>
  <si>
    <t>#14.14</t>
  </si>
  <si>
    <t>General grader and shape to re-establish natural rip - 12M</t>
  </si>
  <si>
    <t xml:space="preserve">
Enter area requiring minor reshaping, and ripping to enhance revegetation program. This rate is used in isolation for miscellaneous areas that are not covered under other domains. If this activity is required under another domain (e.g. for a laydown area) the costs are included in that domain, i.e. no need to add again here.
</t>
  </si>
  <si>
    <t>#14.15</t>
  </si>
  <si>
    <t>General grader and shape to re-establish natural rip - 14M</t>
  </si>
  <si>
    <t>#14.16</t>
  </si>
  <si>
    <t>General grader and shape to re-establish natural rip - 16M</t>
  </si>
  <si>
    <t>#14.17</t>
  </si>
  <si>
    <t>General doze deep ripping - D6R</t>
  </si>
  <si>
    <t xml:space="preserve">
Enter area requiring deep ripping to enhance revegetation program. This rate is used in isolation for miscellaneous areas that are not covered under other domains. If this activity is required under another domain (e.g. for a laydown area) the costs are included in that domain, i.e. no need to add again here.
</t>
  </si>
  <si>
    <t>#14.18</t>
  </si>
  <si>
    <t>General doze deep ripping - D7R</t>
  </si>
  <si>
    <t>#14.19</t>
  </si>
  <si>
    <t>General doze deep ripping - D8R</t>
  </si>
  <si>
    <t>#14.20</t>
  </si>
  <si>
    <t>General doze deep ripping - D9R</t>
  </si>
  <si>
    <t>#14.21</t>
  </si>
  <si>
    <t>General doze deep ripping - D10T</t>
  </si>
  <si>
    <t>#14.22</t>
  </si>
  <si>
    <t>General doze deep ripping - D11T</t>
  </si>
  <si>
    <t>#14.23</t>
  </si>
  <si>
    <t>General doze and shape to re-establish natural drainage and rip - D6R dozer</t>
  </si>
  <si>
    <t>#14.24</t>
  </si>
  <si>
    <t>General doze and shape to re-establish natural drainage and rip - D7R dozer</t>
  </si>
  <si>
    <t>#14.25</t>
  </si>
  <si>
    <t>General doze and shape to re-establish natural drainage and rip - D8R dozer</t>
  </si>
  <si>
    <t>#14.26</t>
  </si>
  <si>
    <t>General doze and shape to re-establish natural drainage and rip - D9R dozer</t>
  </si>
  <si>
    <t>#14.27</t>
  </si>
  <si>
    <t>General doze and shape to re-establish natural drainage and rip - D10T dozer</t>
  </si>
  <si>
    <t>#14.28</t>
  </si>
  <si>
    <t>General doze and shape to re-establish natural drainage and rip - D11T dozer</t>
  </si>
  <si>
    <t>#14.29</t>
  </si>
  <si>
    <t>Planting mature trees (&gt;15 cm)</t>
  </si>
  <si>
    <t xml:space="preserve">
Enter number of mature trees to be planted. This rate is used in isolation for re-planting areas not covered under other domains.
</t>
  </si>
  <si>
    <t>#14.30</t>
  </si>
  <si>
    <t>Planting tube stock (&lt;=15 cm)</t>
  </si>
  <si>
    <t>#14.31</t>
  </si>
  <si>
    <t>Hydro-seeding with mulch and bitumen tack</t>
  </si>
  <si>
    <t xml:space="preserve">
Enter area of land for areas that require additional stabilisation and not included in other domains or rates.
</t>
  </si>
  <si>
    <t>#14.32</t>
  </si>
  <si>
    <t xml:space="preserve">
Enter the area of land requiring amendment.</t>
  </si>
  <si>
    <t>#14.33</t>
  </si>
  <si>
    <t xml:space="preserve">
Enter the area of land requiring amendment. This rate is used for areas where high sodicity soil is present which will require a higher amendment rate.</t>
  </si>
  <si>
    <t>#14.34</t>
  </si>
  <si>
    <t xml:space="preserve">
Enter the area of land requiring amendment. If the User can demonstrate access to recycled gypsum this rate can be used.</t>
  </si>
  <si>
    <t>#14.35</t>
  </si>
  <si>
    <t xml:space="preserve">
Enter the area of land requiring amendment. This rate is used for areas where high sodicity soil is present which will require a higher amendment rate.  If the User can demonstrate access to recycled gypsum this rate can be used.
</t>
  </si>
  <si>
    <t>#14.36</t>
  </si>
  <si>
    <t>Enter the area of land requiring amendment.</t>
  </si>
  <si>
    <t>#14.37</t>
  </si>
  <si>
    <t xml:space="preserve">
Enter area of land to which organic material will be applied.</t>
  </si>
  <si>
    <t>#14.38</t>
  </si>
  <si>
    <t>#14.39</t>
  </si>
  <si>
    <t xml:space="preserve">
Enter area of land requiring additional fertilising is required. This rate is used in isolation for areas not covered under other domains.
</t>
  </si>
  <si>
    <t>#14.40</t>
  </si>
  <si>
    <t>Direct seeding / fertiliser (pasture grass species)</t>
  </si>
  <si>
    <t xml:space="preserve">
Enter area of land to be seeded with pasture species. This rate is used in isolation for miscellaneous areas that are not covered under other domains. If this activity is required under another domain (e.g. for a laydown area) the costs are included in that domain, i.e. no need to add again here.
</t>
  </si>
  <si>
    <t>#14.41</t>
  </si>
  <si>
    <t>Direct seeding / fertiliser (native tree/shrub/grass species)</t>
  </si>
  <si>
    <t>#14.42</t>
  </si>
  <si>
    <t>Enter number of bores to plug.</t>
  </si>
  <si>
    <t>#14.43</t>
  </si>
  <si>
    <t xml:space="preserve">Enter number of bores to backfill with cuttings.
</t>
  </si>
  <si>
    <t>#14.44</t>
  </si>
  <si>
    <t>#14.45</t>
  </si>
  <si>
    <t xml:space="preserve">Enter number of bores to grout up.
</t>
  </si>
  <si>
    <t>#14.46</t>
  </si>
  <si>
    <t>#14.47</t>
  </si>
  <si>
    <t>#14.48</t>
  </si>
  <si>
    <t>#14.49</t>
  </si>
  <si>
    <t>#14.50</t>
  </si>
  <si>
    <t xml:space="preserve">Enter number of bores to grout and cap.
</t>
  </si>
  <si>
    <t>#15.01</t>
  </si>
  <si>
    <t>Mobe sheet</t>
  </si>
  <si>
    <t xml:space="preserve">
Mobilisation &amp; Demobilisation - Small Fleet (&lt;= 150 km)
</t>
  </si>
  <si>
    <t>Site</t>
  </si>
  <si>
    <t>See Information Sheet</t>
  </si>
  <si>
    <t>#15.02</t>
  </si>
  <si>
    <t xml:space="preserve">
Mobilisation &amp; Demobilisation - Small Fleet (&gt; 150 km and &lt;= 500 km)
</t>
  </si>
  <si>
    <t>#15.03</t>
  </si>
  <si>
    <t xml:space="preserve">
Mobilisation &amp; Demobilisation - Small Fleet (&gt; 500 km and &lt;= 1000 km)
</t>
  </si>
  <si>
    <t>#15.04</t>
  </si>
  <si>
    <t xml:space="preserve">
Mobilisation &amp; Demobilisation - Small Fleet (&gt; 1000 km)
</t>
  </si>
  <si>
    <t>#15.05</t>
  </si>
  <si>
    <t xml:space="preserve">
Mobilisation &amp; Demobilisation - Medium Fleet (&lt;=150 km)
</t>
  </si>
  <si>
    <t>#15.06</t>
  </si>
  <si>
    <t xml:space="preserve">
Mobilisation &amp; Demobilisation - Medium Fleet (&gt; 150 km and &lt;= 500 km)
</t>
  </si>
  <si>
    <t>#15.07</t>
  </si>
  <si>
    <t xml:space="preserve">
Mobilisation &amp; Demobilisation - Medium Fleet (&gt; 500 km and &lt;= 1000 km)
</t>
  </si>
  <si>
    <t>#15.08</t>
  </si>
  <si>
    <t xml:space="preserve">
Mobilisation &amp; Demobilisation - Medium Fleet (&gt; 1000 km)
</t>
  </si>
  <si>
    <t>#15.09</t>
  </si>
  <si>
    <t xml:space="preserve">
Mobilisation &amp; Demobilisation - Large Fleet (&lt;= 150 km)
</t>
  </si>
  <si>
    <t>#15.10</t>
  </si>
  <si>
    <t xml:space="preserve">
Mobilisation &amp; Demobilisation - Large Fleet (&gt; 150 km and &lt;= 500 km)
</t>
  </si>
  <si>
    <t>#15.11</t>
  </si>
  <si>
    <t xml:space="preserve">
Mobilisation &amp; Demobilisation - Large Fleet (&gt; 500 km and &lt;= 1000 km)
</t>
  </si>
  <si>
    <t>#15.12</t>
  </si>
  <si>
    <t xml:space="preserve">
Mobilisation &amp; Demobilisation - Large Fleet (&gt; 1000 km)
</t>
  </si>
  <si>
    <t>#15.13</t>
  </si>
  <si>
    <t xml:space="preserve">
Mobilisation &amp; Demobilisation - Truck/Shovel Fleet (&lt;= 150 km)
</t>
  </si>
  <si>
    <t>#15.14</t>
  </si>
  <si>
    <t xml:space="preserve">
Mobilisation &amp; Demobilisation - Truck/Shovel (&gt; 150 km and &lt;= 500 km)
</t>
  </si>
  <si>
    <t>#15.15</t>
  </si>
  <si>
    <t xml:space="preserve">
Mobilisation &amp; Demobilisation - Truck/Shovel (&gt; 500 km and &lt;= 1000 km)
</t>
  </si>
  <si>
    <t>#15.16</t>
  </si>
  <si>
    <t xml:space="preserve">
Mobilisation &amp; Demobilisation - Truck/Shovel Fleet (&gt; 1000 km)
</t>
  </si>
  <si>
    <t>Filter - de-select zero to reduce the rows to only structural rows and rows with values</t>
  </si>
  <si>
    <t>Total ERC</t>
  </si>
  <si>
    <t>Quantity</t>
  </si>
  <si>
    <t>Average Rate</t>
  </si>
  <si>
    <t>items</t>
  </si>
  <si>
    <t>see sheet</t>
  </si>
  <si>
    <t>camps</t>
  </si>
  <si>
    <t>various</t>
  </si>
  <si>
    <t>tanks</t>
  </si>
  <si>
    <t>structures</t>
  </si>
  <si>
    <t>pumps</t>
  </si>
  <si>
    <t>total</t>
  </si>
  <si>
    <t>mix</t>
  </si>
  <si>
    <t>bores</t>
  </si>
  <si>
    <t>Mobilisation &amp; Demobilisation - Small Fleet</t>
  </si>
  <si>
    <t>mobes</t>
  </si>
  <si>
    <t>Mobilisation &amp; Demobilisation - Medium Fleet</t>
  </si>
  <si>
    <t>Mobilisation &amp; Demobilisation - Large Fleet</t>
  </si>
  <si>
    <t>Mobilisation &amp; Demobilisation - Truck/Shovel Fleet</t>
  </si>
  <si>
    <t>Combined</t>
  </si>
  <si>
    <t>Total before Project Overheads and Contingency</t>
  </si>
  <si>
    <t>Project Overheads and Contingency</t>
  </si>
  <si>
    <t>Project Management</t>
  </si>
  <si>
    <t>Environmental Maintenance and Monitoring</t>
  </si>
  <si>
    <t>Contingency</t>
  </si>
  <si>
    <t>Total Estimated Rehabilitation Cost for the Site (excluding GST)</t>
  </si>
  <si>
    <t>The contingency is to cover reasonable unknowns that can't be quantified at the time of the estimate. The contingency cannot be changed.</t>
  </si>
  <si>
    <t>Difference from Last ERC amount</t>
  </si>
  <si>
    <t>Total pre-mobe and multipliers figure used in 15. Mobilisation and User</t>
  </si>
  <si>
    <t>Alternate Project Management Rate Justification:</t>
  </si>
  <si>
    <t xml:space="preserve">
(Overwrite this text to add justification)
</t>
  </si>
  <si>
    <t>Alternate Maintenance and Monitoring Rate Justification:</t>
  </si>
  <si>
    <t>1. Eligible Mining Activities</t>
  </si>
  <si>
    <t>Input Sheet Total</t>
  </si>
  <si>
    <t>Map ID</t>
  </si>
  <si>
    <t>ITEM</t>
  </si>
  <si>
    <t>SCOPE AND KEY ASSUMPTIONS</t>
  </si>
  <si>
    <t>QUANTITY</t>
  </si>
  <si>
    <t>TOV#</t>
  </si>
  <si>
    <t>DEFAULT RATE</t>
  </si>
  <si>
    <t>ALTERNATE RATE</t>
  </si>
  <si>
    <t>UNIT</t>
  </si>
  <si>
    <t>TOTAL 
COST ($)</t>
  </si>
  <si>
    <t>Justification for Alternate Rate</t>
  </si>
  <si>
    <t xml:space="preserve">
</t>
  </si>
  <si>
    <t xml:space="preserve">
</t>
  </si>
  <si>
    <t xml:space="preserve">
</t>
  </si>
  <si>
    <t>Waste Rock Dumps, Tailings Storage Facilities and Heap Leach Pads</t>
  </si>
  <si>
    <t>Processing Plants</t>
  </si>
  <si>
    <t xml:space="preserve">
</t>
  </si>
  <si>
    <t>Infrastructure</t>
  </si>
  <si>
    <t xml:space="preserve">
</t>
  </si>
  <si>
    <t>Underground Infrastructure</t>
  </si>
  <si>
    <t xml:space="preserve">
</t>
  </si>
  <si>
    <t>Water Storage and Dams</t>
  </si>
  <si>
    <t>Land Rehabilitation</t>
  </si>
  <si>
    <t>User added or Additional</t>
  </si>
  <si>
    <t>Enter description</t>
  </si>
  <si>
    <t>2. Exploration</t>
  </si>
  <si>
    <t>Seismic, Grid-Lines, Minor Tracks (by length)</t>
  </si>
  <si>
    <t>*</t>
  </si>
  <si>
    <t>Land type</t>
  </si>
  <si>
    <t>Total Length</t>
  </si>
  <si>
    <t xml:space="preserve">
Rehab Length - Default
</t>
  </si>
  <si>
    <t xml:space="preserve">
Rehab Length - User Entered*
</t>
  </si>
  <si>
    <t xml:space="preserve">
Rehab Length Used
</t>
  </si>
  <si>
    <t>Default Rate</t>
  </si>
  <si>
    <t>Alternate Rate ($/unit)</t>
  </si>
  <si>
    <t>Seismic, Grid-Lines, Minor Tracks (by area)</t>
  </si>
  <si>
    <t>Total Area</t>
  </si>
  <si>
    <t xml:space="preserve">
Rehab Area - Default
</t>
  </si>
  <si>
    <t xml:space="preserve">
Rehab Area - User Entered*
</t>
  </si>
  <si>
    <t xml:space="preserve">
Rehab Area Used
</t>
  </si>
  <si>
    <t>Alternate Rate</t>
  </si>
  <si>
    <t>Tracks and Roads (by length)</t>
  </si>
  <si>
    <t>Length</t>
  </si>
  <si>
    <t xml:space="preserve">
Unit
</t>
  </si>
  <si>
    <t>Tracks and Roads (by area)</t>
  </si>
  <si>
    <t>Drillholes and sumps</t>
  </si>
  <si>
    <t xml:space="preserve">
Default Rate
</t>
  </si>
  <si>
    <t>Whole Number</t>
  </si>
  <si>
    <t>holes and sumps</t>
  </si>
  <si>
    <t>Water Structures by area</t>
  </si>
  <si>
    <t>Camps and Water Treatment Plants (Disturbance)</t>
  </si>
  <si>
    <t xml:space="preserve">
Footprint
</t>
  </si>
  <si>
    <t>3. Infrastructure</t>
  </si>
  <si>
    <t xml:space="preserve">Links to Default Values: </t>
  </si>
  <si>
    <t>Tracks</t>
  </si>
  <si>
    <t>Overpass</t>
  </si>
  <si>
    <t>Mine Haul Roads</t>
  </si>
  <si>
    <t>Lattice Structures</t>
  </si>
  <si>
    <t>Power Distribution</t>
  </si>
  <si>
    <t>Hardstand</t>
  </si>
  <si>
    <t>Rail Infrastructure</t>
  </si>
  <si>
    <t>Landfills</t>
  </si>
  <si>
    <t>Sewage Plants</t>
  </si>
  <si>
    <t>Rehabilitation</t>
  </si>
  <si>
    <t>Fencing</t>
  </si>
  <si>
    <t>Small Ancillary</t>
  </si>
  <si>
    <t>Disconnect Major Services to Facility</t>
  </si>
  <si>
    <t>Name</t>
  </si>
  <si>
    <t xml:space="preserve">Unit </t>
  </si>
  <si>
    <t>TOV #</t>
  </si>
  <si>
    <t xml:space="preserve"> Alternative Rate ($/unit)</t>
  </si>
  <si>
    <t>Total Cost ($)</t>
  </si>
  <si>
    <t>User</t>
  </si>
  <si>
    <t>Access Roads / Tracks (Defaults by length)</t>
  </si>
  <si>
    <t>Activity</t>
  </si>
  <si>
    <t>Total by length (user)</t>
  </si>
  <si>
    <t>Access Roads / Tracks (Defaults by Area)</t>
  </si>
  <si>
    <t>Total by area</t>
  </si>
  <si>
    <t>Alternate Rate alert:</t>
  </si>
  <si>
    <t>Rate #</t>
  </si>
  <si>
    <t>TOV#:</t>
  </si>
  <si>
    <t>Unit:</t>
  </si>
  <si>
    <t>(ha)</t>
  </si>
  <si>
    <t>Default:</t>
  </si>
  <si>
    <t xml:space="preserve">Default: </t>
  </si>
  <si>
    <t>Access Roads / Tracks (User defined by length)</t>
  </si>
  <si>
    <t>ROAD DIMENSIONS AND COVER</t>
  </si>
  <si>
    <t>REMOVAL OF COVER</t>
  </si>
  <si>
    <t>REPLACEMENT OF COVER (IF APPLICABLE)</t>
  </si>
  <si>
    <t>GROWTH MEDIA AND VEGETATION</t>
  </si>
  <si>
    <t>FLEET SELECTIONS</t>
  </si>
  <si>
    <t>UNIT RATES</t>
  </si>
  <si>
    <t>SUBTOTALS</t>
  </si>
  <si>
    <t>Road / Track Name</t>
  </si>
  <si>
    <t>Road/Track Width (m)</t>
  </si>
  <si>
    <t>Total Length 
(km)</t>
  </si>
  <si>
    <t>Type of Surface Covering</t>
  </si>
  <si>
    <t xml:space="preserve">
Length of Road surface covering to be removed or ripped (if earthen) (km)</t>
  </si>
  <si>
    <t>User Thickness of surface covering (mm)</t>
  </si>
  <si>
    <t>Surface covering thickness used in calculations (mm)</t>
  </si>
  <si>
    <t>Volume of surface covering to remove (m3)</t>
  </si>
  <si>
    <t>Length of road to replace rock (km)</t>
  </si>
  <si>
    <t>Thickness of rock to replace (mm)</t>
  </si>
  <si>
    <t>Volume of rock to replace (m3)</t>
  </si>
  <si>
    <t>Length of track / bare road to rip, grade, seed (km)</t>
  </si>
  <si>
    <t>Area of track / bare road to rip, grade, seed (ha)</t>
  </si>
  <si>
    <t>Area for topsoil (ha)</t>
  </si>
  <si>
    <t>User Growth Media Thickness (mm)</t>
  </si>
  <si>
    <t>User growth media volume (m3)*</t>
  </si>
  <si>
    <t>Growth media volume used in calculations (m3)</t>
  </si>
  <si>
    <t>Area of seeding required (ha)</t>
  </si>
  <si>
    <t>Proportion Pasture Land (%)</t>
  </si>
  <si>
    <t>Proportion Native Land (%)</t>
  </si>
  <si>
    <t>Proportion Arid Land (%)</t>
  </si>
  <si>
    <t>Alert (if land types do not equal 100%)</t>
  </si>
  <si>
    <t>Haul distance for removed surface material (m)</t>
  </si>
  <si>
    <t>Fleet Size for Removed Surface Material</t>
  </si>
  <si>
    <t>Haul Distance for return rock (m)</t>
  </si>
  <si>
    <t>Fleet Size for Returned Rock</t>
  </si>
  <si>
    <t>Haul Distance for Growth Media (m)</t>
  </si>
  <si>
    <t>Fleet Size for Growth Media</t>
  </si>
  <si>
    <t>Remove Surface Materials Default Rate ($/m3)</t>
  </si>
  <si>
    <t>Return Surface Material Default Rate ($/m3)</t>
  </si>
  <si>
    <t>Growth Media Rate ($/m3)</t>
  </si>
  <si>
    <t>Cost to remove surface covering ($)</t>
  </si>
  <si>
    <t>Cost to rip road / track and grade and replace growth media / seed for adjacent feature</t>
  </si>
  <si>
    <t>Cost for Growth Media if required to be imported from further away</t>
  </si>
  <si>
    <t>Cost to replace rock ($)</t>
  </si>
  <si>
    <t>Cost for Seeding ($)</t>
  </si>
  <si>
    <t>Justification for Alternate Rates</t>
  </si>
  <si>
    <t>Select from dropdown</t>
  </si>
  <si>
    <t>Bitumen</t>
  </si>
  <si>
    <t>per km</t>
  </si>
  <si>
    <t>Access Roads / Tracks (User defined by area)</t>
  </si>
  <si>
    <t>Area (ha)</t>
  </si>
  <si>
    <t xml:space="preserve">
Area of Road surface covering to be removed or ripped (if earthen) (ha)
</t>
  </si>
  <si>
    <t>Area of road to replace rock (ha)</t>
  </si>
  <si>
    <t>Haul distance to surface covering (m)</t>
  </si>
  <si>
    <t>Distance to return waste rock / gravel cover (km)</t>
  </si>
  <si>
    <t>Cost to rip road / track and grade</t>
  </si>
  <si>
    <t>Road and watercourse overpass</t>
  </si>
  <si>
    <t>Mine Haul Roads (Defaults by length)</t>
  </si>
  <si>
    <t>Quantity (distance option)</t>
  </si>
  <si>
    <t xml:space="preserve">
Default Rate 
</t>
  </si>
  <si>
    <t>Total by length</t>
  </si>
  <si>
    <t>Alternate Rate Alert:</t>
  </si>
  <si>
    <t>Default Rates</t>
  </si>
  <si>
    <t>Alternate Rates</t>
  </si>
  <si>
    <t>Mine Haul Roads (User defined by length)</t>
  </si>
  <si>
    <t>Haul Road Width (m)</t>
  </si>
  <si>
    <t>Total Length (km)</t>
  </si>
  <si>
    <t xml:space="preserve">
Length of Haul Road surface covering to be removed or ripped (if earthen) (km)
</t>
  </si>
  <si>
    <t>Thickness of surface covering (mm)</t>
  </si>
  <si>
    <t>Length of haul road to replace waste rock (km)</t>
  </si>
  <si>
    <t>Thickness of waste rock / gravel cover to replace (mm)</t>
  </si>
  <si>
    <t>Volume of rock cover to replace (m3)</t>
  </si>
  <si>
    <t>Length of haul road to decompact, doze, shape, and rip (km)</t>
  </si>
  <si>
    <t>Area of haul road to decompact, doze, shape, and rip (ha)</t>
  </si>
  <si>
    <t>Distance to return waste rock / gravel cover (m)</t>
  </si>
  <si>
    <t>Rip Road and Grade ($/ha)</t>
  </si>
  <si>
    <t>Cost of haul road to decompact, doze, shape, and rip (ha)</t>
  </si>
  <si>
    <t>Cost for Growth Media</t>
  </si>
  <si>
    <t>Cost to replace rock cover ($)</t>
  </si>
  <si>
    <t>Mine Haul Roads (Defaults by area)</t>
  </si>
  <si>
    <t>Alert:</t>
  </si>
  <si>
    <t>Mine Haul Roads / Tracks (User defined by area)</t>
  </si>
  <si>
    <t>Area of track / bare road to rip (ha)</t>
  </si>
  <si>
    <t>Growth media volume used in calculations (m3)*</t>
  </si>
  <si>
    <t>Load and Haul Surface Material Rate ($/m3)</t>
  </si>
  <si>
    <t>Rip and Grade Rate ($/ha)</t>
  </si>
  <si>
    <t>Laydown Yards (Defaults)</t>
  </si>
  <si>
    <t>Laydown Yards (User Defined)</t>
  </si>
  <si>
    <t>DIMENSION</t>
  </si>
  <si>
    <t>COVER REMOVAL</t>
  </si>
  <si>
    <t>RESHAPE, RIP, GROWTH MEDIA, VEGETATION</t>
  </si>
  <si>
    <t>Laydown Yard</t>
  </si>
  <si>
    <t>Area of Laydown to be Removed (ha)</t>
  </si>
  <si>
    <t>Default Thickness of surface covering (mm)</t>
  </si>
  <si>
    <t>User Thickness of surface covering to be removed (mm)</t>
  </si>
  <si>
    <t>Area of laydown to rip and grade (Ha)</t>
  </si>
  <si>
    <t>Area for Growth Media (ha)</t>
  </si>
  <si>
    <t>User growth media volume (m3)</t>
  </si>
  <si>
    <t>Distance to haul surface covering (m)</t>
  </si>
  <si>
    <t>Fleet to remove surface cover</t>
  </si>
  <si>
    <t>Haulage Distance for Growth Media (m)</t>
  </si>
  <si>
    <t>Fleet Size</t>
  </si>
  <si>
    <t>Cost to rip area and grade ($)</t>
  </si>
  <si>
    <t>Cost for Growth Media ($)</t>
  </si>
  <si>
    <t>Pipelines (not associated with facilities / plant, i.e. pipelines connecting facilities / dams)</t>
  </si>
  <si>
    <t>Pipeline</t>
  </si>
  <si>
    <t>Default easement width (m)</t>
  </si>
  <si>
    <t>Pipelines (not associated with facilities etc) User Build</t>
  </si>
  <si>
    <t>PIPELINE DETAILS</t>
  </si>
  <si>
    <t>PURGING FLUSHING</t>
  </si>
  <si>
    <t>CUT AND CAP</t>
  </si>
  <si>
    <t>REMOVAL</t>
  </si>
  <si>
    <t>Pipe Types</t>
  </si>
  <si>
    <t>Pipeline length (m)</t>
  </si>
  <si>
    <t>Is pipeline to be flushed?</t>
  </si>
  <si>
    <t># of Cut and Caps</t>
  </si>
  <si>
    <t>Is pipeline to be removed?</t>
  </si>
  <si>
    <t>Area for growth media (ha)</t>
  </si>
  <si>
    <t>Width of re-seed area (m)</t>
  </si>
  <si>
    <t>Flushing Rate ($/m)</t>
  </si>
  <si>
    <t>Cut and Cap Rate ($/cap)</t>
  </si>
  <si>
    <t>Removal Rate ($/m)</t>
  </si>
  <si>
    <t>Growth Media Load and Haul Rate ($/m3)</t>
  </si>
  <si>
    <t>Total Cost for Flushing ($)</t>
  </si>
  <si>
    <t>Cost for Cut and Cap ($)</t>
  </si>
  <si>
    <t>Cost for Removal ($)</t>
  </si>
  <si>
    <t>Yes</t>
  </si>
  <si>
    <t>per m</t>
  </si>
  <si>
    <t>Camps (by capacity)</t>
  </si>
  <si>
    <t>Name of Camp</t>
  </si>
  <si>
    <t>Camps (by area)</t>
  </si>
  <si>
    <t>Note units</t>
  </si>
  <si>
    <t>Buildings by area</t>
  </si>
  <si>
    <t>Name of Building</t>
  </si>
  <si>
    <t>Ground Floor Area</t>
  </si>
  <si>
    <t>Buildings Portable</t>
  </si>
  <si>
    <t>Structure</t>
  </si>
  <si>
    <t>Concrete and Bitumen Hardstand including airstrip (not associated with buildings, processing facilities)</t>
  </si>
  <si>
    <t>Whole Number where by item</t>
  </si>
  <si>
    <t>Rehabilitation of Areas not covered above or in Process Equipment (see TOV descriptions)</t>
  </si>
  <si>
    <t>Small Ancillary (washdown, water filling, oil/water separator)</t>
  </si>
  <si>
    <t>Unit and m2</t>
  </si>
  <si>
    <t xml:space="preserve">
Default Rate 
($/km)
</t>
  </si>
  <si>
    <t xml:space="preserve"> Alternative Rate ($/tank)</t>
  </si>
  <si>
    <t>4. Process and Heavy Equipment</t>
  </si>
  <si>
    <t>Quantity (footprints table)*</t>
  </si>
  <si>
    <t>Default Unit Rate</t>
  </si>
  <si>
    <t xml:space="preserve"> Alternative Unit Rate ($/unit)</t>
  </si>
  <si>
    <t>Whole Number where by Item</t>
  </si>
  <si>
    <t>The quantities below are reported to the rates table above. The User does not have to use the table below, it is a way to list out any areas requiring rehabilitation or miscellaneous areas (separate to the process equipment above) where concrete or bitumen must be removed.</t>
  </si>
  <si>
    <t>Processing Equipment Footprints</t>
  </si>
  <si>
    <t>Lump Sum entry (enter if not itemising)</t>
  </si>
  <si>
    <t>5. Water Storage</t>
  </si>
  <si>
    <t>Water Storages Defaults by Category and Capacity</t>
  </si>
  <si>
    <t xml:space="preserve">Water Structure type </t>
  </si>
  <si>
    <t>Land</t>
  </si>
  <si>
    <t>Combined Name</t>
  </si>
  <si>
    <t>Default Rate ($/unit)</t>
  </si>
  <si>
    <t>Water Structures Total Cost ($)</t>
  </si>
  <si>
    <t>Alternate Rate Justification</t>
  </si>
  <si>
    <t>Select from dropdown (except first two items)</t>
  </si>
  <si>
    <t xml:space="preserve"> &gt; 0 and &lt;= 1 ML, </t>
  </si>
  <si>
    <t xml:space="preserve"> &gt; 4000 and &lt;= 5000 ML, </t>
  </si>
  <si>
    <t>structure(s)</t>
  </si>
  <si>
    <t>Water Storages Defaults by Area</t>
  </si>
  <si>
    <t>Water Structure type</t>
  </si>
  <si>
    <t>Lined &gt; 0 and &lt;= 1 ML</t>
  </si>
  <si>
    <t>Lined &gt; 1 and &lt;= 3.5 ML</t>
  </si>
  <si>
    <t>Lined &gt; 3.5 and &lt;= 7.5 ML</t>
  </si>
  <si>
    <t>Lined &gt; 7.5 and &lt;= 10 ML</t>
  </si>
  <si>
    <t>Lined &gt; 10 and &lt;= 20 ML</t>
  </si>
  <si>
    <t>Lined &gt; 20 and &lt;= 50 ML</t>
  </si>
  <si>
    <t>Lined &gt; 50 and &lt;= 100 ML</t>
  </si>
  <si>
    <t>Unlined &gt; 0 and &lt;= 1 ML</t>
  </si>
  <si>
    <t>Unlined &gt; 1 and &lt;= 3.5 ML</t>
  </si>
  <si>
    <t>Unlined &gt; 3.5 and &lt;= 7.5 ML</t>
  </si>
  <si>
    <t>Unlined &gt; 7.5 and &lt;= 10 ML</t>
  </si>
  <si>
    <t>Unlined &gt; 10 and &lt;= 20 ML</t>
  </si>
  <si>
    <t>Unlined &gt; 20 and &lt;= 50 ML</t>
  </si>
  <si>
    <t>Unlined &gt; 50 and &lt;= 100 ML</t>
  </si>
  <si>
    <t>TOV Rate</t>
  </si>
  <si>
    <t>Defaults</t>
  </si>
  <si>
    <t>Multiplier on base area for liner</t>
  </si>
  <si>
    <t>Water Structures User</t>
  </si>
  <si>
    <t>DETAILS</t>
  </si>
  <si>
    <t>WATER</t>
  </si>
  <si>
    <t>LINER</t>
  </si>
  <si>
    <t>WALL PUSH IN</t>
  </si>
  <si>
    <t>SEDIMENT REMOVAL</t>
  </si>
  <si>
    <t>LAND INVESTIGATION</t>
  </si>
  <si>
    <t>Size (ML)</t>
  </si>
  <si>
    <t># of structures in this category (each row)</t>
  </si>
  <si>
    <t>Top of Water Structure Area (ha)</t>
  </si>
  <si>
    <t>Pump Water (ML)</t>
  </si>
  <si>
    <t>Liner (select Lined or Unlined)</t>
  </si>
  <si>
    <t>User Entered Liner Area (ha)</t>
  </si>
  <si>
    <t>Liner area used in Calculations (ha)*</t>
  </si>
  <si>
    <t>Liner Warning</t>
  </si>
  <si>
    <t xml:space="preserve">Wall Height (above ground surface) (m) </t>
  </si>
  <si>
    <t>Wall width at top (m)</t>
  </si>
  <si>
    <t>Slope (1 in X)</t>
  </si>
  <si>
    <t>Width at base (m)</t>
  </si>
  <si>
    <t>Calculated Area of Wall (m2)</t>
  </si>
  <si>
    <t>User Entered Wall Area (m2)</t>
  </si>
  <si>
    <t>Linear Length of Bund Walls (m)</t>
  </si>
  <si>
    <t>User Entered Linear Length of Bunds (m)</t>
  </si>
  <si>
    <t>Volume of Dirt in Bunds (m3)</t>
  </si>
  <si>
    <t>User Entered Sediment Thickness (m)*</t>
  </si>
  <si>
    <t>Sediment volume (m3)</t>
  </si>
  <si>
    <t>Growth Media area (ha)</t>
  </si>
  <si>
    <t>Growth Media Volume (m3)</t>
  </si>
  <si>
    <t>Seeding Area (ha)</t>
  </si>
  <si>
    <t>Area to Investigate (ha)</t>
  </si>
  <si>
    <t>User Area to Investigate (ha)</t>
  </si>
  <si>
    <t>Share (Fraction) of Upfront Cost*</t>
  </si>
  <si>
    <t>Remove Silt - Select Haulage Distance (m)</t>
  </si>
  <si>
    <t>Sediment Fleet</t>
  </si>
  <si>
    <t>Push Distance (m)</t>
  </si>
  <si>
    <t>Push Fleet</t>
  </si>
  <si>
    <t>Load, haul, dump growth media distance</t>
  </si>
  <si>
    <t>Growth Media Fleet</t>
  </si>
  <si>
    <t>Pump Water ($/ML)</t>
  </si>
  <si>
    <t>Sediment Haul Rate ($/m3)</t>
  </si>
  <si>
    <t>Liner Removal Rate ($/ha)</t>
  </si>
  <si>
    <t>Liner Dispose Rate ($/ha)</t>
  </si>
  <si>
    <t>Wall Push in Rate ($/m3)</t>
  </si>
  <si>
    <t>Growth Media ($/m3)</t>
  </si>
  <si>
    <t>Seed Pasture ($/ha)</t>
  </si>
  <si>
    <t>Seed Native ($/ha)</t>
  </si>
  <si>
    <t>Land Investigation Upfront ($)</t>
  </si>
  <si>
    <t>Land Investigation ($/ha)</t>
  </si>
  <si>
    <t>Pump Water ($)</t>
  </si>
  <si>
    <t>Sediment ($)</t>
  </si>
  <si>
    <t>Liner Removal ($)</t>
  </si>
  <si>
    <t>Liner Disposal ($)</t>
  </si>
  <si>
    <t>Soil  Movement
($)</t>
  </si>
  <si>
    <t>Growth Media ($)</t>
  </si>
  <si>
    <t>Seed ($/)</t>
  </si>
  <si>
    <t>Land Investigation Upfront costs ($)</t>
  </si>
  <si>
    <t>Land Investigation - per area ($/)</t>
  </si>
  <si>
    <t>Total Cost for Dam</t>
  </si>
  <si>
    <t>Total Cost for All Dams in Category</t>
  </si>
  <si>
    <t>6. Water Treatment and Pumping</t>
  </si>
  <si>
    <t>Water Treatment and Transfer</t>
  </si>
  <si>
    <t xml:space="preserve"> Alternative Total Rate for Line Item</t>
  </si>
  <si>
    <t>Cost to ERC</t>
  </si>
  <si>
    <t>Enter name of area below</t>
  </si>
  <si>
    <t>Whole number</t>
  </si>
  <si>
    <t>Alternate rate alert:</t>
  </si>
  <si>
    <t>Reference:</t>
  </si>
  <si>
    <t>&lt;&lt; Enter Rate</t>
  </si>
  <si>
    <t xml:space="preserve">Rate: </t>
  </si>
  <si>
    <t>Dewatering</t>
  </si>
  <si>
    <t xml:space="preserve">Unit: </t>
  </si>
  <si>
    <t>Area Name</t>
  </si>
  <si>
    <t>Pipe Rate</t>
  </si>
  <si>
    <t>Pipe Length</t>
  </si>
  <si>
    <t>Tank Rate</t>
  </si>
  <si>
    <t>Ponds / Dams</t>
  </si>
  <si>
    <t>Pond / Dam Rate</t>
  </si>
  <si>
    <t>Pond / Dams</t>
  </si>
  <si>
    <t>Dewatering User Entered 1</t>
  </si>
  <si>
    <t>Dewatering User Entered 2</t>
  </si>
  <si>
    <t>Dewatering User Entered 3</t>
  </si>
  <si>
    <t xml:space="preserve"> Alternative Rate (Total for Line Item)</t>
  </si>
  <si>
    <t>Enter Unit</t>
  </si>
  <si>
    <t>Enter name of area or sub-area below</t>
  </si>
  <si>
    <t>Plastic Pipe 0 to &lt;= 0.15 m dia. Aboveground</t>
  </si>
  <si>
    <t>Rainwater, Plastic, Closed top, Plastic, Single skin, Not lined, 13.5 kL</t>
  </si>
  <si>
    <t>Process &gt; 50 and &lt;= 100 ML, Pasture</t>
  </si>
  <si>
    <t>Plastic Pipe &gt; 0.15 to &lt;= 0.25 m dia. Aboveground</t>
  </si>
  <si>
    <t>Panel, Concrete, Open top, Earth, Single skin, Lined, 5.5 kL</t>
  </si>
  <si>
    <t>Plastic Pipe &gt; 0.25 to &lt;= 0.5 m dia. Aboveground</t>
  </si>
  <si>
    <t>Vertical, Steel, Open top, Earth, Single skin, Lined, 0.14 ML</t>
  </si>
  <si>
    <t>Plastic Pipe &gt; 0.5 to &lt;=1 m dia. Aboveground</t>
  </si>
  <si>
    <t>Evaporation and other &gt; 4000 and &lt;= 5000 ML, Arid</t>
  </si>
  <si>
    <t>7. Waste Rock Dumps, Overburden Dumps, Spoil Piles and Stockpiles</t>
  </si>
  <si>
    <t>ODP Capping Values</t>
  </si>
  <si>
    <t>Layer</t>
  </si>
  <si>
    <t>High Risk</t>
  </si>
  <si>
    <t>Medium Risk Low Perm</t>
  </si>
  <si>
    <t>Medium Risk</t>
  </si>
  <si>
    <t>Low Risk</t>
  </si>
  <si>
    <t>Very Low Risk</t>
  </si>
  <si>
    <t>Default Slope Rock Armour Cover Thickness</t>
  </si>
  <si>
    <t>Default Working Layer Thickness</t>
  </si>
  <si>
    <t>Default Capillary Break Layer Thickness</t>
  </si>
  <si>
    <t>Default Low Permeability Layer Thickness</t>
  </si>
  <si>
    <t>Default Rock Cover Layer Thickness</t>
  </si>
  <si>
    <t>Default Growth Media Thickness</t>
  </si>
  <si>
    <t>Engineering</t>
  </si>
  <si>
    <t>Waste Rock Dumps (Defaults)</t>
  </si>
  <si>
    <t>Waste Rock Dump Name</t>
  </si>
  <si>
    <t>Area (ha)*</t>
  </si>
  <si>
    <t>Risk Category*</t>
  </si>
  <si>
    <t>Default Rate ($/ha)</t>
  </si>
  <si>
    <t>Alternate Rate ($/ha)</t>
  </si>
  <si>
    <t>Total cost for WRD ($)</t>
  </si>
  <si>
    <t>Alert</t>
  </si>
  <si>
    <t>Waste Rock Dumps (User)</t>
  </si>
  <si>
    <t>WASTE ROCK DUMP DIMENSIONS AND DETAILS</t>
  </si>
  <si>
    <t>WASTE ROCK DUMP RESHAPE AND DOZE</t>
  </si>
  <si>
    <t>WASTE ROCK DUMP ROCK ARMOUR FOR STABILITY</t>
  </si>
  <si>
    <t>WASTE ROCK DUMP CAPILLARY BREAK LAYERS</t>
  </si>
  <si>
    <t>WASTE ROCK DUMP LOW PERMEABILITY CLAY LAYERS</t>
  </si>
  <si>
    <t>WASTE ROCK DUMP TOP ROCK COVER LAYER</t>
  </si>
  <si>
    <t>WASTE ROCK DUMP ADDITIONAL CAPPING</t>
  </si>
  <si>
    <t>WASTE ROCK DUMP DRAINS AND WATER MANAGEMENT</t>
  </si>
  <si>
    <t>WASTE ROCK DUMP GROWTH MEDIA / AMENDMENTS / VEGETATION</t>
  </si>
  <si>
    <t>WASTE ROCK DUMP PERMEABILITY TESTING, ENGINEERING, AND OTHER ACTIVITIES</t>
  </si>
  <si>
    <t>Total Footprint area of WRD (ha)*</t>
  </si>
  <si>
    <t>Risk Category (select from dropdown)</t>
  </si>
  <si>
    <t>Rehabilitation of flat areas (tops, benches, berms etc) area (ha)*</t>
  </si>
  <si>
    <t>Average doze thickness flat areas (m)*</t>
  </si>
  <si>
    <t>Rehabilitation of slope/batter areas (ha)*</t>
  </si>
  <si>
    <t>Average doze thickness slope areas (m)*</t>
  </si>
  <si>
    <t>Rehabilitation of WRD access ramps (ha)*</t>
  </si>
  <si>
    <t>Reprofiled slope angle*</t>
  </si>
  <si>
    <t>User entered volume to push on flat surfaces (m3)*</t>
  </si>
  <si>
    <t>Volume to push on flat surfaces used in calculations (m3)</t>
  </si>
  <si>
    <t>User volume to push slopes (m3)*</t>
  </si>
  <si>
    <t>Volume to push slopes used in calculations (m3)</t>
  </si>
  <si>
    <t>Reshape Length of Dozer Push</t>
  </si>
  <si>
    <t>Fleet for Reshape</t>
  </si>
  <si>
    <t>Flat Areas Unit Rate ($/m3)</t>
  </si>
  <si>
    <t>Slope Areas Unit Rate ($/Ha)</t>
  </si>
  <si>
    <t>Cost for Dozer Push All Areas ($)</t>
  </si>
  <si>
    <t>Cost to Doze and Shape slopes and ramps ($)</t>
  </si>
  <si>
    <t>Default Slope Rock Armour Cover Thickness (m)*</t>
  </si>
  <si>
    <t>User Slope Rock Armour Cover Thickness (m)*</t>
  </si>
  <si>
    <t>Thickness of Rock for Slope Layer used in Calculations (m)*</t>
  </si>
  <si>
    <t>User Slope Rock Armour Cover Volume (m3)*</t>
  </si>
  <si>
    <t>Rock armour volume used in calculations  (m3)*</t>
  </si>
  <si>
    <t>Haulage Distance for Slope Rock Armour (m)</t>
  </si>
  <si>
    <t>Fleet for Rock Armour on Slopes</t>
  </si>
  <si>
    <t>Rock Armour for Stability Unit Rate ($/m3)</t>
  </si>
  <si>
    <t>Cost for Rock Armour ($)</t>
  </si>
  <si>
    <t>WRD Surface area to install capillary layer (ha)</t>
  </si>
  <si>
    <t>User Input Thickness of Capillary Break Layer  (m)*</t>
  </si>
  <si>
    <t>Thickness of Capillary Break Layer used in Calculations (m)*</t>
  </si>
  <si>
    <t>User Input Volume of Capillary Break Layer (m3)*</t>
  </si>
  <si>
    <t>Volume for Capillary Break Layer used in Calculations (m3)*</t>
  </si>
  <si>
    <t>Source and prepare Capillary Break Layer Material
($)</t>
  </si>
  <si>
    <t>Haulage Distance for Capillary Break layer  (m)</t>
  </si>
  <si>
    <t>Fleet for Capillary Break</t>
  </si>
  <si>
    <t>Capillary Break Unit Rate ($/m3)</t>
  </si>
  <si>
    <t>Cost for source, load haul and dump capillary break layer ($)</t>
  </si>
  <si>
    <t>Length of Dozer Push Capillary Break Layers (m)</t>
  </si>
  <si>
    <t>Dozer Push Capillary Break Unit Rate ($/m3)</t>
  </si>
  <si>
    <t>Cost for Dozer Push Capillary Break Layers ($)</t>
  </si>
  <si>
    <t>Total Cost for Capillary Break layers ($)</t>
  </si>
  <si>
    <t>WRD Surface area (ha)</t>
  </si>
  <si>
    <t>User Input Thickness of Low Permeability (Clay) Layers  (m)*</t>
  </si>
  <si>
    <t>Thickness of Low Permeability Layer used in Calculations (m)*</t>
  </si>
  <si>
    <t>User Input Volume of Low Permeability Layer  (m3)</t>
  </si>
  <si>
    <t>Volume Used in Calculations for Low Permeability Layer (m3)</t>
  </si>
  <si>
    <t>Low Permeability Unit Rate ($/ha)</t>
  </si>
  <si>
    <t>Source, prepare, place and compact Low Permeability Layer Material
($)</t>
  </si>
  <si>
    <t>Source for Low Permeability Capping</t>
  </si>
  <si>
    <t xml:space="preserve">Distance one way for low permeability capping (km) </t>
  </si>
  <si>
    <t>Low Permeability Source Long Haul Unit Rate (Excludes purchase) ($/m3-km)</t>
  </si>
  <si>
    <t>Purchase Low Permeability not sourced locally ($/m3)</t>
  </si>
  <si>
    <t>User Clay Delivered to Site ($/m3)*</t>
  </si>
  <si>
    <t>Long Haul Low Permeability Layers ($)</t>
  </si>
  <si>
    <t>Total Cost for Low Permeability layers ($)</t>
  </si>
  <si>
    <t>User Input Thickness of Rock Cover Layer  (m)*</t>
  </si>
  <si>
    <t>Thickness of Rock Layer used in Calculations (m)*</t>
  </si>
  <si>
    <t>User Input Volume of Rock Cover Layer  (m3)*</t>
  </si>
  <si>
    <t>Volume Used in Calculations for Rock Cover Layer (m3)</t>
  </si>
  <si>
    <t>Haulage Distance for Rock Cover layer  (m)</t>
  </si>
  <si>
    <t>Fleet for Load and Haul Rock Cover</t>
  </si>
  <si>
    <t>Load and Haul Top Rock Layer Unit Rate ($/m3)</t>
  </si>
  <si>
    <t>Cost for source, load haul and dump rock cover layer ($)</t>
  </si>
  <si>
    <t>Length of Dozer Push Rock Cover Layers (m)</t>
  </si>
  <si>
    <t>Fleet for Top Rock Push</t>
  </si>
  <si>
    <t>Dozer Push Top Rock Layer Unit Rate ($/m3)</t>
  </si>
  <si>
    <t>Cost for Dozer Push Rock Cover Layers ($)</t>
  </si>
  <si>
    <t>Total Cost for Rock Cover layers ($)</t>
  </si>
  <si>
    <t>Geofabric area (m2)</t>
  </si>
  <si>
    <t>Geofabric Rate ($/m2)</t>
  </si>
  <si>
    <t>Geosynthetic clay liner (m2)</t>
  </si>
  <si>
    <t>Geosynthetic clay liner rate ($/m2)</t>
  </si>
  <si>
    <t>Geo-membrane (m2)</t>
  </si>
  <si>
    <t>Geo-membrane ($/m2)</t>
  </si>
  <si>
    <t>Total for Geo layers ($)</t>
  </si>
  <si>
    <t>Major Drains and Drop Structure footprint on dump (ha)*</t>
  </si>
  <si>
    <t>Major drains and drop structures on dump ($)</t>
  </si>
  <si>
    <t>Water Management Earthworks On Dump ($)</t>
  </si>
  <si>
    <t>Water Management Earthworks On Dump ($)*</t>
  </si>
  <si>
    <t>Default Growth Media Thickness (m)</t>
  </si>
  <si>
    <t>User Growth Media Thickness (m)</t>
  </si>
  <si>
    <t>Fleet for Load and Haul Growth  Media</t>
  </si>
  <si>
    <t>Growth Media Load and Haul ($/m3)</t>
  </si>
  <si>
    <t>Source for Growth Media</t>
  </si>
  <si>
    <t xml:space="preserve">Distance return for growth media (km) </t>
  </si>
  <si>
    <t>Growth Media Long Haul Unit Rate (Excludes purchase) ($/m3-km)</t>
  </si>
  <si>
    <t>Purchase Growth Media not sourced locally ($/m3)</t>
  </si>
  <si>
    <t>User Growth Media Delivered to Site ($/m3)*</t>
  </si>
  <si>
    <t>Long Haul growth media ($)</t>
  </si>
  <si>
    <t xml:space="preserve">1st Soil Amendment area (ha) </t>
  </si>
  <si>
    <t>Amendment 1 for soil*</t>
  </si>
  <si>
    <t>TOV Rate #</t>
  </si>
  <si>
    <t>Amend 1 Supply and Deliver ($/ha)</t>
  </si>
  <si>
    <t>User Delivered Amendment 1 ($/ha delivered)</t>
  </si>
  <si>
    <t xml:space="preserve">2nd Soil Amendment area (ha) </t>
  </si>
  <si>
    <t>Amendment 2 for soil*</t>
  </si>
  <si>
    <t>Amend 2 Supply and Deliver ($/ha)</t>
  </si>
  <si>
    <t>User Delivered Amendment 2 ($/ha delivered)</t>
  </si>
  <si>
    <t xml:space="preserve">3rd Soil Amendment area (ha) </t>
  </si>
  <si>
    <t>Amendment 3 for soil*</t>
  </si>
  <si>
    <t>Amend 3 Supply and Deliver ($/ha)</t>
  </si>
  <si>
    <t>User Delivered Amendment 3 ($/ha delivered)</t>
  </si>
  <si>
    <t>Amend Cost ($)</t>
  </si>
  <si>
    <t>Seeding Pasture ($/ha)</t>
  </si>
  <si>
    <t>Seeding Native ($/ha)</t>
  </si>
  <si>
    <t>Area for Permeability Testing (ha)</t>
  </si>
  <si>
    <t>User Number of points per ha</t>
  </si>
  <si>
    <t>Permeability Testing by area ($)</t>
  </si>
  <si>
    <t>Engineering ($/ha)</t>
  </si>
  <si>
    <t>User Alternate Rate for Engineering ($/ha)</t>
  </si>
  <si>
    <t>Engineering ($)</t>
  </si>
  <si>
    <t>User Other Activities ($)</t>
  </si>
  <si>
    <t>Total Cost for WRD ($)</t>
  </si>
  <si>
    <t>Cost per Unit Area ($/ha)</t>
  </si>
  <si>
    <t>Check</t>
  </si>
  <si>
    <t>Capping Alerts</t>
  </si>
  <si>
    <t>Local</t>
  </si>
  <si>
    <t>Overburden Dumps and Spoil Piles (User Defined)</t>
  </si>
  <si>
    <t>OVERBURDEN DUMP DIMENSIONS</t>
  </si>
  <si>
    <t>OVERBURDEN DUMP RESHAPE AND DOZE</t>
  </si>
  <si>
    <t>OVERBURDEN DUMP ROCK ARMOUR FOR STABILITY</t>
  </si>
  <si>
    <t>OVERBURDEN DUMP TOP ROCK COVER LAYER</t>
  </si>
  <si>
    <t>OVERBURDEN DUMP ADDITIONAL CAPPING</t>
  </si>
  <si>
    <t>OVERBURDEN DUMP DRAINS AND WATER MANAGEMENT</t>
  </si>
  <si>
    <t>OVERBURDEN DUMP GROWTH MEDIA, AMENDMENTS, AND VEGETATION</t>
  </si>
  <si>
    <t>OVERBURDEN DUMP ENGINEERING AND OTHER ACTIVITIES</t>
  </si>
  <si>
    <t>Total Footprint area of Dump / Pile (ha)</t>
  </si>
  <si>
    <t>Rehabilitation of flat areas(ha)*</t>
  </si>
  <si>
    <t>Rehabilitation of Overburden access ramps (ha)*</t>
  </si>
  <si>
    <t>Rock armour volume used in calculations  (m3)</t>
  </si>
  <si>
    <t>Dump / Pile Surface area (ha)</t>
  </si>
  <si>
    <t>Thickness of Rock Layer used in Calculations (m)</t>
  </si>
  <si>
    <t>User Input Volume of Rock Cover Layer  (m3)</t>
  </si>
  <si>
    <t>Major Drains and Drop Structure footprint on dump (Ha)</t>
  </si>
  <si>
    <t>User Growth Media Delivered to Site ($/m3)</t>
  </si>
  <si>
    <t>Cost for Growth Media / Amendment ($)</t>
  </si>
  <si>
    <t>Seeding Pasture ($)</t>
  </si>
  <si>
    <t>Seeding Native ($)</t>
  </si>
  <si>
    <t>Total Cost for Dump / Pile ($)</t>
  </si>
  <si>
    <t>Long Distance</t>
  </si>
  <si>
    <t>Growth Media Stockpiles</t>
  </si>
  <si>
    <t>STOCKPILE  DIMENSIONS AND RESHAPE</t>
  </si>
  <si>
    <t>STOCKPILES GROWTH MEDIA, AMENDMENTS, AND VEGETATION</t>
  </si>
  <si>
    <t>Total Footprint area (ha)</t>
  </si>
  <si>
    <t>Average doze thickness (m)</t>
  </si>
  <si>
    <t>User Growth Media Thickness (m)*</t>
  </si>
  <si>
    <t>Total Cost for Stockpile ($)</t>
  </si>
  <si>
    <t>8. Heap Leach Pads</t>
  </si>
  <si>
    <t>HLP Capping Values</t>
  </si>
  <si>
    <t>Heap Leach Pads (Defaults)</t>
  </si>
  <si>
    <t>Risk Category</t>
  </si>
  <si>
    <t>Total cost for HLP ($)</t>
  </si>
  <si>
    <t>Heap Leach Pad (User)</t>
  </si>
  <si>
    <t>HLP DIMENSIONS AND DETAILS</t>
  </si>
  <si>
    <t>HLP RESHAPE AND DOZE</t>
  </si>
  <si>
    <t>HLP ROCK ARMOUR FOR STABILITY</t>
  </si>
  <si>
    <t>HLP CAPILLARY BREAK LAYERS</t>
  </si>
  <si>
    <t>HLP LOW PERMEABILITY CLAY LAYERS</t>
  </si>
  <si>
    <t>HLP TOP ROCK COVER LAYER</t>
  </si>
  <si>
    <t>HLP ADDITIONAL CAPPING</t>
  </si>
  <si>
    <t>HLP DRAINAGE AND WATER MANAGEMENT</t>
  </si>
  <si>
    <t>HLP FLUSHING</t>
  </si>
  <si>
    <t>HLP GROWTH MEDIA, AMENDMENTS, AND VEGETATION</t>
  </si>
  <si>
    <t>HLP PERMEABILITY TESTING</t>
  </si>
  <si>
    <t>HLP ENGINEERING AND OTHER</t>
  </si>
  <si>
    <t>Total Footprint area of HLP (ha)</t>
  </si>
  <si>
    <t>Rehabilitation of HLP access ramps (ha)*</t>
  </si>
  <si>
    <t>HLP Surface area to install capillary layer (ha)</t>
  </si>
  <si>
    <t>HLP Surface area (ha)</t>
  </si>
  <si>
    <t xml:space="preserve">Distance return for low permeability capping (km) </t>
  </si>
  <si>
    <t>Major Drains and Drop Structure footprint on Structure (Ha)*</t>
  </si>
  <si>
    <t>Major drains and drop structures on Structure ($)</t>
  </si>
  <si>
    <t>Water Management Earthworks On Structure ($)</t>
  </si>
  <si>
    <t>Water Management Earthworks On Structure ($)*</t>
  </si>
  <si>
    <t>Area to be flushed (ha)</t>
  </si>
  <si>
    <t>Thickness of Pad to be flushed (m)</t>
  </si>
  <si>
    <t>Total calculated volume to be flushed (m3)</t>
  </si>
  <si>
    <t>User entered volume to be flushed (m3)</t>
  </si>
  <si>
    <t>Volume used in calculations (m3)</t>
  </si>
  <si>
    <t>Heap Leach Pad Flushing Default Rate</t>
  </si>
  <si>
    <t>Total cost for flushing ($)</t>
  </si>
  <si>
    <t>Haulage Distance for Growth Media (m)*</t>
  </si>
  <si>
    <t>Fleet for Load and Haul Growth  Media*</t>
  </si>
  <si>
    <t>Number of points per ha</t>
  </si>
  <si>
    <t>User Alternate Rate for Engineering</t>
  </si>
  <si>
    <t>Total Cost for HLP ($)</t>
  </si>
  <si>
    <t>9. Tailings Storage Facilities, Rejects, Slimes, Slimes Storage Facilities</t>
  </si>
  <si>
    <t>User Notes</t>
  </si>
  <si>
    <t>TSF Capping Values</t>
  </si>
  <si>
    <t>Default Embankment Rock Cover Thickness</t>
  </si>
  <si>
    <t>Default Ramps Rock Cover Thickness</t>
  </si>
  <si>
    <t>Tailings Storage Facilities (Defaults)</t>
  </si>
  <si>
    <t>Alternate Rate Alert</t>
  </si>
  <si>
    <t>Tailings Storage Facilities (User)</t>
  </si>
  <si>
    <t>TSF DIMENSIONS AND DETAILS</t>
  </si>
  <si>
    <t>TSF EMBANKMENT ROCK COVER DIMENSIONS</t>
  </si>
  <si>
    <t>TSF RAMPS ROCK COVER DIMENSIONS</t>
  </si>
  <si>
    <t>TSF EMBANKMENT AND RAMPS  RESHAPE AND DOZE</t>
  </si>
  <si>
    <t>TSF WORKING LAYER COVER</t>
  </si>
  <si>
    <t>TSF CAPILLARY BREAK LAYERS</t>
  </si>
  <si>
    <t>TSF LOW PERMEABILITY CLAY LAYERS</t>
  </si>
  <si>
    <t>TSF TOP ROCK COVER PROTECTION LAYER</t>
  </si>
  <si>
    <t>TSF ADDITIONAL CAPPING</t>
  </si>
  <si>
    <t>TSF DRAINAGE AND WATER MANAGEMENT</t>
  </si>
  <si>
    <t>TSF GROWTH MEDIA / AMENDMENTS / VEGETATION</t>
  </si>
  <si>
    <t>TSF PERMEABILITY TESTING</t>
  </si>
  <si>
    <t>TSF ENGINEERING AND OTHER</t>
  </si>
  <si>
    <t>Total Footprint area of TSF (ha)</t>
  </si>
  <si>
    <t>Embankment Area (ha)*</t>
  </si>
  <si>
    <t>Default Thickness of Rock Cover for Embankments (m)</t>
  </si>
  <si>
    <t>User Input Thickness of Rock Cover for Embankments (m)</t>
  </si>
  <si>
    <t>Thickness of Rock cover for Embankment used in Calculations (m)*</t>
  </si>
  <si>
    <t>User Embankment Rock Cover Volume (m3)*</t>
  </si>
  <si>
    <t>Access Ramps onto TSF (ha)*</t>
  </si>
  <si>
    <t>Default Thickness of Rock Cover for Ramps (m)</t>
  </si>
  <si>
    <t>User Input Thickness of Rock Cover for Ramps (m)</t>
  </si>
  <si>
    <t>Thickness of Rock cover for Ramps used in Calculations (m)*</t>
  </si>
  <si>
    <t>User Ramp Rock Cover Volume (m3)*</t>
  </si>
  <si>
    <t>Haulage Distance for Embankment and Ramp rock Armour (m)</t>
  </si>
  <si>
    <t>Cost for source, load haul and dump Embankment and Ramp Rock Armour ($)</t>
  </si>
  <si>
    <t>Doze embankment and ramps angle for armour*</t>
  </si>
  <si>
    <t>Fleet for Reshape*</t>
  </si>
  <si>
    <t>Embankment and Ramps Unit Rate ($/m3)</t>
  </si>
  <si>
    <t>Cost for Dozer Push embankment and ramps Rock Cover ($)</t>
  </si>
  <si>
    <t>Tailings Surface area (ha)</t>
  </si>
  <si>
    <t>User Input Thickness of Working Layer Rock Cover for Tailings (m)*</t>
  </si>
  <si>
    <t>Thickness of Working Layer Rock Cover used in Calculations (m)*</t>
  </si>
  <si>
    <t>User Input Volume of Working Layer Rock Cover for Tailings (m3)*</t>
  </si>
  <si>
    <t>TSF Surface area to install capillary layer (ha)</t>
  </si>
  <si>
    <t>TSF Surface area to install low permeability layer (ha)</t>
  </si>
  <si>
    <t>TSFSurface area to install top rock layer (ha)</t>
  </si>
  <si>
    <t>User Number of points per ha*</t>
  </si>
  <si>
    <t>Permeability Testing by number of points per area ($)</t>
  </si>
  <si>
    <t>Total Cost for TSF ($)</t>
  </si>
  <si>
    <t>Default Roadway Contamination Thickness (m)</t>
  </si>
  <si>
    <t>10. Pits</t>
  </si>
  <si>
    <t>Safety Bund Fencing Signs</t>
  </si>
  <si>
    <t>Benches and High Wall</t>
  </si>
  <si>
    <t>Low Wall</t>
  </si>
  <si>
    <t>Backfill Open Pit</t>
  </si>
  <si>
    <t>Open Pit Ramp Backfill</t>
  </si>
  <si>
    <t>Basic Pit Information</t>
  </si>
  <si>
    <t>BASIC PIT DETAILS</t>
  </si>
  <si>
    <t>SAFETY BUND</t>
  </si>
  <si>
    <t>HIGHWALL ACTIVITIES</t>
  </si>
  <si>
    <t>LOW WALL ACTIVITIES</t>
  </si>
  <si>
    <t>BACKFILL</t>
  </si>
  <si>
    <t>SUMMARY OF COSTS</t>
  </si>
  <si>
    <t>Explain how pit area is derived to right &gt;&gt;&gt;</t>
  </si>
  <si>
    <t>Open Pit Void Surface Area 
(ha)*</t>
  </si>
  <si>
    <t>Safety Bund (or highwall) length
(m)</t>
  </si>
  <si>
    <t>Highwall / bench area requiring blasting
(ha)</t>
  </si>
  <si>
    <t>Highwall / bench volume requiring bulk push
(m3)</t>
  </si>
  <si>
    <t>Benches Volume to Blast 
(m3)</t>
  </si>
  <si>
    <t>Highwall Volume to Blast
(m3)</t>
  </si>
  <si>
    <t>Low wall area to make safe
(ha)</t>
  </si>
  <si>
    <t>Low wall volume to bulk push
(m3)</t>
  </si>
  <si>
    <t>Low wall volume to load and haul
(m3)</t>
  </si>
  <si>
    <t>Open Pit Backfill Volume 
(m3)</t>
  </si>
  <si>
    <t>Open Pit Ramp Backfill (m3)</t>
  </si>
  <si>
    <t>TOTAL FOR PIT</t>
  </si>
  <si>
    <t>Alternate Rate for Pit</t>
  </si>
  <si>
    <t>RATE FOR PIT</t>
  </si>
  <si>
    <t>Per footprint area ($/ha)</t>
  </si>
  <si>
    <t>Explanation for Pit Area Derivation</t>
  </si>
  <si>
    <t>Enter name of pit below</t>
  </si>
  <si>
    <t>Pit 1</t>
  </si>
  <si>
    <t>Pit 2</t>
  </si>
  <si>
    <t>Pit 3</t>
  </si>
  <si>
    <t>Pit 4</t>
  </si>
  <si>
    <t>Pit 5</t>
  </si>
  <si>
    <t>Pit 6</t>
  </si>
  <si>
    <t>Pit 7</t>
  </si>
  <si>
    <t>Pit 8</t>
  </si>
  <si>
    <t>Pit 9</t>
  </si>
  <si>
    <t>Pit 10</t>
  </si>
  <si>
    <t>Pit 11</t>
  </si>
  <si>
    <t>Pit 12</t>
  </si>
  <si>
    <t>Pit 13</t>
  </si>
  <si>
    <t>Pit 14</t>
  </si>
  <si>
    <t>Pit 15</t>
  </si>
  <si>
    <t>Pit 16</t>
  </si>
  <si>
    <t>Pit 17</t>
  </si>
  <si>
    <t>Pit 18</t>
  </si>
  <si>
    <t>Pit 19</t>
  </si>
  <si>
    <t>Pit 20</t>
  </si>
  <si>
    <t>Swell allowance</t>
  </si>
  <si>
    <t>Safety Bund, Fencing, Signs</t>
  </si>
  <si>
    <t>SAFETY BUND DIMENSIONS AND QUANTITIES</t>
  </si>
  <si>
    <t>SAFETY BUND CONSTRUCTION</t>
  </si>
  <si>
    <t>FENCING AND SIGNAGE</t>
  </si>
  <si>
    <t>Open Pit Void Surface Area 
(ha)</t>
  </si>
  <si>
    <t>Safety Bund Length*
(m)</t>
  </si>
  <si>
    <t>Bund Height (m)*</t>
  </si>
  <si>
    <t>Bund Base Width*
(m)</t>
  </si>
  <si>
    <t>Bund Top Width*
(m)</t>
  </si>
  <si>
    <t>Bund Volume 
(m3/m length)</t>
  </si>
  <si>
    <t>Volume of bund 
(m3)</t>
  </si>
  <si>
    <t xml:space="preserve">
Bund Surface Preparation (dozing, clearing and access) Rate ($)
</t>
  </si>
  <si>
    <t>Safety Bund Construction Method*</t>
  </si>
  <si>
    <t>Excavate and Place Cost ($)</t>
  </si>
  <si>
    <t>User Input Haulage Distance?*</t>
  </si>
  <si>
    <t>Default Haul and Place (4km haul)</t>
  </si>
  <si>
    <t>Haulage Distance for Safety Bund Rock*
(m)</t>
  </si>
  <si>
    <t>Load and Haul Rate ($/m3)</t>
  </si>
  <si>
    <t>Cost for Safety Bund Rock with User Haulage Distance ($)</t>
  </si>
  <si>
    <t>Total Cost for Safety Bund Construction</t>
  </si>
  <si>
    <t>User Input Standard Fencing and signage length
(km)</t>
  </si>
  <si>
    <t>User Input High Wall Security Fencing and signage length 
(m)</t>
  </si>
  <si>
    <t xml:space="preserve">Fencing and signage </t>
  </si>
  <si>
    <t>High Wall Security Fencing and signage</t>
  </si>
  <si>
    <t>Fencing and signage Costs
 ($)</t>
  </si>
  <si>
    <t>Haul and Place</t>
  </si>
  <si>
    <t>Y</t>
  </si>
  <si>
    <t>Benches and High Wall Drill and Blast and Doze to Make Safe</t>
  </si>
  <si>
    <t>HIGHWALL AND BENCH QUANTITIES</t>
  </si>
  <si>
    <t>DOZE AND SHAPE HIGHWALL / BENCH TO MAKE SAFE</t>
  </si>
  <si>
    <t>GROWTH MEDIA, AMENDMENTS, VEGETATION</t>
  </si>
  <si>
    <t>Highwall / bench volume to blast
(m3)</t>
  </si>
  <si>
    <t>Drill and Blasting Cost 
($)</t>
  </si>
  <si>
    <t>Length of Dozer Push for Highwall / Benches Growth Media*</t>
  </si>
  <si>
    <t>Dozer Push Unit Rate ($/m3)</t>
  </si>
  <si>
    <t>Dozer bulk push cost</t>
  </si>
  <si>
    <t>Reprofile Unit Rate ($/ha)</t>
  </si>
  <si>
    <t>Doze and Shape to proposed highwall/bench slope angle 
($)</t>
  </si>
  <si>
    <t>Haulage Distance for Highwall / Benches Growth Media (m)*</t>
  </si>
  <si>
    <t>Fleet for Growth Media</t>
  </si>
  <si>
    <t>Growth media Load and haul Rate Unit Rate ($/m3)</t>
  </si>
  <si>
    <t>Amend 1 Supply and Deliver TOV#</t>
  </si>
  <si>
    <t>Amend 2 Supply and Deliver TOV#</t>
  </si>
  <si>
    <t>Amend 3 Supply and Deliver TOV#</t>
  </si>
  <si>
    <t>Soil Amendment ($)</t>
  </si>
  <si>
    <t>Total for Highwall/Bench Treatment 
($)</t>
  </si>
  <si>
    <t>Open Pit Cost per Unit Area 
($/ha)</t>
  </si>
  <si>
    <t>Low Wall Shaping / Load and Haul to Make Safe</t>
  </si>
  <si>
    <t>LOW WALL DOZE AND SHAPE</t>
  </si>
  <si>
    <t>SOURCE, LOAD, HAUL, DUMP FOR LOW WALL TO MAKE SAFE</t>
  </si>
  <si>
    <t>Reprofiled Low Wall slope angle*</t>
  </si>
  <si>
    <t>Length of Dozer Push for Low Wall (m)</t>
  </si>
  <si>
    <t>Low Wall Area Unit Rate ($/Ha)</t>
  </si>
  <si>
    <t>Cost to Doze and Shape to proposed low wall slope angle 
($)</t>
  </si>
  <si>
    <t>Haulage Distance Low Wall Material (m)*</t>
  </si>
  <si>
    <t>Fleet for Low Wall</t>
  </si>
  <si>
    <t>Unit Rate ($/m3)</t>
  </si>
  <si>
    <t>Cost to source, load, haul, and dump 
($)</t>
  </si>
  <si>
    <t>Haulage Distance for Growth Media  Low Wall (m)*</t>
  </si>
  <si>
    <t>Fleet for Growth Media for Low Wall</t>
  </si>
  <si>
    <t>Soil Amend ($)</t>
  </si>
  <si>
    <t>Total Cost for Low Wall to make safe 
($)</t>
  </si>
  <si>
    <t>Backfill Open Pit with Waste Rock (or other material)</t>
  </si>
  <si>
    <t>BACKFILL DETAILS</t>
  </si>
  <si>
    <t>PUMP AND TREAT WATER FROM PIT</t>
  </si>
  <si>
    <t>SOURCE, LOAD, HAUL, DUMP PIT BACKFILL WITH ROCK MATERIAL</t>
  </si>
  <si>
    <t>BACKFILL TIP HEAD DOZE AND LEVEL</t>
  </si>
  <si>
    <t>Pump Water from Pit</t>
  </si>
  <si>
    <t>Total Water Management</t>
  </si>
  <si>
    <t>Haulage Distance for Backfill Rock*
(m)</t>
  </si>
  <si>
    <t>Fleet Size*</t>
  </si>
  <si>
    <t>Source of Rock</t>
  </si>
  <si>
    <t>Unit Rate Local Source ($/m3)</t>
  </si>
  <si>
    <t xml:space="preserve">Distance one way for rock if not local (km) </t>
  </si>
  <si>
    <t>Rock Source Long Haul Unit Rate ($/m3-km)</t>
  </si>
  <si>
    <t>Length of Dozer Push for backfill top head doze and level*</t>
  </si>
  <si>
    <t>Dozer backfill top head doze and level*</t>
  </si>
  <si>
    <t>Dozer push cost 
($)</t>
  </si>
  <si>
    <t>Amend 2 Supply and Deliver ($me/ha)</t>
  </si>
  <si>
    <t>Total Cost for Pit Backfill
($)</t>
  </si>
  <si>
    <t xml:space="preserve">Whole Number </t>
  </si>
  <si>
    <t>Open Pit Ramp Backfill / Rehabilitate</t>
  </si>
  <si>
    <t>PIT RAMPS DIMENSIONS AND QUANTITIES</t>
  </si>
  <si>
    <t>REMOVE AND DISPOSE RAMP ROADWAY MATERIAL</t>
  </si>
  <si>
    <t>SOURCE, LOAD, HAUL, DUMP BACKFILL MATERIAL</t>
  </si>
  <si>
    <t>Average Ramp Depth 
(m)</t>
  </si>
  <si>
    <t>Average Roadway width
(m)</t>
  </si>
  <si>
    <t>Average ramp length
(m)</t>
  </si>
  <si>
    <t>Number of ramps in Pit</t>
  </si>
  <si>
    <t>Total Ramp area to rehabilitate
(ha)</t>
  </si>
  <si>
    <t>User Entered Total volume of backfill for all ramps in pit 
(m3)</t>
  </si>
  <si>
    <t>Total volume of backfill for all ramps in pit used in calculations
(m3)</t>
  </si>
  <si>
    <t>User Entered Ramp Average Roadway Contaminated material thickness
(m)</t>
  </si>
  <si>
    <t>Ramp Roadway Contaminated material thickness used in calculations
(m)</t>
  </si>
  <si>
    <t>User entered volume contaminated ramp roadway material 
(m3)</t>
  </si>
  <si>
    <t>Contaminated ramp roadway material used in calculations
(m3)</t>
  </si>
  <si>
    <t>Length of Dozer Push*</t>
  </si>
  <si>
    <t>Dozer*</t>
  </si>
  <si>
    <t>Roadway Material Dozer push cost 
($)</t>
  </si>
  <si>
    <t>Haulage Distance for roadway disposal (m)*</t>
  </si>
  <si>
    <t>Surface Load and Haul ($/m3)</t>
  </si>
  <si>
    <t>Total cost to remove and dispose roadway material 
($)</t>
  </si>
  <si>
    <t>Haulage Distance for ramp fill material*
(m)</t>
  </si>
  <si>
    <t>Ramp Load and Haul ($/m3)</t>
  </si>
  <si>
    <t>Cost to source, load, haul, and dump ramp fill material
($)</t>
  </si>
  <si>
    <t>Length of Dozer Push (m)*</t>
  </si>
  <si>
    <t>Dozer push ramp fill material cost 
($)</t>
  </si>
  <si>
    <t>Total cost to fill ramp
($)</t>
  </si>
  <si>
    <t>Total Ramp Area of seeding required (ha)</t>
  </si>
  <si>
    <t>Total Cost for pit ramps in each pit
($)</t>
  </si>
  <si>
    <t>11. Underground Mines</t>
  </si>
  <si>
    <t>Alternate  Rate:</t>
  </si>
  <si>
    <t>Terminate and disconnect all services to the U/G workings?</t>
  </si>
  <si>
    <t>Number of Ventilation Shafts</t>
  </si>
  <si>
    <t xml:space="preserve">Total Depth of Ventilation Shafts 
</t>
  </si>
  <si>
    <t>Backfill, plug or cover ventilation shafts</t>
  </si>
  <si>
    <t>Number of Hoisting Shafts 
(persons and/or materials)</t>
  </si>
  <si>
    <t>Total Depth of Hoisting Shafts
(m)</t>
  </si>
  <si>
    <t>Backfill hoisting shafts or cover with steel plate</t>
  </si>
  <si>
    <t>Number of small Adits (&lt;2m in diameter) proposed to cover</t>
  </si>
  <si>
    <t>Number of small Adits (&lt;2m in diameter) to seal</t>
  </si>
  <si>
    <t>Number of Declines/ Drifts</t>
  </si>
  <si>
    <t>Length of Drifts/Declines with conveyors</t>
  </si>
  <si>
    <t>Number of small (historical) shafts proposed for closure</t>
  </si>
  <si>
    <t>Existing rehabilitation repair - minor*</t>
  </si>
  <si>
    <t>Existing rehabilitation repair - moderate*</t>
  </si>
  <si>
    <t>Existing rehabilitation repair - major*</t>
  </si>
  <si>
    <t>Existing rehabilitation repair - total failure of intended landform*</t>
  </si>
  <si>
    <t>TOTAL FOR MINE</t>
  </si>
  <si>
    <t xml:space="preserve">Alternate Rate </t>
  </si>
  <si>
    <t>RATE FOR MINE</t>
  </si>
  <si>
    <t>Whole Number (Item)</t>
  </si>
  <si>
    <t>Backfill</t>
  </si>
  <si>
    <t>Plug</t>
  </si>
  <si>
    <t>Cover</t>
  </si>
  <si>
    <t>12. Ports</t>
  </si>
  <si>
    <t>Ports (and other Marine Facilities) - Defaults</t>
  </si>
  <si>
    <t>Facility Name</t>
  </si>
  <si>
    <t>Total cost ($)</t>
  </si>
  <si>
    <t xml:space="preserve">Jetty </t>
  </si>
  <si>
    <t xml:space="preserve">Wharf </t>
  </si>
  <si>
    <t xml:space="preserve">Dolphins </t>
  </si>
  <si>
    <t xml:space="preserve">Reclaimer </t>
  </si>
  <si>
    <t xml:space="preserve">Shiploaders </t>
  </si>
  <si>
    <t xml:space="preserve">Conveyor on jetty </t>
  </si>
  <si>
    <t xml:space="preserve">Conveyor on land </t>
  </si>
  <si>
    <t>See Table below for area to collate quantities (not required, user's option)</t>
  </si>
  <si>
    <t>Ports (and other Marine Facilities) - User Build</t>
  </si>
  <si>
    <t>WHARF SURFACE</t>
  </si>
  <si>
    <t>JETTY SURFACE REMOVAL</t>
  </si>
  <si>
    <t>DOLPHINS</t>
  </si>
  <si>
    <t>CONVEYORS, RECLAIMERS, LOADERS</t>
  </si>
  <si>
    <t>RAIL INFRASTRUCTURE</t>
  </si>
  <si>
    <t>BUILDINGS AND STRUCTURES</t>
  </si>
  <si>
    <t>PIPING</t>
  </si>
  <si>
    <t>TANKS AND VESSELS</t>
  </si>
  <si>
    <t>DAMS AND PONDS</t>
  </si>
  <si>
    <t>LAND REHABILITATION INCLUDING GROWTH MEDIA, AMENDMENTS, VEGETATION</t>
  </si>
  <si>
    <t>OTHER COSTS</t>
  </si>
  <si>
    <t>Total Land Area</t>
  </si>
  <si>
    <r>
      <t>Export Capacity (</t>
    </r>
    <r>
      <rPr>
        <b/>
        <sz val="9"/>
        <color rgb="FFFF0000"/>
        <rFont val="Arial"/>
        <family val="2"/>
      </rPr>
      <t>info only, optional entry</t>
    </r>
    <r>
      <rPr>
        <b/>
        <sz val="9"/>
        <rFont val="Arial"/>
        <family val="2"/>
      </rPr>
      <t>)</t>
    </r>
  </si>
  <si>
    <t>Wharf Area</t>
  </si>
  <si>
    <t>Concrete Surface Area of Wharf for removal</t>
  </si>
  <si>
    <t>Concrete Wharf Surface Remove and Dispose Cost</t>
  </si>
  <si>
    <t>Concrete thickness User</t>
  </si>
  <si>
    <t>Volume of wharf concrete to remove</t>
  </si>
  <si>
    <t xml:space="preserve">Asphalt Surface Area of Wharf for removal  </t>
  </si>
  <si>
    <t>Asphalt Removal Wharf Rate</t>
  </si>
  <si>
    <t>Asphalt Removal</t>
  </si>
  <si>
    <t>Asphalt thickness User</t>
  </si>
  <si>
    <t>Volume of wharf asphalt to remove</t>
  </si>
  <si>
    <t xml:space="preserve">Gravel Surface Area of Wharf for removal </t>
  </si>
  <si>
    <t xml:space="preserve">Gravel thickness User </t>
  </si>
  <si>
    <t>Volume of wharf gravel to remove</t>
  </si>
  <si>
    <t>Distance to haul gravel (km)</t>
  </si>
  <si>
    <t>Gravel  Removal Wharf</t>
  </si>
  <si>
    <t>Gravel Removal Wharf</t>
  </si>
  <si>
    <t>Concrete Area of Jetty</t>
  </si>
  <si>
    <t>Concrete Jetty Surface Removal</t>
  </si>
  <si>
    <t>Jetty Concrete thickness User</t>
  </si>
  <si>
    <t>Volume of Jetty concrete to remove</t>
  </si>
  <si>
    <t>Dolphins Cost</t>
  </si>
  <si>
    <t>Jetty Conveyors</t>
  </si>
  <si>
    <t>Land Conveyors</t>
  </si>
  <si>
    <t>Wharf Shiploaders</t>
  </si>
  <si>
    <t>Jetty Shiploaders</t>
  </si>
  <si>
    <t>Stockpile Loaders</t>
  </si>
  <si>
    <t>Conveyors, Reclaimers, and Loaders</t>
  </si>
  <si>
    <t>Rail Cost</t>
  </si>
  <si>
    <t>Buildings Rate</t>
  </si>
  <si>
    <t>Building Alternate Rate</t>
  </si>
  <si>
    <t>Building and Structure Cost</t>
  </si>
  <si>
    <t>Camp Alternate Rate</t>
  </si>
  <si>
    <t>Camps Cost</t>
  </si>
  <si>
    <t>Length of Pipe</t>
  </si>
  <si>
    <t>Pipe Default Rate</t>
  </si>
  <si>
    <t>Pipe Alternate Rate</t>
  </si>
  <si>
    <t>Pipe Cost</t>
  </si>
  <si>
    <t># of Tanks</t>
  </si>
  <si>
    <t>Tank Default Rate</t>
  </si>
  <si>
    <t>Tank Alternate Rate</t>
  </si>
  <si>
    <t>Tanks Cost</t>
  </si>
  <si>
    <t># of Dams</t>
  </si>
  <si>
    <t>Dam Default Rate</t>
  </si>
  <si>
    <t>Dam Alternate Rate</t>
  </si>
  <si>
    <t>Dam Cost</t>
  </si>
  <si>
    <t>Area rip and grade (ha)</t>
  </si>
  <si>
    <t>Growth Media Local Supply ($/m3)</t>
  </si>
  <si>
    <t>Long Distance Cost ($/m3)</t>
  </si>
  <si>
    <t>Growth Media Cost</t>
  </si>
  <si>
    <t>Amendment 1 for soil</t>
  </si>
  <si>
    <t>Amendment 2 for soil</t>
  </si>
  <si>
    <t>Amendment 3 for soil</t>
  </si>
  <si>
    <t>Land Amendment Cost</t>
  </si>
  <si>
    <t>Other User ($)</t>
  </si>
  <si>
    <t>Alternate Total Rate for Line item</t>
  </si>
  <si>
    <t>Mtpa</t>
  </si>
  <si>
    <t>Select from Dropdown</t>
  </si>
  <si>
    <t>m2 / portable by item</t>
  </si>
  <si>
    <t>Temporary camp - &gt; 20 and &lt;= 50 persons</t>
  </si>
  <si>
    <t>Process &gt; 0 and &lt;= 1 ML, Pasture</t>
  </si>
  <si>
    <t>Small, Brick wall, Steel roof, Concrete floor, 1 floors</t>
  </si>
  <si>
    <t>Temporary camp - &gt; 4000 and &lt;= 5000 persons</t>
  </si>
  <si>
    <t>Vertical, Steel, Open top, Earth, Single skin, Lined, 17 ML</t>
  </si>
  <si>
    <t>Process &gt; 4000 and &lt;= 5000 ML, Pasture</t>
  </si>
  <si>
    <t>Large, Brick wall, Steel roof, Concrete floor, 1 floors</t>
  </si>
  <si>
    <t>Permanent camp - &gt; 0 and &lt;= 20 persons</t>
  </si>
  <si>
    <t>Concrete Ring, Steel, Open top, Earth, Single skin, Lined, 4 kL</t>
  </si>
  <si>
    <t>Process &gt; 0 and &lt;= 1 ML, Native</t>
  </si>
  <si>
    <t>Large, Steel wall, Steel roof, Concrete floor, 1 floors</t>
  </si>
  <si>
    <t>Permanent camp - &gt; 4000 and &lt;= 5000 persons</t>
  </si>
  <si>
    <t>Concrete Ring, Steel, Open top, Earth, Single skin, Lined, 12 kL</t>
  </si>
  <si>
    <t>Process &gt; 4000 and &lt;= 5000 ML, Native</t>
  </si>
  <si>
    <t>Small, Steel wall, Steel roof, Concrete floor, 1 floors</t>
  </si>
  <si>
    <t>Temporary camp - &lt;= 20 persons</t>
  </si>
  <si>
    <t>Horizontal, Steel, Closed top, Skid, Single skin, Not lined, 1.2 kL</t>
  </si>
  <si>
    <t>Process &gt; 0 and &lt;= 1 ML, Arid</t>
  </si>
  <si>
    <t>Large, Steel wall, Steel roof, Concrete floor, 2 floors</t>
  </si>
  <si>
    <t>Horizontal, Steel, Closed top, Skid, Single skin, Not lined, 110 kL</t>
  </si>
  <si>
    <t>Process &gt; 4000 and &lt;= 5000 ML, Arid</t>
  </si>
  <si>
    <t>Vertical, Steel, Closed top, Steel, Single skin, Not lined, 100 kL</t>
  </si>
  <si>
    <t>Raw &gt; 0 and &lt;= 1 ML, Pasture</t>
  </si>
  <si>
    <t>Vertical, Steel, Closed top, Steel, Single skin, Not lined, 300 kL</t>
  </si>
  <si>
    <t>Raw &gt; 4000 and &lt;= 5000 ML, Pasture</t>
  </si>
  <si>
    <t>Panel, Concrete, Open top, Earth, Single skin, Lined, 1.2 kL</t>
  </si>
  <si>
    <t>Evaporation and other &gt; 0 and &lt;= 1 ML, Arid</t>
  </si>
  <si>
    <t>Panel, Concrete, Open top, Earth, Single skin, Lined, 50 kL</t>
  </si>
  <si>
    <t xml:space="preserve">Waste Register - mass concrete (t)* </t>
  </si>
  <si>
    <t>Waste Register - mass concrete (t)</t>
  </si>
  <si>
    <t>The below is for calculation and information purposes only. The values of not feed into the other tables. This table is optional for use if the User wants to list out quantities.</t>
  </si>
  <si>
    <t>Port Quantities (for user)</t>
  </si>
  <si>
    <t>Type / Description / Notes</t>
  </si>
  <si>
    <t>Conveyors</t>
  </si>
  <si>
    <t xml:space="preserve">Concrete Surface </t>
  </si>
  <si>
    <t>Asphalt Surface</t>
  </si>
  <si>
    <t>Gravel Surface</t>
  </si>
  <si>
    <t>13. Investigation, Contamination, Scrap, Waste Levy</t>
  </si>
  <si>
    <t>Alternate Rate:</t>
  </si>
  <si>
    <t>Land Investigation</t>
  </si>
  <si>
    <t>Name of Area</t>
  </si>
  <si>
    <t>Proportion of One-off Costs (typ. 1)*</t>
  </si>
  <si>
    <t>Preliminary Site Investigations</t>
  </si>
  <si>
    <t>Length (m)</t>
  </si>
  <si>
    <t>Diameter (m)</t>
  </si>
  <si>
    <t>User Area (ha)</t>
  </si>
  <si>
    <t>Calculated Area (ha)</t>
  </si>
  <si>
    <t>Area for calculations (ha)</t>
  </si>
  <si>
    <t>Enter Description</t>
  </si>
  <si>
    <t>Alternate Rate for Area</t>
  </si>
  <si>
    <t xml:space="preserve">Rate to Total </t>
  </si>
  <si>
    <t>Quantity Totals</t>
  </si>
  <si>
    <t>Remove material from footprint of process facility / stockpile area / roads and dump in void on-site from footprint of the process facility (leach pads) / stockpile area (ROM product) / roads and dump in a void on-site or to tailings (e.g. sludge)</t>
  </si>
  <si>
    <t>Distance to Void</t>
  </si>
  <si>
    <t>Rip and push up material</t>
  </si>
  <si>
    <t>Fleet for Load and Haul</t>
  </si>
  <si>
    <t>Load and Haul</t>
  </si>
  <si>
    <t>Alternate Rate for Area (total cost)</t>
  </si>
  <si>
    <t>Remove scrap (only where a source separate to process equipment and other activities generating waste)</t>
  </si>
  <si>
    <t>Mass</t>
  </si>
  <si>
    <t>Alternate Rate (supply and deliver - total)</t>
  </si>
  <si>
    <t>Disposal to Off-site Facility</t>
  </si>
  <si>
    <t>Primary Contaminant</t>
  </si>
  <si>
    <t>Mass to Dispose</t>
  </si>
  <si>
    <t>User Load, Haul, Dispose (total)</t>
  </si>
  <si>
    <t>Asbestos (ACM)</t>
  </si>
  <si>
    <t>Asbestos in soil</t>
  </si>
  <si>
    <t>Low Level Petroleum Hydrocarbons in soil</t>
  </si>
  <si>
    <t>High Level Petroleum Hydrocarbons in soil</t>
  </si>
  <si>
    <t>Low level inorganics in soil</t>
  </si>
  <si>
    <t>High level inorganics in soil</t>
  </si>
  <si>
    <t>General Waste</t>
  </si>
  <si>
    <t>Construction / building waste</t>
  </si>
  <si>
    <t>Regulated waste (e.g. tires and belts)</t>
  </si>
  <si>
    <t>Disposal to Off-site Facility - Waste Levy</t>
  </si>
  <si>
    <t>Waste Levy type selected in Registration</t>
  </si>
  <si>
    <t>REGISTRATION</t>
  </si>
  <si>
    <t>Description (optional entry)</t>
  </si>
  <si>
    <t>Levy - Metro Zone</t>
  </si>
  <si>
    <t>Levy - Regional Zone</t>
  </si>
  <si>
    <t>Levy Used</t>
  </si>
  <si>
    <t>Mass to attract levy (will be zero if waste levy doesn’t apply. See Waste Register for schedule).</t>
  </si>
  <si>
    <t>Soil Bioremediation</t>
  </si>
  <si>
    <t>Quantity to Treat</t>
  </si>
  <si>
    <t>User Load, Haul, Dispose - total</t>
  </si>
  <si>
    <t>14. General Land Rehabilitation</t>
  </si>
  <si>
    <t>Alternate  Rate</t>
  </si>
  <si>
    <t>&lt;&lt;&lt; Enter user rate</t>
  </si>
  <si>
    <t>Land Rehabilitation and Repair of Subsidence and Land Management</t>
  </si>
  <si>
    <t>Subsidence in Third-Party Land*</t>
  </si>
  <si>
    <t>Details for Subsidence in Third Party Land (3rd party quote)</t>
  </si>
  <si>
    <t>User Lump Sum Item ($)</t>
  </si>
  <si>
    <t>Other User Item Lump ($)</t>
  </si>
  <si>
    <t>Alternate Rate for Item</t>
  </si>
  <si>
    <t>Natural Drainage and Diversions</t>
  </si>
  <si>
    <t>User entered Item Drainage / Diversions 1</t>
  </si>
  <si>
    <t>User entered Item Drainage / Diversions 2</t>
  </si>
  <si>
    <t>User entered Item Drainage / Diversions 3</t>
  </si>
  <si>
    <t>Enter unit</t>
  </si>
  <si>
    <t>General Grade and Rip</t>
  </si>
  <si>
    <t>User entered Item for Grade / Rip using Grader 1</t>
  </si>
  <si>
    <t>User entered Item for Grade / Rip using Grader 2</t>
  </si>
  <si>
    <t>User entered Item for Grade / Rip using Grader 3</t>
  </si>
  <si>
    <t>User entered Item for Grade / Rip using Grader 4</t>
  </si>
  <si>
    <t>User entered Item for Grade / Rip using Grader 5</t>
  </si>
  <si>
    <t>User entered Item for Grade / Rip using Grader 6</t>
  </si>
  <si>
    <t>General Doze and Rip</t>
  </si>
  <si>
    <t>Miscellaneous Soil Amelioration and Seeding</t>
  </si>
  <si>
    <t>Bores</t>
  </si>
  <si>
    <t>Long Distance Carting of Amendments</t>
  </si>
  <si>
    <t>Area to Amend</t>
  </si>
  <si>
    <t>Amendment Treatment</t>
  </si>
  <si>
    <t>Default Amendment Rate</t>
  </si>
  <si>
    <t>User Amendment Rate</t>
  </si>
  <si>
    <t>Amendment Rate used in Calculations</t>
  </si>
  <si>
    <t>Mass to Apply</t>
  </si>
  <si>
    <t xml:space="preserve">Haul Cost </t>
  </si>
  <si>
    <t>Purchase Rate</t>
  </si>
  <si>
    <t xml:space="preserve">Purchase Cost </t>
  </si>
  <si>
    <t xml:space="preserve">Use Supply and Deliver </t>
  </si>
  <si>
    <t>km  Select</t>
  </si>
  <si>
    <t>Purchase, Load, Haul, Place Growth Media</t>
  </si>
  <si>
    <t>Volume to Purchase, Load and Haul</t>
  </si>
  <si>
    <t>Growth Media Locally sourced ($)*</t>
  </si>
  <si>
    <t>Growth Media Long Distance haul Cost*</t>
  </si>
  <si>
    <t>Growth Media Purchase Cost if Long Haul*</t>
  </si>
  <si>
    <t>Use Supply and Deliver (total)*</t>
  </si>
  <si>
    <t>Long Distance Carting of Clay</t>
  </si>
  <si>
    <t>Clay density default</t>
  </si>
  <si>
    <t>Area to Cap</t>
  </si>
  <si>
    <t>Thickness of layer</t>
  </si>
  <si>
    <t>Capping Material</t>
  </si>
  <si>
    <t>Haul Cost ($)</t>
  </si>
  <si>
    <t xml:space="preserve">Purchase </t>
  </si>
  <si>
    <t>Purchase Cost ($)</t>
  </si>
  <si>
    <t xml:space="preserve">Use Supply and Deliver (total cost for whole mass) </t>
  </si>
  <si>
    <t>Rate per Tonne Supply and Deliver ($/t)</t>
  </si>
  <si>
    <r>
      <t xml:space="preserve">km </t>
    </r>
    <r>
      <rPr>
        <sz val="9"/>
        <color rgb="FFFF0000"/>
        <rFont val="Arial"/>
        <family val="2"/>
      </rPr>
      <t>Select</t>
    </r>
  </si>
  <si>
    <t>$/t-km</t>
  </si>
  <si>
    <t>15. Mobilisation / Demobilisation and Additional User Items</t>
  </si>
  <si>
    <t>Description</t>
  </si>
  <si>
    <t>Additional Items</t>
  </si>
  <si>
    <t>User Description</t>
  </si>
  <si>
    <t>Comments</t>
  </si>
  <si>
    <t>/ Item</t>
  </si>
  <si>
    <t>User Input Sheet</t>
  </si>
  <si>
    <t>Quantity Summary</t>
  </si>
  <si>
    <t>Filter (retain blanks)</t>
  </si>
  <si>
    <t>Seismic, Grid-Lines, Minor Tracks (by length) - rehabilitation length</t>
  </si>
  <si>
    <t>Seismic, Grid-Lines, Minor Tracks (by area) - rehabilitation area</t>
  </si>
  <si>
    <t>Bitumen remove</t>
  </si>
  <si>
    <t xml:space="preserve">Concrete remove </t>
  </si>
  <si>
    <t>Concrete crush</t>
  </si>
  <si>
    <t>Water Treatment and Dewatering</t>
  </si>
  <si>
    <t>Waste Structures</t>
  </si>
  <si>
    <t>Total footprint area of waste rock dumps / overburden (defaults)</t>
  </si>
  <si>
    <t>Waste Rock Dumps (user defined)</t>
  </si>
  <si>
    <t>Total footprint area of waste rock dumps</t>
  </si>
  <si>
    <t>Total flat area of waste rock dumps</t>
  </si>
  <si>
    <t>Total volume to push on flat areas of waste rock dumps</t>
  </si>
  <si>
    <t>Total sloped areas on waste rock dumps</t>
  </si>
  <si>
    <t>Total volume to push on sloped areas on waste rock dumps</t>
  </si>
  <si>
    <t>Total ramp areas on waste rock dumps</t>
  </si>
  <si>
    <t>Total volume of rock cover layers on waste rock dumps</t>
  </si>
  <si>
    <t>Total capillary break layer area on waste rock dumps</t>
  </si>
  <si>
    <t>Total volume used in capillary break layers on waste rock dumps</t>
  </si>
  <si>
    <t>Total low permeability cap area on waste rock dumps</t>
  </si>
  <si>
    <t>Total volume used in low permeability cap layer on waste rock dumps</t>
  </si>
  <si>
    <t>Total top rock cover area on waste rock dumps</t>
  </si>
  <si>
    <t>Total volume used in top rock cover layer on waste rock dumps</t>
  </si>
  <si>
    <t>Total area of additional capping (geofabric) on waste rock dumps</t>
  </si>
  <si>
    <t>Total area of additional capping (geosynthetic clay liner) on waste rock dumps</t>
  </si>
  <si>
    <t>Total area of additional capping (geomembrane) on waste rock dumps</t>
  </si>
  <si>
    <t>Total volume of growth media on waste rock dumps</t>
  </si>
  <si>
    <t>Total area to grade and seed on waste rock dumps</t>
  </si>
  <si>
    <t>Total area of amendment</t>
  </si>
  <si>
    <t>Total footprint area of dump / pile</t>
  </si>
  <si>
    <t>Total flat area of dump / pile</t>
  </si>
  <si>
    <t>Total volume to push on flat areas of dump / pile</t>
  </si>
  <si>
    <t>Total sloped areas on dump / pile</t>
  </si>
  <si>
    <t>Total volume to push on sloped areas on dump / pile</t>
  </si>
  <si>
    <t>Total ramp areas on dump / pile</t>
  </si>
  <si>
    <t>Total volume of rock cover layers on dump / pile</t>
  </si>
  <si>
    <t>Total rock armour dump / pile</t>
  </si>
  <si>
    <t>Total volume used in top rock cover layer on dump / pile</t>
  </si>
  <si>
    <t>Total area of additional capping (geofabric) on dump / pile</t>
  </si>
  <si>
    <t>Total area of additional capping (geosynthetic clay liner) on dump / pile</t>
  </si>
  <si>
    <t>Total area of additional capping (geomembrane) on dump / pile</t>
  </si>
  <si>
    <t>Total volume of growth media on dump / pile</t>
  </si>
  <si>
    <t>Total area to grade and seed on dump / pile</t>
  </si>
  <si>
    <t>Total area of amendment on dump pile</t>
  </si>
  <si>
    <t>Total footprint area of growth media stockpiles</t>
  </si>
  <si>
    <t>Total volume to push on flat areas of  growth media stockpiles</t>
  </si>
  <si>
    <t>Total volume of growth media on growth media stockpiles</t>
  </si>
  <si>
    <t>Total area to grade and seed on growth media stockpiles</t>
  </si>
  <si>
    <t>Total area of amendment on growth media stockpiles</t>
  </si>
  <si>
    <t>Total footprint area of heap leach pads</t>
  </si>
  <si>
    <t>Total flat area of heap leach pads</t>
  </si>
  <si>
    <t>Total volume to push on flat areas of heap leach pads</t>
  </si>
  <si>
    <t>Total sloped areas on heap leach pads</t>
  </si>
  <si>
    <t>Total volume to push on sloped areas on heap leach pads</t>
  </si>
  <si>
    <t>Total ramp areas on heap leach pads</t>
  </si>
  <si>
    <t>Total volume of rock cover layers on heap leach pads</t>
  </si>
  <si>
    <t>Total capillary break layer area on heap leach pads</t>
  </si>
  <si>
    <t>Total volume used in capillary break layers on heap leach pads</t>
  </si>
  <si>
    <t>Total low permeability cap area on heap leach pads</t>
  </si>
  <si>
    <t>Total volume used in low permeability cap layer on heap leach pads</t>
  </si>
  <si>
    <t>Total top rock cover area on heap leach pads</t>
  </si>
  <si>
    <t>Total volume used in top rock cover layer on heap leach pads</t>
  </si>
  <si>
    <t>Total area of additional capping (geofabric) on heap leach pads</t>
  </si>
  <si>
    <t>Total area of additional capping (geosynthetic clay liner) on heap leach pads</t>
  </si>
  <si>
    <t>Total area of additional capping (geomembrane) on heap leach pads</t>
  </si>
  <si>
    <t>Total volume of growth media on heap leach pads</t>
  </si>
  <si>
    <t>Total area to grade and seed on heap leach pads</t>
  </si>
  <si>
    <t>Total area of amendment on heap leach pads</t>
  </si>
  <si>
    <t>Total footprint area of tailings storage facilities</t>
  </si>
  <si>
    <t>Total volume of working rock layer</t>
  </si>
  <si>
    <t>Total volume of rock cover for ramps on tailings storage facilities</t>
  </si>
  <si>
    <t>Total volume of rock cover for embankment on tailings storage facilities</t>
  </si>
  <si>
    <t>Total capillary break layer area on tailings storage facilities</t>
  </si>
  <si>
    <t>Total volume used in capillary break layers on tailings storage facilities</t>
  </si>
  <si>
    <t>Total low permeability cap area on tailings storage facilities</t>
  </si>
  <si>
    <t>Total volume used in low permeability cap layer on tailings storage facilities</t>
  </si>
  <si>
    <t>Total top rock cover area on tailings storage facilities</t>
  </si>
  <si>
    <t>Total volume used in top rock cover layer on tailings storage facilities</t>
  </si>
  <si>
    <t>Total area of additional capping (geofabric) on tailings storage facilities</t>
  </si>
  <si>
    <t>Total area of additional capping (geosynthetic clay liner) on tailings storage facilities</t>
  </si>
  <si>
    <t>Total area of additional capping (geomembrane) on tailings storage facilities</t>
  </si>
  <si>
    <t>Total volume of growth media on tailings storage facilities</t>
  </si>
  <si>
    <t>Total area to grade and seed on tailings storage facilities</t>
  </si>
  <si>
    <t>Total area of amendment on tailings storage facilities</t>
  </si>
  <si>
    <t xml:space="preserve">Open Pit Void Footprint </t>
  </si>
  <si>
    <t xml:space="preserve">Abandonment Bund Length </t>
  </si>
  <si>
    <t xml:space="preserve">Benches Volume to Blast </t>
  </si>
  <si>
    <t>Highwall Volume to Blast</t>
  </si>
  <si>
    <t>Low Wall Volume to bulk push to make safe</t>
  </si>
  <si>
    <t>Low Wall Volume to Load and haul to make safe</t>
  </si>
  <si>
    <t>Backfill Open Pit with Waste Rock</t>
  </si>
  <si>
    <t>Open Pit Backfill Volume</t>
  </si>
  <si>
    <t>Open Pit Ramp Backfill Volume</t>
  </si>
  <si>
    <t>Number of Drifts/Declines with conveyors</t>
  </si>
  <si>
    <t>Number of small Adits (&lt;2m in diameter) to cover</t>
  </si>
  <si>
    <t>Number of small (historic) shafts proposed for closure</t>
  </si>
  <si>
    <t>Investigations and Contamination</t>
  </si>
  <si>
    <t>Waste Levy Register</t>
  </si>
  <si>
    <t>Reference</t>
  </si>
  <si>
    <t>Total Qty (t)</t>
  </si>
  <si>
    <t>t per camp</t>
  </si>
  <si>
    <t>t per m2</t>
  </si>
  <si>
    <t>t per tower</t>
  </si>
  <si>
    <t>t per km</t>
  </si>
  <si>
    <t>Concrete surface of wharf and jetties</t>
  </si>
  <si>
    <t>ports</t>
  </si>
  <si>
    <t>Total mass concrete (t)</t>
  </si>
  <si>
    <t>Contaminants in soil</t>
  </si>
  <si>
    <t>Inv Contam</t>
  </si>
  <si>
    <t>Waste</t>
  </si>
  <si>
    <t>Slope Rock Armour Layer less than Department's expected minimum</t>
  </si>
  <si>
    <t>Ramps Rock Armour Layer less than Department's expected minimum</t>
  </si>
  <si>
    <t>Working Cover Rock Layer less than Department's expected minimum</t>
  </si>
  <si>
    <t>Capillary Break Layer less than Department's expected minimum</t>
  </si>
  <si>
    <t>Low Permeability Layer less than Department's expected minimum</t>
  </si>
  <si>
    <t>Top Rock Layer less than Department's expected minimum</t>
  </si>
  <si>
    <t>Growth Media Layer less than Department's expected minimum</t>
  </si>
  <si>
    <t>Alternate Rate for Engineering Added</t>
  </si>
  <si>
    <t>Incorrect Dozer Selection</t>
  </si>
  <si>
    <t>User Justification for Capping Thickness less than Defaults / Site specific clay prices / General Notes</t>
  </si>
  <si>
    <t>WRD Sheet</t>
  </si>
  <si>
    <t>If an error, select shorter push or larger dozer in the Input Sheet location</t>
  </si>
  <si>
    <t>&lt;&lt; Input Sheet reference</t>
  </si>
  <si>
    <t>HLP Sheet</t>
  </si>
  <si>
    <t>TSF Sheet</t>
  </si>
  <si>
    <t>Lists</t>
  </si>
  <si>
    <t>Waste Levy Descriptions</t>
  </si>
  <si>
    <t>Waste levy applies - Metro Zone</t>
  </si>
  <si>
    <t>No</t>
  </si>
  <si>
    <t>N</t>
  </si>
  <si>
    <t>Waste levy applies - Regional Zone</t>
  </si>
  <si>
    <t>Waste levy does not apply because the site is not in a waste levy zone</t>
  </si>
  <si>
    <t>Waste levy does not apply for another reason (add comments)</t>
  </si>
  <si>
    <t>Local or Local Distance</t>
  </si>
  <si>
    <t>Capping</t>
  </si>
  <si>
    <t>Clay</t>
  </si>
  <si>
    <t>Capping Risk Category (extended for TSF)</t>
  </si>
  <si>
    <t>Berm Con Method</t>
  </si>
  <si>
    <t>Excavate and Place</t>
  </si>
  <si>
    <t>Shafts</t>
  </si>
  <si>
    <t>Road</t>
  </si>
  <si>
    <t>Surface_Replace</t>
  </si>
  <si>
    <t>Substation</t>
  </si>
  <si>
    <t>Switchyard</t>
  </si>
  <si>
    <t>Tracks and Roads</t>
  </si>
  <si>
    <t>Powerlines</t>
  </si>
  <si>
    <t>Building Wall</t>
  </si>
  <si>
    <t>Buildings List</t>
  </si>
  <si>
    <t>No flush</t>
  </si>
  <si>
    <t>No remove</t>
  </si>
  <si>
    <t>Pipeline_content</t>
  </si>
  <si>
    <t>Ash</t>
  </si>
  <si>
    <t>Processing Equipment</t>
  </si>
  <si>
    <t>Water Treatment</t>
  </si>
  <si>
    <t>Dam_Liner</t>
  </si>
  <si>
    <t>Dam_Type</t>
  </si>
  <si>
    <t>Dams_Reg_Non_Reg</t>
  </si>
  <si>
    <t>Regulated</t>
  </si>
  <si>
    <t>Non-regulated</t>
  </si>
  <si>
    <t>Dams (Transpose from Activities)</t>
  </si>
  <si>
    <t>Dam_size</t>
  </si>
  <si>
    <t>Tank Type</t>
  </si>
  <si>
    <t>Hor frac</t>
  </si>
  <si>
    <t>Hopper</t>
  </si>
  <si>
    <t>Contain</t>
  </si>
  <si>
    <t>Double skin</t>
  </si>
  <si>
    <t>Boreholes</t>
  </si>
  <si>
    <t>Contamination and Disposal</t>
  </si>
  <si>
    <t>Low Level Inorganics in soil</t>
  </si>
  <si>
    <t>High Level Inorganics in soil</t>
  </si>
  <si>
    <t>Construction Debris Disposal Gate Fee</t>
  </si>
  <si>
    <t>Wood</t>
  </si>
  <si>
    <t>Oil / condensate disposal Gate Fee</t>
  </si>
  <si>
    <t>Oily water / ablution water disposal Gate Fee</t>
  </si>
  <si>
    <t>Camp Type</t>
  </si>
  <si>
    <t>Density concrete</t>
  </si>
  <si>
    <t>Removed errant "1" from Eligible Mining Activities</t>
  </si>
  <si>
    <t>Temporary camp - &gt; 50 and &lt;= 100 persons</t>
  </si>
  <si>
    <t>Temporary camp - &gt; 100 and &lt;= 150 persons</t>
  </si>
  <si>
    <t>Temporary camp - &gt; 150 and &lt;= 200 persons</t>
  </si>
  <si>
    <t>Temporary camp - &gt; 200 and &lt;= 250 persons</t>
  </si>
  <si>
    <t>Temporary camp - &gt; 250 and &lt;= 300 persons</t>
  </si>
  <si>
    <t>Temporary camp - &gt; 300 and &lt;= 400 persons</t>
  </si>
  <si>
    <t>Temporary camp - &gt; 400 and &lt;= 500 persons</t>
  </si>
  <si>
    <t>Temporary camp - &gt; 500 and &lt;= 750 persons</t>
  </si>
  <si>
    <t>Temporary camp - &gt; 750 and &lt;= 1000 persons</t>
  </si>
  <si>
    <t>Temporary camp - &gt; 1000 and &lt;= 2000 persons</t>
  </si>
  <si>
    <t>Temporary camp - &gt; 2000 and &lt;= 3000 persons</t>
  </si>
  <si>
    <t>Temporary camp - &gt; 3000 and &lt;= 4000 persons</t>
  </si>
  <si>
    <t>Permanent camp - &gt; 20 and &lt;= 50 persons</t>
  </si>
  <si>
    <t>Permanent camp - &gt; 50 and &lt;= 100 persons</t>
  </si>
  <si>
    <t>Permanent camp - &gt; 100 and &lt;= 150 persons</t>
  </si>
  <si>
    <t>Permanent camp - &gt; 150 and &lt;= 200 persons</t>
  </si>
  <si>
    <t>Permanent camp - &gt; 200 and &lt;= 250 persons</t>
  </si>
  <si>
    <t>Permanent camp - &gt; 250 and &lt;= 300 persons</t>
  </si>
  <si>
    <t>Permanent camp - &gt; 300 and &lt;= 400 persons</t>
  </si>
  <si>
    <t>Permanent camp - &gt; 400 and &lt;= 500 persons</t>
  </si>
  <si>
    <t>Permanent camp - &gt; 500 and &lt;= 750 persons</t>
  </si>
  <si>
    <t>Permanent camp - &gt; 750 and &lt;= 1000 persons</t>
  </si>
  <si>
    <t>Permanent camp - &gt; 1000 and &lt;= 2000 persons</t>
  </si>
  <si>
    <t>Permanent camp - &gt; 2000 and &lt;= 3000 persons</t>
  </si>
  <si>
    <t>Permanent camp - &gt; 3000 and &lt;= 4000 persons</t>
  </si>
  <si>
    <t>Track, Earthen, No replace, 3 m wide, Pasture</t>
  </si>
  <si>
    <t>Track, Earthen, No replace, 3 m wide, Native</t>
  </si>
  <si>
    <t>Track, Earthen, No replace, 3 m wide, Arid</t>
  </si>
  <si>
    <t>Track, Earthen, No replace, 6 m wide, Pasture</t>
  </si>
  <si>
    <t>Track, Earthen, No replace, 6 m wide, Native</t>
  </si>
  <si>
    <t>Track, Earthen, No replace, 6 m wide, Arid</t>
  </si>
  <si>
    <t>Track, Rock, No replace, 3 m wide, Pasture</t>
  </si>
  <si>
    <t>Track, Rock, No replace, 3 m wide, Native</t>
  </si>
  <si>
    <t>Track, Rock, No replace, 3 m wide, Arid</t>
  </si>
  <si>
    <t>Track, Rock, No replace, 6 m wide, Pasture</t>
  </si>
  <si>
    <t>Track, Rock, No replace, 6 m wide, Native</t>
  </si>
  <si>
    <t>Track, Rock, No replace, 6 m wide, Arid</t>
  </si>
  <si>
    <t>Track, Rock, Replace rock, 3 m wide, Pasture</t>
  </si>
  <si>
    <t>Track, Rock, Replace rock, 3 m wide, Native</t>
  </si>
  <si>
    <t>Track, Rock, Replace rock, 3 m wide, Arid</t>
  </si>
  <si>
    <t>Track, Rock, Replace rock, 6 m wide, Pasture</t>
  </si>
  <si>
    <t>Track, Rock, Replace rock, 6 m wide, Native</t>
  </si>
  <si>
    <t>Track, Rock, Replace rock, 6 m wide, Arid</t>
  </si>
  <si>
    <t>Haul Road, Decompact, doze, shape, 25 m wide, Pasture</t>
  </si>
  <si>
    <t>Haul Road, Decompact, doze, shape, 25 m wide, Native</t>
  </si>
  <si>
    <t>Haul Road, Decompact, doze, shape, 25 m wide, Arid</t>
  </si>
  <si>
    <t>Haul Road, Rock, Remove contam only, 25 m wide, Pasture</t>
  </si>
  <si>
    <t>Haul Road, Rock, Remove contam only, 25 m wide, Native</t>
  </si>
  <si>
    <t>Haul Road, Rock, Remove contam only, 25 m wide, Arid</t>
  </si>
  <si>
    <t>Haul Road, Rock, Remove rock cover and replace, 25 m wide, Pasture</t>
  </si>
  <si>
    <t>Haul Road, Rock, Remove rock cover and replace, 25 m wide, Native</t>
  </si>
  <si>
    <t>Haul Road, Rock, Remove rock cover and replace, 25 m wide, Arid</t>
  </si>
  <si>
    <t>Laydown, Earthen, No replace, Pasture</t>
  </si>
  <si>
    <t>Laydown, Earthen, No replace, Native</t>
  </si>
  <si>
    <t>Laydown, Earthen, No replace, Arid</t>
  </si>
  <si>
    <t>Laydown, Rock, No replace, Pasture</t>
  </si>
  <si>
    <t>Laydown, Rock, No replace, Native</t>
  </si>
  <si>
    <t>Laydown, Rock, No replace, Arid</t>
  </si>
  <si>
    <t>Track, Pasture, Earthen, No replace</t>
  </si>
  <si>
    <t>Track, Native, Earthen, No replace</t>
  </si>
  <si>
    <t>Track, Arid, Earthen, No replace</t>
  </si>
  <si>
    <t>Track, Pasture, Rock, No replace</t>
  </si>
  <si>
    <t>Track, Native, Rock, No replace</t>
  </si>
  <si>
    <t>Track, Arid, Rock, No replace</t>
  </si>
  <si>
    <t>Track, any land, Rock, Replace rock</t>
  </si>
  <si>
    <t>Plastic Pipe 0 to &lt;= 0.15 m dia. Buried</t>
  </si>
  <si>
    <t>Plastic Pipe &gt; 0.15 to &lt;= 0.25 m dia. Buried</t>
  </si>
  <si>
    <t>Plastic Pipe &gt; 0.25 to &lt;= 0.5 m dia. Buried</t>
  </si>
  <si>
    <t>Plastic Pipe &gt; 0.5 to &lt;= 1 m dia. Buried</t>
  </si>
  <si>
    <t>Plastic Pipe 0 to &lt;= 0.15 m dia. Aboveground flush</t>
  </si>
  <si>
    <t>Plastic Pipe &gt; 0.15 to &lt;= 0.25 m dia. Aboveground flush</t>
  </si>
  <si>
    <t>Plastic Pipe &gt; 0.25 to &lt;= 0.5 m dia. Aboveground flush</t>
  </si>
  <si>
    <t>Plastic Pipe &gt; 0.5 to &lt;=1 m dia. Aboveground flush</t>
  </si>
  <si>
    <t>Plastic Pipe 0 to &lt;= 0.15 m dia. Buried flush</t>
  </si>
  <si>
    <t>Plastic Pipe &gt; 0.15 to &lt;= 0.25 m dia. Buried flush</t>
  </si>
  <si>
    <t>Plastic Pipe &gt; 0.25 to &lt;= 0.5 m dia. Buried flush</t>
  </si>
  <si>
    <t>Plastic Pipe &gt; 0.5 to &lt;= 1 m dia. Buried flush</t>
  </si>
  <si>
    <t>Plastic Pipe 0 to &lt;= 0.15 m dia. Aboveground cut cap</t>
  </si>
  <si>
    <t>Plastic Pipe &gt; 0.15 to &lt;= 0.25 m dia. Aboveground cut cap</t>
  </si>
  <si>
    <t>Plastic Pipe &gt; 0.25 to &lt;= 0.5 m dia. Aboveground cut cap</t>
  </si>
  <si>
    <t>Plastic Pipe &gt; 0.5 to &lt;=1 m dia. Aboveground cut cap</t>
  </si>
  <si>
    <t>Plastic Pipe 0 to &lt;= 0.15 m dia. Buried cut cap</t>
  </si>
  <si>
    <t>Plastic Pipe &gt; 0.15 to &lt;= 0.25 m dia. Buried cut cap</t>
  </si>
  <si>
    <t>Plastic Pipe &gt; 0.25 to &lt;= 0.5 m dia. Buried cut cap</t>
  </si>
  <si>
    <t>Plastic Pipe &gt; 0.5 to &lt;= 1 m dia. Buried cut cap</t>
  </si>
  <si>
    <t>Plastic Pipe 0 to &lt;= 0.15 m dia. Aboveground removal</t>
  </si>
  <si>
    <t>Plastic Pipe &gt; 0.15 to &lt;= 0.25 m dia. Aboveground removal</t>
  </si>
  <si>
    <t>Plastic Pipe &gt; 0.25 to &lt;= 0.5 m dia. Aboveground removal</t>
  </si>
  <si>
    <t>Plastic Pipe &gt; 0.5 to &lt;=1 m dia. Aboveground removal</t>
  </si>
  <si>
    <t>Plastic Pipe 0 to &lt;= 0.15 m dia. Buried removal</t>
  </si>
  <si>
    <t>Plastic Pipe &gt; 0.15 to &lt;= 0.25 m dia. Buried removal</t>
  </si>
  <si>
    <t>Plastic Pipe &gt; 0.25 to &lt;= 0.5 m dia. Buried removal</t>
  </si>
  <si>
    <t>Plastic Pipe &gt; 0.5 to &lt;= 1 m dia. Buried removal</t>
  </si>
  <si>
    <t xml:space="preserve"> &gt; 1 and &lt;= 3.5 ML, </t>
  </si>
  <si>
    <t xml:space="preserve"> &gt; 3.5 and &lt;= 7.5 ML, </t>
  </si>
  <si>
    <t xml:space="preserve"> &gt; 7.5 and &lt;= 10 ML, </t>
  </si>
  <si>
    <t xml:space="preserve"> &gt; 10 and &lt;= 20 ML, </t>
  </si>
  <si>
    <t xml:space="preserve"> &gt; 20 and &lt;= 50 ML, </t>
  </si>
  <si>
    <t xml:space="preserve"> &gt; 50 and &lt;= 100 ML, </t>
  </si>
  <si>
    <t xml:space="preserve"> &gt; 100 and &lt;= 200 ML, </t>
  </si>
  <si>
    <t xml:space="preserve"> &gt; 200 and &lt;= 300 ML, </t>
  </si>
  <si>
    <t xml:space="preserve"> &gt; 300 and &lt;= 500 ML, </t>
  </si>
  <si>
    <t xml:space="preserve"> &gt; 500 and &lt;= 1000 ML, </t>
  </si>
  <si>
    <t xml:space="preserve"> &gt; 1000 and &lt;= 2000 ML, </t>
  </si>
  <si>
    <t xml:space="preserve"> &gt; 2000 and &lt;= 3000 ML, </t>
  </si>
  <si>
    <t xml:space="preserve"> &gt; 3000 and &lt;= 4000 ML, </t>
  </si>
  <si>
    <t>Process &gt; 1 and &lt;= 3.5 ML, Pasture</t>
  </si>
  <si>
    <t>Process &gt; 3.5 and &lt;= 7.5 ML, Pasture</t>
  </si>
  <si>
    <t>Process &gt; 7.5 and &lt;= 10 ML, Pasture</t>
  </si>
  <si>
    <t>Process &gt; 10 and &lt;= 20 ML, Pasture</t>
  </si>
  <si>
    <t>Process &gt; 20 and &lt;= 50 ML, Pasture</t>
  </si>
  <si>
    <t>Process &gt; 100 and &lt;= 200 ML, Pasture</t>
  </si>
  <si>
    <t>Process &gt; 200 and &lt;= 300 ML, Pasture</t>
  </si>
  <si>
    <t>Process &gt; 300 and &lt;= 500 ML, Pasture</t>
  </si>
  <si>
    <t>Process &gt; 500 and &lt;= 1000 ML, Pasture</t>
  </si>
  <si>
    <t>Process &gt; 1000 and &lt;= 2000 ML, Pasture</t>
  </si>
  <si>
    <t>Process &gt; 2000 and &lt;= 3000 ML, Pasture</t>
  </si>
  <si>
    <t>Process &gt; 3000 and &lt;= 4000 ML, Pasture</t>
  </si>
  <si>
    <t>Process &gt; 1 and &lt;= 3.5 ML, Native</t>
  </si>
  <si>
    <t>Process &gt; 3.5 and &lt;= 7.5 ML, Native</t>
  </si>
  <si>
    <t>Process &gt; 7.5 and &lt;= 10 ML, Native</t>
  </si>
  <si>
    <t>Process &gt; 10 and &lt;= 20 ML, Native</t>
  </si>
  <si>
    <t>Process &gt; 20 and &lt;= 50 ML, Native</t>
  </si>
  <si>
    <t>Process &gt; 50 and &lt;= 100 ML, Native</t>
  </si>
  <si>
    <t>Process &gt; 100 and &lt;= 200 ML, Native</t>
  </si>
  <si>
    <t>Process &gt; 200 and &lt;= 300 ML, Native</t>
  </si>
  <si>
    <t>Process &gt; 300 and &lt;= 500 ML, Native</t>
  </si>
  <si>
    <t>Process &gt; 500 and &lt;= 1000 ML, Native</t>
  </si>
  <si>
    <t>Process &gt; 1000 and &lt;= 2000 ML, Native</t>
  </si>
  <si>
    <t>Process &gt; 2000 and &lt;= 3000 ML, Native</t>
  </si>
  <si>
    <t>Process &gt; 3000 and &lt;= 4000 ML, Native</t>
  </si>
  <si>
    <t>Process &gt; 1 and &lt;= 3.5 ML, Arid</t>
  </si>
  <si>
    <t>Process &gt; 3.5 and &lt;= 7.5 ML, Arid</t>
  </si>
  <si>
    <t>Process &gt; 7.5 and &lt;= 10 ML, Arid</t>
  </si>
  <si>
    <t>Process &gt; 10 and &lt;= 20 ML, Arid</t>
  </si>
  <si>
    <t>Process &gt; 20 and &lt;= 50 ML, Arid</t>
  </si>
  <si>
    <t>Process &gt; 50 and &lt;= 100 ML, Arid</t>
  </si>
  <si>
    <t>Process &gt; 100 and &lt;= 200 ML, Arid</t>
  </si>
  <si>
    <t>Process &gt; 200 and &lt;= 300 ML, Arid</t>
  </si>
  <si>
    <t>Process &gt; 300 and &lt;= 500 ML, Arid</t>
  </si>
  <si>
    <t>Process &gt; 500 and &lt;= 1000 ML, Arid</t>
  </si>
  <si>
    <t>Process &gt; 1000 and &lt;= 2000 ML, Arid</t>
  </si>
  <si>
    <t>Process &gt; 2000 and &lt;= 3000 ML, Arid</t>
  </si>
  <si>
    <t>Process &gt; 3000 and &lt;= 4000 ML, Arid</t>
  </si>
  <si>
    <t>Raw &gt; 1 and &lt;= 3.5 ML, Pasture</t>
  </si>
  <si>
    <t>Raw &gt; 3.5 and &lt;= 7.5 ML, Pasture</t>
  </si>
  <si>
    <t>Raw &gt; 7.5 and &lt;= 10 ML, Pasture</t>
  </si>
  <si>
    <t>Raw &gt; 10 and &lt;= 20 ML, Pasture</t>
  </si>
  <si>
    <t>Raw &gt; 20 and &lt;= 50 ML, Pasture</t>
  </si>
  <si>
    <t>Raw &gt; 50 and &lt;= 100 ML, Pasture</t>
  </si>
  <si>
    <t>Raw &gt; 100 and &lt;= 200 ML, Pasture</t>
  </si>
  <si>
    <t>Raw &gt; 200 and &lt;= 300 ML, Pasture</t>
  </si>
  <si>
    <t>Raw &gt; 300 and &lt;= 500 ML, Pasture</t>
  </si>
  <si>
    <t>Raw &gt; 500 and &lt;= 1000 ML, Pasture</t>
  </si>
  <si>
    <t>Raw &gt; 1000 and &lt;= 2000 ML, Pasture</t>
  </si>
  <si>
    <t>Raw &gt; 2000 and &lt;= 3000 ML, Pasture</t>
  </si>
  <si>
    <t>Raw &gt; 3000 and &lt;= 4000 ML, Pasture</t>
  </si>
  <si>
    <t>Raw &gt; 0 and &lt;= 1 ML, Native</t>
  </si>
  <si>
    <t>Raw &gt; 1 and &lt;= 3.5 ML, Native</t>
  </si>
  <si>
    <t>Raw &gt; 3.5 and &lt;= 7.5 ML, Native</t>
  </si>
  <si>
    <t>Raw &gt; 7.5 and &lt;= 10 ML, Native</t>
  </si>
  <si>
    <t>Raw &gt; 10 and &lt;= 20 ML, Native</t>
  </si>
  <si>
    <t>Raw &gt; 20 and &lt;= 50 ML, Native</t>
  </si>
  <si>
    <t>Raw &gt; 50 and &lt;= 100 ML, Native</t>
  </si>
  <si>
    <t>Raw &gt; 100 and &lt;= 200 ML, Native</t>
  </si>
  <si>
    <t>Raw &gt; 200 and &lt;= 300 ML, Native</t>
  </si>
  <si>
    <t>Raw &gt; 300 and &lt;= 500 ML, Native</t>
  </si>
  <si>
    <t>Raw &gt; 500 and &lt;= 1000 ML, Native</t>
  </si>
  <si>
    <t>Raw &gt; 1000 and &lt;= 2000 ML, Native</t>
  </si>
  <si>
    <t>Raw &gt; 2000 and &lt;= 3000 ML, Native</t>
  </si>
  <si>
    <t>Raw &gt; 3000 and &lt;= 4000 ML, Native</t>
  </si>
  <si>
    <t>Raw &gt; 4000 and &lt;= 5000 ML, Native</t>
  </si>
  <si>
    <t>Raw &gt; 0 and &lt;= 1 ML, Arid</t>
  </si>
  <si>
    <t>Raw &gt; 1 and &lt;= 3.5 ML, Arid</t>
  </si>
  <si>
    <t>Raw &gt; 3.5 and &lt;= 7.5 ML, Arid</t>
  </si>
  <si>
    <t>Raw &gt; 7.5 and &lt;= 10 ML, Arid</t>
  </si>
  <si>
    <t>Raw &gt; 10 and &lt;= 20 ML, Arid</t>
  </si>
  <si>
    <t>Raw &gt; 20 and &lt;= 50 ML, Arid</t>
  </si>
  <si>
    <t>Raw &gt; 50 and &lt;= 100 ML, Arid</t>
  </si>
  <si>
    <t>Raw &gt; 100 and &lt;= 200 ML, Arid</t>
  </si>
  <si>
    <t>Raw &gt; 200 and &lt;= 300 ML, Arid</t>
  </si>
  <si>
    <t>Raw &gt; 300 and &lt;= 500 ML, Arid</t>
  </si>
  <si>
    <t>Raw &gt; 500 and &lt;= 1000 ML, Arid</t>
  </si>
  <si>
    <t>Raw &gt; 1000 and &lt;= 2000 ML, Arid</t>
  </si>
  <si>
    <t>Raw &gt; 2000 and &lt;= 3000 ML, Arid</t>
  </si>
  <si>
    <t>Raw &gt; 3000 and &lt;= 4000 ML, Arid</t>
  </si>
  <si>
    <t>Raw &gt; 4000 and &lt;= 5000 ML, Arid</t>
  </si>
  <si>
    <t>Evaporation and other &gt; 0 and &lt;= 1 ML, Pasture</t>
  </si>
  <si>
    <t>Evaporation and other &gt; 1 and &lt;= 3.5 ML, Pasture</t>
  </si>
  <si>
    <t>Evaporation and other &gt; 3.5 and &lt;= 7.5 ML, Pasture</t>
  </si>
  <si>
    <t>Evaporation and other &gt; 7.5 and &lt;= 10 ML, Pasture</t>
  </si>
  <si>
    <t>Evaporation and other &gt; 10 and &lt;= 20 ML, Pasture</t>
  </si>
  <si>
    <t>Evaporation and other &gt; 20 and &lt;= 50 ML, Pasture</t>
  </si>
  <si>
    <t>Evaporation and other &gt; 50 and &lt;= 100 ML, Pasture</t>
  </si>
  <si>
    <t>Evaporation and other &gt; 100 and &lt;= 200 ML, Pasture</t>
  </si>
  <si>
    <t>Evaporation and other &gt; 200 and &lt;= 300 ML, Pasture</t>
  </si>
  <si>
    <t>Evaporation and other &gt; 300 and &lt;= 500 ML, Pasture</t>
  </si>
  <si>
    <t>Evaporation and other &gt; 500 and &lt;= 1000 ML, Pasture</t>
  </si>
  <si>
    <t>Evaporation and other &gt; 1000 and &lt;= 2000 ML, Pasture</t>
  </si>
  <si>
    <t>Evaporation and other &gt; 2000 and &lt;= 3000 ML, Pasture</t>
  </si>
  <si>
    <t>Evaporation and other &gt; 3000 and &lt;= 4000 ML, Pasture</t>
  </si>
  <si>
    <t>Evaporation and other &gt; 4000 and &lt;= 5000 ML, Pasture</t>
  </si>
  <si>
    <t>Evaporation and other &gt; 0 and &lt;= 1 ML, Native</t>
  </si>
  <si>
    <t>Evaporation and other &gt; 1 and &lt;= 3.5 ML, Native</t>
  </si>
  <si>
    <t>Evaporation and other &gt; 3.5 and &lt;= 7.5 ML, Native</t>
  </si>
  <si>
    <t>Evaporation and other &gt; 7.5 and &lt;= 10 ML, Native</t>
  </si>
  <si>
    <t>Evaporation and other &gt; 10 and &lt;= 20 ML, Native</t>
  </si>
  <si>
    <t>Evaporation and other &gt; 20 and &lt;= 50 ML, Native</t>
  </si>
  <si>
    <t>Evaporation and other &gt; 50 and &lt;= 100 ML, Native</t>
  </si>
  <si>
    <t>Evaporation and other &gt; 100 and &lt;= 200 ML, Native</t>
  </si>
  <si>
    <t>Evaporation and other &gt; 200 and &lt;= 300 ML, Native</t>
  </si>
  <si>
    <t>Evaporation and other &gt; 300 and &lt;= 500 ML, Native</t>
  </si>
  <si>
    <t>Evaporation and other &gt; 500 and &lt;= 1000 ML, Native</t>
  </si>
  <si>
    <t>Evaporation and other &gt; 1000 and &lt;= 2000 ML, Native</t>
  </si>
  <si>
    <t>Evaporation and other &gt; 2000 and &lt;= 3000 ML, Native</t>
  </si>
  <si>
    <t>Evaporation and other &gt; 3000 and &lt;= 4000 ML, Native</t>
  </si>
  <si>
    <t>Evaporation and other &gt; 4000 and &lt;= 5000 ML, Native</t>
  </si>
  <si>
    <t>Evaporation and other &gt; 1 and &lt;= 3.5 ML, Arid</t>
  </si>
  <si>
    <t>Evaporation and other &gt; 3.5 and &lt;= 7.5 ML, Arid</t>
  </si>
  <si>
    <t>Evaporation and other &gt; 7.5 and &lt;= 10 ML, Arid</t>
  </si>
  <si>
    <t>Evaporation and other &gt; 10 and &lt;= 20 ML, Arid</t>
  </si>
  <si>
    <t>Evaporation and other &gt; 20 and &lt;= 50 ML, Arid</t>
  </si>
  <si>
    <t>Evaporation and other &gt; 50 and &lt;= 100 ML, Arid</t>
  </si>
  <si>
    <t>Evaporation and other &gt; 100 and &lt;= 200 ML, Arid</t>
  </si>
  <si>
    <t>Evaporation and other &gt; 200 and &lt;= 300 ML, Arid</t>
  </si>
  <si>
    <t>Evaporation and other &gt; 300 and &lt;= 500 ML, Arid</t>
  </si>
  <si>
    <t>Evaporation and other &gt; 500 and &lt;= 1000 ML, Arid</t>
  </si>
  <si>
    <t>Evaporation and other &gt; 1000 and &lt;= 2000 ML, Arid</t>
  </si>
  <si>
    <t>Evaporation and other &gt; 2000 and &lt;= 3000 ML, Arid</t>
  </si>
  <si>
    <t>Evaporation and other &gt; 3000 and &lt;= 4000 ML, Arid</t>
  </si>
  <si>
    <t>Panel, Concrete, Open top, Earth, Lined, Single skin</t>
  </si>
  <si>
    <t>Rainwater, Plastic, Closed top, Plastic, Not lined, Single skin</t>
  </si>
  <si>
    <t>Vertical, Steel, Open top, Earth, Single skin, Lined, 0.6 ML</t>
  </si>
  <si>
    <t>Vertical, Steel, Open top, Earth, Single skin, Lined, 1 ML</t>
  </si>
  <si>
    <t>Vertical, Steel, Open top, Earth, Single skin, Lined, 3.5 ML</t>
  </si>
  <si>
    <t>Vertical, Steel, Open top, Earth, Single skin, Lined, 7 ML</t>
  </si>
  <si>
    <t>Vertical, Steel, Open top, Earth, Single skin, Lined, 8 ML</t>
  </si>
  <si>
    <t>Vertical, Steel, Open top, Earth, Single skin, Lined, 12 ML</t>
  </si>
  <si>
    <t>Concrete Ring, Steel, Open top, Earth, Single skin, Lined, 8 kL</t>
  </si>
  <si>
    <t>Horizontal, Steel, Closed top, Skid, Single skin, Not lined, 5 kL</t>
  </si>
  <si>
    <t>Horizontal, Steel, Closed top, Skid, Single skin, Not lined, 10 kL</t>
  </si>
  <si>
    <t>Horizontal, Steel, Closed top, Skid, Single skin, Not lined, 20 kL</t>
  </si>
  <si>
    <t>Horizontal, Steel, Closed top, Skid, Single skin, Not lined, 30 kL</t>
  </si>
  <si>
    <t>Horizontal, Steel, Closed top, Skid, Single skin, Not lined, 40 kL</t>
  </si>
  <si>
    <t>Horizontal, Steel, Closed top, Skid, Single skin, Not lined, 50 kL</t>
  </si>
  <si>
    <t>Horizontal, Steel, Closed top, Skid, Single skin, Not lined, 55 kL</t>
  </si>
  <si>
    <t>Horizontal, Steel, Closed top, Skid, Single skin, Not lined, 70 kL</t>
  </si>
  <si>
    <t>Horizontal, Steel, Closed top, Skid, Single skin, Not lined, 90 kL</t>
  </si>
  <si>
    <t>Vertical, Steel, Closed top, Steel, Single skin, Not lined, 200 kL</t>
  </si>
  <si>
    <t>Panel, Concrete, Open top, Earth, Single skin, Lined, 1.9 kL</t>
  </si>
  <si>
    <t>Panel, Concrete, Open top, Earth, Single skin, Lined, 3.6 kL</t>
  </si>
  <si>
    <t>Panel, Concrete, Open top, Earth, Single skin, Lined, 7.6 kL</t>
  </si>
  <si>
    <t>Panel, Concrete, Open top, Earth, Single skin, Lined, 12 kL</t>
  </si>
  <si>
    <t>Panel, Concrete, Open top, Earth, Single skin, Lined, 15.5 kL</t>
  </si>
  <si>
    <t>Panel, Concrete, Open top, Earth, Single skin, Lined, 25 kL</t>
  </si>
  <si>
    <t>Panel, Concrete, Open top, Earth, Single skin, Lined, 40 kL</t>
  </si>
  <si>
    <t>Rainwater, Plastic, Closed top, Plastic, Single skin, Not lined, 1.5 kL</t>
  </si>
  <si>
    <t>Rainwater, Plastic, Closed top, Plastic, Single skin, Not lined, 3 kL</t>
  </si>
  <si>
    <t>Rainwater, Plastic, Closed top, Plastic, Single skin, Not lined, 5 kL</t>
  </si>
  <si>
    <t>Rainwater, Plastic, Closed top, Plastic, Single skin, Not lined, 10 kL</t>
  </si>
  <si>
    <t>Rainwater, Plastic, Closed top, Plastic, Single skin, Not lined, 18.2 kL</t>
  </si>
  <si>
    <t xml:space="preserve">
Backfill costeans/sumps with removed material (to 1.5m). Rip. No allowance for seed. Add any area to be seeded to rates #1.31 and #1.32.
</t>
  </si>
  <si>
    <t xml:space="preserve">
Cap and seal open bore holes. No allowance for seed. Add any area to be seeded to rates #1.03 and #1.04.
</t>
  </si>
  <si>
    <t xml:space="preserve">
Allowance for purchase of pasture seed and hand casting.
</t>
  </si>
  <si>
    <t xml:space="preserve">
Allowance for purchase of native seed and hand casting.
</t>
  </si>
  <si>
    <t xml:space="preserve">
Suitable rock sourced from stockpile, includes load, haul and dump using medium fleet (CAT 777 or smaller). Includes fresh rock truck dumped. No allowance for seed. Add any area to be seeded to rates #1.31 and #1.32.
</t>
  </si>
  <si>
    <t xml:space="preserve">
Fencing and signage (5 strand x 12m high). Allows for purchase of signs and fencing material and installation.
</t>
  </si>
  <si>
    <t xml:space="preserve">
Source local material, cart and backfill (&gt;1000 m to &lt;=1500 m Rock) - small fleet. No allowance for seed. Add any area to be seeded to rates #1.31 and #1.32.
</t>
  </si>
  <si>
    <t xml:space="preserve">
Source local growth material (200mm GM) - small fleet. No allowance for seed. Add any area to be seeded to rates #1.31 and #1.32.
</t>
  </si>
  <si>
    <t xml:space="preserve">
Recontouring, rip and trim. Capillary break rock cover @ 0.6m thick. Clay cover, compacted @ 0.5m thick. Rock cover @ 1.5m thick. Spread growth media @ 0.15m thick (haulage &lt; 1km). No allowance for seed. Add any area to be seeded to rates #1.31 and #1.32.
</t>
  </si>
  <si>
    <t xml:space="preserve">
Recontouring, rip and trim. Working cover @ 0.5m thick. Capillary break rock cover @ 0.6m thick. Clay cover, compacted @ 0.5m thick. Rock cover @ 1.5m thick. Spread growth media @ 0.15m thick (haulage &lt; 1km). No allowance for seed. Add any area to be seeded to rates #1.31 and #1.32.
</t>
  </si>
  <si>
    <t xml:space="preserve">
Recontouring, rip and trim. Capillary break rock cover @ 0.6m thick. Clay cover, compacted @ 0.5m thick. Spread growth media @ 0.15m thick (haulage &lt; 1km). No allowance for seed. Add any area to be seeded to rates #1.31 and #1.32.
</t>
  </si>
  <si>
    <t xml:space="preserve">
Recontouring, rip and trim. No allowance for seed. Add any area to be seeded to rates #1.31 and #1.32.
</t>
  </si>
  <si>
    <t xml:space="preserve">
Shape, recontour, doze, rip and trim. No allowance for seed. Add any area to be seeded to rates    #1.31 and #1.32.
</t>
  </si>
  <si>
    <t xml:space="preserve">
Demolish equipment and remove footings. Excavate footprint area (to 0.3 m depth). Backfill (to 0.3m). Rip and trim with grader. Spread growth media @0.15m thick (haulage &lt; 1km). No allowance for seed. Add any area to be seeded to rates #1.31 and #1.32.
</t>
  </si>
  <si>
    <t xml:space="preserve">
Demolish equipment and remove footings. Reshape to establish drainage. Spread growth media @0.15 m thick (haulage &lt; 1km). No allowance for seed. Add any area to be seeded to rates #1.31 and #1.32.
</t>
  </si>
  <si>
    <t xml:space="preserve">
Reshape to establish drainage. Less intensive than above as mobile equipment. Spread growth media @0.15 m thick (haulage &lt; 1km). No allowance for seed. Add any area to be seeded to rates #1.31 and #1.32.
</t>
  </si>
  <si>
    <t xml:space="preserve">
Dismantle and remove all demountable buildings and associated infrastructure. No allowance for seed. Add any area to be seeded to rates #1.31 and #1.32.
</t>
  </si>
  <si>
    <t xml:space="preserve">
Shape and doze for drainage. Rip and trim. No allowance for seed. Add any area to be seeded to rates #1.31 and #1.32.
</t>
  </si>
  <si>
    <t xml:space="preserve">
Excavate footprint area (to 0.3m depth). Rip and trim. No allowance for seed. Add any area to be seeded to rates #1.31 and #1.32.
</t>
  </si>
  <si>
    <t xml:space="preserve">
Excavate footprint area (to 0.5m depth). Backfill (to 0.5m)Rip and trim.  No allowance for seed. Add any area to be seeded to rates #1.31 and #1.32.
</t>
  </si>
  <si>
    <t xml:space="preserve">
Remove, cut-up and dispose of steel and transport to yard. No allowance for seed as footprint of tanks are typically within larger areas. Add any area to be seeded to rates #1.31 and #1.32.
</t>
  </si>
  <si>
    <t xml:space="preserve">
Dispose at a suitable location. The input is the total length of core.
</t>
  </si>
  <si>
    <t xml:space="preserve">
Transport and dispose - distance to disposal assumed 250 km. Includes gate fee at facility. Add any area to be seeded to rates #1.31 and #1.32 If Waste Levy is applicable the mass entered to Eligible Mining Activities is automatically populated to the Waste Register.
</t>
  </si>
  <si>
    <t xml:space="preserve">
Rip up road base, shape for drainage (D9). Salvage growth media from road verge using grader. Rip and trim. Add any area to be seeded to rates #1.31 and #1.32.
</t>
  </si>
  <si>
    <t xml:space="preserve">
Cover up with dozer. Use soil from nearby. Assumes dozer push of 3 lifts of 0.5m.  Haul from nearby (up to 1000m) using loader and trucks and place. Add any area to be seeded to rates #1.31 and #1.32. D9R Dozer.
</t>
  </si>
  <si>
    <t xml:space="preserve">
Backfill shaft. Assumes 4.0m dia. backfill graded rock. Assumes screened suitable rock (1000m haulage from stockpile), fed into centre of shaft using CAT980 loader.
</t>
  </si>
  <si>
    <t xml:space="preserve">
Seal portal. Assumes height 6 m, width 6 m, length 50 m. Backfill with rock. Portal gate allowance $7700.
</t>
  </si>
  <si>
    <t xml:space="preserve">
Excavate contaminated sediment (up to 0.3m). Backfill. Recontour, rip and trim Spread growth media @ 0.15m thick (haulage &lt; 1km). No allowance for seeding. Add any area to be seeded to rates #1.31 and #1.32.
</t>
  </si>
  <si>
    <t xml:space="preserve">
Treatment of contaminated water. Rate allows for a ranges of treatment options such as salt and metals removal, organic treatment, and pH adjustment (minimum start pH 5.5 to minimum target pH 6.5). Allowance for pumping and establishment, O&amp;M. No allowance for seeding. Add any area to be seeded to rates #1.31 and #1.32.
</t>
  </si>
  <si>
    <t xml:space="preserve">
Backfill. Recontour, rip and trim. No allowance for seeding. Add any area to be seeded to rates #1.31 and #1.32.
</t>
  </si>
  <si>
    <t xml:space="preserve">
Direct seeding of non-native pasture grass species with the principal aim of returning the land to stable, sustainable grazing land use. Rate includes purchase of seed and fertiliser and application.
</t>
  </si>
  <si>
    <t xml:space="preserve">
Acquiring a diverse mix of native tree and shrub species appropriate for the area (including understorey), mixing and treating the seed (i.e. smoke and heat as required) and applying the seed at a rate between 4 - 10kg/ha (as applicable).Rate includes purchase of seed, and seedlings, and fertiliser and application. Seedling cost allows for the preparation, germination and propagation of “tube stock” seedling plants that are hand planted.
</t>
  </si>
  <si>
    <t xml:space="preserve">
Minor re-grading and seeding of pasture species using local material. Includes inspector and labourer, backhoe, allowance for seed, vehicle. Productivity of 10 km/day.
</t>
  </si>
  <si>
    <t xml:space="preserve">
Minor re-grading and seeding of native species using local material. Includes inspector and labourer, backhoe, allowance for seed, vehicle. Productivity of 10 km/day.
</t>
  </si>
  <si>
    <t xml:space="preserve">
Minor re-grading using local material. No seed. Includes inspector and labourer, backhoe, allowance for seed, vehicle. Productivity of 10 km/day.
</t>
  </si>
  <si>
    <t xml:space="preserve">
Rip area of track, reshape and replace with locally salvaged growth media at thickness 150 mm. Seed with Pasture species.  14M Grader.
</t>
  </si>
  <si>
    <t xml:space="preserve">
Rip area of track, reshape and replace with locally salvaged growth media at thickness 150mm. Seed with Native species. 14M Grader.
</t>
  </si>
  <si>
    <t xml:space="preserve">
Rip and reshape. No growth media required. 14M Grader.
</t>
  </si>
  <si>
    <t xml:space="preserve">
Rip area of track, reshape and replace with locally salvaged growth media at thickness 150mm. Seed with Pasture species. 14M Grader.
</t>
  </si>
  <si>
    <t xml:space="preserve">
Rip track area, reshape, replace with locally salvaged growth media and seed with pasture species.  Growth media thickness 150mm. 14M Grader.
</t>
  </si>
  <si>
    <t xml:space="preserve">
Rip track area, reshape, replace with locally salvaged growth media and seed with native species.  Growth media thickness 150mm. 14M Grader.
</t>
  </si>
  <si>
    <t xml:space="preserve">
Rip track area, reshape. No growth media or seed. 14M Grader.
</t>
  </si>
  <si>
    <t xml:space="preserve">
Includes 1 X labour and flatbed truck and allowance for seed.
</t>
  </si>
  <si>
    <t xml:space="preserve">
Includes 1 X labour, backhoe and flatbed truck and allowance for seed.
</t>
  </si>
  <si>
    <t xml:space="preserve">
Includes 1 X labour, backhoe and flatbed truck, and allowance for seed.
</t>
  </si>
  <si>
    <t xml:space="preserve">
Includes 1 X labour, backhoe and flatbed truck, grout and allowance for seed.
</t>
  </si>
  <si>
    <t xml:space="preserve">
Push in sides and grade with 12M grader supported by 2 labourers.
</t>
  </si>
  <si>
    <t xml:space="preserve">
Removal and disposal of sludge and liner, earthworks to fill dams in using berms. Land investigation included. Residual water and salt management not included (use separate rates if water / brine present). Replace growth media (locally sourced) and revegetate with pasture or native species (rates allows for either). Growth media thickness 150 mm. Liner cut at 5000 m2/h, roll liner at 150 m2/h. Waste transport distance assumed to be 250 km.
</t>
  </si>
  <si>
    <t xml:space="preserve">
Removal and disposal of sludge / sediment, earthworks to fill dams in using berms. Land investigation included. Residual water and salt management not included (use separate rates if water / brine present). Replace growth media (locally sourced) and revegetate with pasture or native species (rates allows for either). Growth media thickness 150 mm.
</t>
  </si>
  <si>
    <t xml:space="preserve">
Modules, buildings and equipment owned by a third-party and where the company submitting the ERC are only responsible for grade and seed of the area. Includes trimming area with a 14M grader and seeding with pasture species.
</t>
  </si>
  <si>
    <t xml:space="preserve">
Modules, buildings and equipment owned by a third-party and where the company submitting the ERC are only responsible for grade and seed of the area. Includes trimming area with a 14M grader and seeding with native species.
</t>
  </si>
  <si>
    <t xml:space="preserve">
Modules, buildings and equipment owned by a third-party and where the company submitting the ERC are only responsible for grade and seed of the area. Includes trimming area with a 14M grader. No seeding required.
</t>
  </si>
  <si>
    <t xml:space="preserve">
Disconnection of all services at building boundaries, physical cut at the distribution centre.(Water, electricity, gas etc. at point of attachment to site).
</t>
  </si>
  <si>
    <t xml:space="preserve">
Disconnection of all services at remote facilities that are fed separately from main supplies.
</t>
  </si>
  <si>
    <t xml:space="preserve">
Remove and dump rock cover to a depth of 150 mm within &gt;1500 m to &lt;=2000 m. Rip area of track, reshape and replace with locally salvaged growth media of thickness  150mm. Seed with Pasture species. 
</t>
  </si>
  <si>
    <t xml:space="preserve">
Remove and dump rock cover to a depth of 150 mm within &gt;1500 m to &lt;=2000 m. Rip area of track, reshape and replace with locally salvaged growth media of thickness 150mm. Seed with Native species. 
</t>
  </si>
  <si>
    <t xml:space="preserve">
Remove and dump rock cover to a depth of 150 mm within &gt;1500 m to &lt;=2000 m. Rip and reshape. No growth media required. 
</t>
  </si>
  <si>
    <t xml:space="preserve">
Remove, dump and replace rock cover to a depth of 150mm within &gt;1500 m to &lt;=2000 m. No seeding required as rock replaced.Small fleet including D9 and D10 dozers, 980M loader, 14M grader, 19 kL water truck.
</t>
  </si>
  <si>
    <t xml:space="preserve">
Remove and dump rock cover of thickness 150mm, rip area of track, reshape, replace with locally salvaged growth media of thickness 150 mm. Seed with pasture species. Small fleet including D9 and D10 dozers, 980M loader, 14M grader, 19 kL water truck.
</t>
  </si>
  <si>
    <t xml:space="preserve">
Remove and dump rock cover of thickness 150mm, rip area of track, reshape, replace with locally salvaged growth media of thickness 150 mm. Seed with native species. Small fleet including D9 and D10 dozers, 980M loader, 14M grader, 19 kL water truck.
</t>
  </si>
  <si>
    <t xml:space="preserve">
Remove and dump rock cover of thickness 150mm, rip area of track, reshape, replace with locally salvaged growth media of thickness  No growth media or seed. Small fleet including D9 and D10 dozers, 980M loader, 14M grader, 19 kL water truck.
</t>
  </si>
  <si>
    <t xml:space="preserve">
Remove gravel / rock surface, decompact, reshape and replace with mix of rock and growth media salvaged locally. Growth media thickness 150mm. Seed with pasture species. Small fleet including D9 and D10 dozers, 980M loader, 14M grader, 19 kL water truck.
</t>
  </si>
  <si>
    <t xml:space="preserve">
Remove gravel / rock surface, decompact, reshape and replace with mix of rock and growth media salvaged locally. Growth media thickness 150mm. Seed with native species. Small fleet including D9 and D10 dozers, 980M loader, 14M grader, 19 kL water truck.
</t>
  </si>
  <si>
    <t xml:space="preserve">
Remove gravel / rock surface, decompact, reshape. No growth media or seed required. Small fleet including D9 and D10 dozers, 980M loader, 14M grader, 19 kL water truck.
</t>
  </si>
  <si>
    <t xml:space="preserve">
Remove contaminated rock layer of thickness 250 mm, load and haul &gt;1500 m to &lt;=2000 m. Decompact and replace with mix of rock 'and growth media salvaged locally to thickness 150mm. Seeding with pasture species. Small fleet including D9 and D10 dozers, 980M loader, 14M grader, 19 kL water truck.
</t>
  </si>
  <si>
    <t xml:space="preserve">
Remove contaminated rock layer of thickness 250 mm, load and haul &gt;1500 m to &lt;=2000 m. Decompact and replace with mix of rock 'and growth media salvaged locally to thickness 150mm. Seeding with native species. Small fleet including D9 and D10 dozers, 980M loader, 14M grader, 19 kL water truck.
</t>
  </si>
  <si>
    <t xml:space="preserve">
Remove contaminated rock layer of thickness 250 mm, load and haul &gt;1500 m to &lt;=2000 m. Decompact. No growth media or seed required.  Small fleet including D9 and D10 dozers, 980M loader, 14M grader, 19 kL water truck.
</t>
  </si>
  <si>
    <t xml:space="preserve">
Remove all rock layer of thickness 500 mm, load and haul &gt;1500 m to &lt;=2000 m. Decompact and replace with mix of rock and growth media salvaged locally. Seeding with pasture species. Replacement thickness  150 mm. Small fleet including D9 and D10 dozers, 980M loader, 14M grader, 19 kL water truck.
</t>
  </si>
  <si>
    <t xml:space="preserve">
Remove all rock layer of thickness 500 mm, load and haul &gt;1500 m to &lt;=2000 m. Decompact and replace with mix of rock and growth media salvaged locally. Seeding with native species. Replacement thickness  150 mm. Small fleet including D9 and D10 dozers, 980M loader, 14M grader, 19 kL water truck.
</t>
  </si>
  <si>
    <t xml:space="preserve">
Remove all rock layer of thickness 500 mm, load and haul &gt;1500 m to &lt;=2000 m. Decompact and replace rock. Replacement thickness  150 mm. Small fleet including D9 and D10 dozers, 980M loader, 14M grader, 19 kL water truck.
</t>
  </si>
  <si>
    <t xml:space="preserve">
De-energise / make safe rail infrastructure, demolish and remove bridge supports/pylons/bridge structure, load and haul debris and dispose.
</t>
  </si>
  <si>
    <t xml:space="preserve">
Traffic management, demolish and remove bridge supports/pylons/bridge structure, load and haul debris and dispose.
</t>
  </si>
  <si>
    <t xml:space="preserve">
Protect water course, demolish and remove bridge supports/pylons/bridge structure, load and haul debris and dispose.
</t>
  </si>
  <si>
    <t xml:space="preserve">
Rip area of laydown, reshape, replace with locally salvaged growth media and seed with pasture species. Growth media thickness 150 mm. 14M Grader
</t>
  </si>
  <si>
    <t xml:space="preserve">
Rip area of laydown, reshape, replace with locally salvaged growth media and seed with native species. Growth media thickness 150 mm. 14M Grader
</t>
  </si>
  <si>
    <t xml:space="preserve">
Rip area of laydown, reshape. No growth media or seed. 14M Grader
</t>
  </si>
  <si>
    <t xml:space="preserve">
Remove rock cover of thickness of 150 mm and load and haul &gt;2000 m to &lt;=2500 m. Rip area of laydown, reshape, replace with locally salvaged growth media of thickness 150 mm. Seed with Pasture species. 14M Grader, and D9R Dozer.
</t>
  </si>
  <si>
    <t xml:space="preserve">
Remove rock cover of thickness of 150 mm and load and haul &gt;2000 m to &lt;=2500 m. Rip area of laydown, reshape, replace with locally salvaged growth media of thickness 150 mm. Seed with Native species. 14M Grader, and D9R Dozer.
</t>
  </si>
  <si>
    <t xml:space="preserve">
Remove rock cover of thickness of 150 mm and load and haul &gt;2000 m to &lt;=2500 m Rip area of laydown, reshape. No growth media of seed. 14M Grader, and D9R Dozer.
</t>
  </si>
  <si>
    <t xml:space="preserve">
Push in sides to lessen slope, source, haul, place and spread growth media to thickness 150 mm. Place pasture seed. D10T Dozer
</t>
  </si>
  <si>
    <t xml:space="preserve">
Push in sides to lessen slope, source, haul, place and spread growth media to thickness 150 mm. Place native seed. D10T Dozer
</t>
  </si>
  <si>
    <t xml:space="preserve">
Push in sides to lessen slope. Rip. No growth media or seed.  D10T Dozer
</t>
  </si>
  <si>
    <t xml:space="preserve">
Pipe is flushed, cut and capped and removed. Air purging with 8 exchanges. Crew and equipment includes Mechanical fitter, Pump Truck / Tanker, Air Compressor + tools. Allowance for disposal of minor liquid generated.
</t>
  </si>
  <si>
    <t xml:space="preserve">
Pipe is flushed, cut and capped and removed. Air purging with 8 exchanges.Mechanical fitter, Pump Truck / Tanker, Air Compressor + tools. Allowance for disposal of minor liquid generated.
</t>
  </si>
  <si>
    <t xml:space="preserve">
Pipe is flushed, cut and capped and removed. Includes backfill. Includes 1 x Supervisor, 1 x medium size backhoe + operator, 1 x labourer, 1 x HIAB Truck + operator (including cutting tools and equipment). Assumes 200m per day.
</t>
  </si>
  <si>
    <t xml:space="preserve">
Electrical and mechanical disconnection, crane to lift to truck and transport to storage location at distance 250 km.
</t>
  </si>
  <si>
    <t xml:space="preserve">
Empty contents, electrical and mechanical disconnection of building, remove steel roof and structure and cut-up, demolish brick walls and concrete slab, load and haul steel, concrete and  waste and transport to storage / scrap yard / waste facility. Distance to concrete and waste disposal is 250 km. Distance to scrapyard is 250 km. Waste levy is automatically added separately if levy applies. Small buildings are small offices, pump rooms, small stores and similar. The rate is based on a footprint of 50 square metres but rate can be used for smaller or larger footprints if the buildings are of the type listed or similar.
</t>
  </si>
  <si>
    <t xml:space="preserve">
Empty contents, electrical and mechanical disconnection of building, remove steel roof and structure and cut-up, demolish brick walls and concrete slab, load and haul steel, concrete and  waste to storage / scrap yard / waste facility. Distance to concrete and waste disposal is 250 km. Distance to scrapyard is 250 km. Waste levy is automatically added separately if levy applies. Large buildings are large permanent office blocks / control rooms and similar. The rate is based on a footprint of 2000 square metres but rate can be used for smaller or larger footprints if the buildings are of the type listed or similar.
</t>
  </si>
  <si>
    <t xml:space="preserve">
Empty contents, electrical and mechanical disconnection of building, remove steel roof and wall cladding and structure and cut-up, demolish concrete slab, load and haul steel, concrete and waste and dispose. Distance to concrete and waste disposal is 250 km. Distance to scrapyard is 250 km. Waste levy is automatically added separately if levy applies. Includes warehouse and workshops and similar. The rate is based on a footprint of 900 square metres but rate can be used for smaller or larger footprints if the buildings are of the type listed or similar.
</t>
  </si>
  <si>
    <t xml:space="preserve">
Empty contents, electrical and mechanical disconnection of building, remove steel roof and wall cladding and structure and cut-up, demolish concrete slab, load and haul steel, concrete and waste and dispose. Distance to concrete and waste disposal is 250 km. Distance to scrapyard is 250 km. Waste levy is automatically added separately if levy applies. Includes small buildings such as pump houses, small stores and similar. The rate is based on a footprint of 50 square metres but rate can be used for smaller or larger footprints if the buildings are of the type listed or similar.
</t>
  </si>
  <si>
    <t xml:space="preserve">
Empty contents, electrical and mechanical disconnection of building, remove steel roof and wall cladding and structure and cut-up, demolish concrete slab, load and haul steel, concrete and waste and dispose. Distance to concrete and waste disposal is 250 km. Distance to scrapyard is 250 km. Waste levy is automatically added separately if levy applies. Includes warehouses and workshops and similar. The rate is based on a footprint of 2000 square metres but rate can be used for smaller or larger footprints if the buildings are of the type listed or similar.
</t>
  </si>
  <si>
    <t xml:space="preserve">
Electrical and mechanical disconnection of 5 accommodation modules, 1 mess modules, 1 laundry modules, 0 recreational modules. Removal of 0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0.11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</si>
  <si>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13 accommodation modules, 1 mess modules, 1 laundry modules, 0 recreational modules. Removal of 0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0.16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</si>
  <si>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25 accommodation modules, 1 mess modules, 1 laundry modules, 0 recreational modules. Removal of 1000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0.22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</si>
  <si>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38 accommodation modules, 1 mess modules, 1 laundry modules, 1 recreational modules. Removal of 1512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0.33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</si>
  <si>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50 accommodation modules, 1 mess modules, 1 laundry modules, 1 recreational modules. Removal of 1800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0.4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</si>
  <si>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63 accommodation modules, 2 mess modules, 2 laundry modules, 1 recreational modules. Removal of 2512 square metres of concrete and/or asphalt and/or gravel. Transport of modules to storage area at distance 250 km. Load and haul concrete and waste to facility at distance 250km. Load and haul steel and electrical to scrapyard at distance 250 km. Allowance of 12 kL of liquid disposed to a facility located at distance 250 km.Grade and seed of 0.55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</si>
  <si>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75 accommodation modules, 2 mess modules, 2 laundry modules, 1 recreational modules. Removal of 2800 square metres of concrete and/or asphalt and/or gravel. Transport of modules to storage area at distance 250 km. Load and haul concrete and waste to facility at distance 250km. Load and haul steel and electrical to scrapyard at distance 250 km. Allowance of 12 kL of liquid disposed to a facility located at distance 250 km.Grade and seed of 0.62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</si>
  <si>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100 accommodation modules, 2 mess modules, 2 laundry modules, 1 recreational modules. Removal of 3400 square metres of concrete and/or asphalt and/or gravel. Transport of modules to storage area at distance 250 km. Load and haul concrete and waste to facility at distance 250km. Load and haul steel and electrical to scrapyard at distance 250 km. Allowance of 12 kL of liquid disposed to a facility located at distance 250 km.Grade and seed of 0.75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</si>
  <si>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125 accommodation modules, 3 mess modules, 3 laundry modules, 1 recreational modules. Removal of 4400 square metres of concrete and/or asphalt and/or gravel. Transport of modules to storage area at distance 250 km. Load and haul concrete and waste to facility at distance 250km. Load and haul steel and electrical to scrapyard at distance 250 km. Allowance of 18 kL of liquid disposed to a facility located at distance 250 km.Grade and seed of 0.97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</si>
  <si>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188 accommodation modules, 4 mess modules, 4 laundry modules, 1 recreational modules. Removal of 6312 square metres of concrete and/or asphalt and/or gravel. Transport of modules to storage area at distance 250 km. Load and haul concrete and waste to facility at distance 250km. Load and haul steel and electrical to scrapyard at distance 250 km. Allowance of 24 kL of liquid disposed to a facility located at distance 250 km.Grade and seed of 1.39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</si>
  <si>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250 accommodation modules, 5 mess modules, 5 laundry modules, 1 recreational modules. Removal of 8200 square metres of concrete and/or asphalt and/or gravel. Transport of modules to storage area at distance 250 km. Load and haul concrete and waste to facility at distance 250km. Load and haul steel and electrical to scrapyard at distance 250 km. Allowance of 30 kL of liquid disposed to a facility located at distance 250 km.Grade and seed of 1.8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</si>
  <si>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500 accommodation modules, 10 mess modules, 10 laundry modules, 1 recreational modules. Removal of 16200 square metres of concrete and/or asphalt and/or gravel. Transport of modules to storage area at distance 250 km. Load and haul concrete and waste to facility at distance 250km. Load and haul steel and electrical to scrapyard at distance 250 km. Allowance of 60 kL of liquid disposed to a facility located at distance 250 km.Grade and seed of 3.56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</si>
  <si>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750 accommodation modules, 15 mess modules, 15 laundry modules, 1 recreational modules. Removal of 24200 square metres of concrete and/or asphalt and/or gravel. Transport of modules to storage area at distance 250 km. Load and haul concrete and waste to facility at distance 250km. Load and haul steel and electrical to scrapyard at distance 250 km. Allowance of 90 kL of liquid disposed to a facility located at distance 250 km.Grade and seed of 5.32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</si>
  <si>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1000 accommodation modules, 20 mess modules, 20 laundry modules, 1 recreational modules. Removal of 32200 square metres of concrete and/or asphalt and/or gravel. Transport of modules to storage area at distance 250 km. Load and haul concrete and waste to facility at distance 250km. Load and haul steel and electrical to scrapyard at distance 250 km. Allowance of 120 kL of liquid disposed to a facility located at distance 250 km.Grade and seed of 7.08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</si>
  <si>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1250 accommodation modules, 25 mess modules, 25 laundry modules, 1 recreational modules. Removal of 40200 square metres of concrete and/or asphalt and/or gravel. Transport of modules to storage area at distance 250 km. Load and haul concrete and waste to facility at distance 250km. Load and haul steel and electrical to scrapyard at distance 250 km. Allowance of 150 kL of liquid disposed to a facility located at distance 250 km.Grade and seed of 8.84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</si>
  <si>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7 accommodation modules, 1 mess modules, 1 laundry modules, 0 recreational modules. Removal of 1136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0.19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</si>
  <si>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17 accommodation modules, 1 mess modules, 1 laundry modules, 0 recreational modules. Removal of 1616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0.27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</si>
  <si>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34 accommodation modules, 1 mess modules, 1 laundry modules, 1 recreational modules. Removal of 2832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0.47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</si>
  <si>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50 accommodation modules, 1 mess modules, 1 laundry modules, 2 recreational modules. Removal of 4000 square metres of concrete and/or asphalt and/or gravel. Transport of modules to storage area at distance 250 km. Load and haul concrete and waste to facility at distance 250km. Load and haul steel and electrical to scrapyard at distance 250 km. Allowance of 6 kL of liquid disposed to a facility located at distance 250 km.Grade and seed of 0.66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</si>
  <si>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67 accommodation modules, 1 mess modules, 2 laundry modules, 2 recreational modules. Removal of 5216 square metres of concrete and/or asphalt and/or gravel. Transport of modules to storage area at distance 250 km. Load and haul concrete and waste to facility at distance 250km. Load and haul steel and electrical to scrapyard at distance 250 km. Allowance of 7 kL of liquid disposed to a facility located at distance 250 km.Grade and seed of 0.86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</si>
  <si>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84 accommodation modules, 2 mess modules, 2 laundry modules, 2 recreational modules. Removal of 6432 square metres of concrete and/or asphalt and/or gravel. Transport of modules to storage area at distance 250 km. Load and haul concrete and waste to facility at distance 250km. Load and haul steel and electrical to scrapyard at distance 250 km. Allowance of 12 kL of liquid disposed to a facility located at distance 250 km.Grade and seed of 1.06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</si>
  <si>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100 accommodation modules, 2 mess modules, 2 laundry modules, 2 recreational modules. Removal of 7200 square metres of concrete and/or asphalt and/or gravel. Transport of modules to storage area at distance 250 km. Load and haul concrete and waste to facility at distance 250km. Load and haul steel and electrical to scrapyard at distance 250 km. Allowance of 12 kL of liquid disposed to a facility located at distance 250 km.Grade and seed of 1.19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</si>
  <si>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134 accommodation modules, 2 mess modules, 3 laundry modules, 2 recreational modules. Removal of 9232 square metres of concrete and/or asphalt and/or gravel. Transport of modules to storage area at distance 250 km. Load and haul concrete and waste to facility at distance 250km. Load and haul steel and electrical to scrapyard at distance 250 km. Allowance of 13 kL of liquid disposed to a facility located at distance 250 km.Grade and seed of 1.52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</si>
  <si>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167 accommodation modules, 3 mess modules, 4 laundry modules, 2 recreational modules. Removal of 11616 square metres of concrete and/or asphalt and/or gravel. Transport of modules to storage area at distance 250 km. Load and haul concrete and waste to facility at distance 250km. Load and haul steel and electrical to scrapyard at distance 250 km. Allowance of 19 kL of liquid disposed to a facility located at distance 250 km.Grade and seed of 1.92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</si>
  <si>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250 accommodation modules, 4 mess modules, 5 laundry modules, 2 recreational modules. Removal of 8200 square metres of concrete and/or asphalt and/or gravel. Transport of modules to storage area at distance 250 km. Load and haul concrete and waste to facility at distance 250km. Load and haul steel and electrical to scrapyard at distance 250 km. Allowance of 25 kL of liquid disposed to a facility located at distance 250 km.Grade and seed of 1.8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</si>
  <si>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334 accommodation modules, 5 mess modules, 7 laundry modules, 2 recreational modules. Removal of 10816 square metres of concrete and/or asphalt and/or gravel. Transport of modules to storage area at distance 250 km. Load and haul concrete and waste to facility at distance 250km. Load and haul steel and electrical to scrapyard at distance 250 km. Allowance of 32 kL of liquid disposed to a facility located at distance 250 km.Grade and seed of 2.38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</si>
  <si>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667 accommodation modules, 10 mess modules, 14 laundry modules, 2 recreational modules. Removal of 21208 square metres of concrete and/or asphalt and/or gravel. Transport of modules to storage area at distance 250 km. Load and haul concrete and waste to facility at distance 250km. Load and haul steel and electrical to scrapyard at distance 250 km. Allowance of 64 kL of liquid disposed to a facility located at distance 250 km.Grade and seed of 4.67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</si>
  <si>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1000 accommodation modules, 15 mess modules, 20 laundry modules, 2 recreational modules. Removal of 31400 square metres of concrete and/or asphalt and/or gravel. Transport of modules to storage area at distance 250 km. Load and haul concrete and waste to facility at distance 250km. Load and haul steel and electrical to scrapyard at distance 250 km. Allowance of 95 kL of liquid disposed to a facility located at distance 250 km.Grade and seed of 6.91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</si>
  <si>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1334 accommodation modules, 20 mess modules, 27 laundry modules, 2 recreational modules. Removal of 41816 square metres of concrete and/or asphalt and/or gravel. Transport of modules to storage area at distance 250 km. Load and haul concrete and waste to facility at distance 250km. Load and haul steel and electrical to scrapyard at distance 250 km. Allowance of 127 kL of liquid disposed to a facility located at distance 250 km.Grade and seed of 9.2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</si>
  <si>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of 1667 accommodation modules, 25 mess modules, 34 laundry modules, 2 recreational modules. Removal of 52208 square metres of concrete and/or asphalt and/or gravel. Transport of modules to storage area at distance 250 km. Load and haul concrete and waste to facility at distance 250km. Load and haul steel and electrical to scrapyard at distance 250 km. Allowance of 159 kL of liquid disposed to a facility located at distance 250 km.Grade and seed of 11.49 ha of land with seed pasture or native. All activities reasonably expected to occur at a camp (including minor fuel systems (for light vehicles), sewage plants, irrigation areas) are assumed included in the rate and do not need to be entered as separate items. The primary difference between a temporary and permanent camp is the assumed quantity of hardstand. Exceptions are contaminated land investigations which will only be required if a major fuelling system (more than a small tank) is at the camp and any dams / ponds (add separately if these are present).
</t>
  </si>
  <si>
    <t xml:space="preserve">
Electrical and mechanical disconnection, cut legs and pull tower over, transport electronics and steel off-site to site 250km away, demolish 4 concrete footings, each of area 3.1square metres and depth 3m, load and haul concrete to disposal site 250km away. Source growth media and place at thickness 150 mm. Seed in pasture or native (rate accounts for either).
</t>
  </si>
  <si>
    <t xml:space="preserve">
De-energisation by power company; disconnect, cut and load cable to trucks for transport to scrap-yard (no scrap off-set); cut legs and pull over tower; demolish footings and remove off-site. No easement rehabilitation required as minimal disturbance and natural regrowth will occur. Span between poles 140 m. Distance to scrap yard 250 km. Fleet includes 330F Excavator, S340 (fits 320/325/330) Shears, Elevated work platform and 2 Electrician. Waste levy, if applicable, applied separately in Waste Register.
</t>
  </si>
  <si>
    <t xml:space="preserve">
De-energisation by power company; disconnect, cut and load cable to trucks for transport to scrap-yard (no scrap off-set); cut legs and pull over tower; demolish footings and remove off-site. No easement rehabilitation required as minimal disturbance and natural regrowth will occur. Pole loading rate of 20 poles per load. Span between poles 140 m, transport wood to local yard. Fleet includes 330F Excavator, S340 (fits 320/325/330) Shears, Elevated work platform, 2 Electrician, Chain saw, and Flatbed Truck.
</t>
  </si>
  <si>
    <t xml:space="preserve">
De-energisation by power company; disconnect, cut and load cable to trucks for transport to scrap-yard (no scrap off-set); cut legs and pull over tower; demolish footings and remove off-site. No easement rehabilitation required as minimal disturbance and natural regrowth will occur.
</t>
  </si>
  <si>
    <t xml:space="preserve">
Demolish and/or remove substations in an enclosed building. Simple structure to demolish, assumes single story building.
</t>
  </si>
  <si>
    <t xml:space="preserve">
Decommission, remove, demolish. Includes all switchgear and transformers etc. Does not include decontamination, removal of oil or land rehabilitation.
</t>
  </si>
  <si>
    <t xml:space="preserve">
Includes the pulling up and removal of railway line and sleepers and removal and disposal of ballast. Does not include any land rehabilitation.
</t>
  </si>
  <si>
    <t xml:space="preserve">
Demolition and disposal of bins. Does not include removal/disposal of contents or land rehabilitation
</t>
  </si>
  <si>
    <t xml:space="preserve">
Demolition and disposal of facilities. Does not include bins/hoppers or land rehabilitation.
</t>
  </si>
  <si>
    <t xml:space="preserve">
Cover up with dozer. Use soil from nearby.  Assumes dozer push 3 lifts of 0.5 m.  Haul from nearby (up to 1000m) using loader and trucks and place.
</t>
  </si>
  <si>
    <t xml:space="preserve">
Electrical and mechanical disconnection of tanks and pump sets, demolish / dispose or remove transport tanks and equipment, growth media, rip, seed land. Allowance for transport and apply to land residual solids.
</t>
  </si>
  <si>
    <t xml:space="preserve">
Electrical and mechanical disconnection, load and transport containers to storage.  Grade and seed assumed covered under Process Plant or other large scale elements.
</t>
  </si>
  <si>
    <t xml:space="preserve">
Electrical and mechanical disconnection, allowance for residual liquid disposal to pit or dam, removal of pump set and transport for storage, dismantling of steel and transport to scrap facility, demolition and disposal of concrete in pad and sump.  Grade and seed assumed covered under Process Plant or other large scale elements.
</t>
  </si>
  <si>
    <t xml:space="preserve">
Electrical and mechanical disconnection, allowance for residual liquid disposal to pit or dam, removal of pump set and transport for storage, dismantle of steel and transport to scrap facility, demolition and disposal of concrete in pad and sump.  Grade and seed assumed covered under Process Plant or other large scale elements.
</t>
  </si>
  <si>
    <t xml:space="preserve">
Electrical and mechanical disconnection, removal of pump set and transport for storage, dismantle of steel and transport to scrap facility.  Grade and seed assumed covered under Process Plant or other large scale elements.
</t>
  </si>
  <si>
    <t xml:space="preserve">
Electrical and mechanical disconnection, removal of pumps and transport for storage, dismantle of steel and transport to scrap facility, allowance for asphalt hardstand. Grade and seed assumed covered under Process Plant or other large scale elements.
</t>
  </si>
  <si>
    <t xml:space="preserve">
Electrical and mechanical disconnection, allowance for residual liquid disposal to pit or dam, demolition and disposal of concrete in pad and sump.  Grade and seed assumed covered under Process Plant or other large scale elements.
</t>
  </si>
  <si>
    <t xml:space="preserve">
Rip up, load and haul and dump in void on-site.
</t>
  </si>
  <si>
    <t xml:space="preserve">
Assumes increased thickness for airstrip.
</t>
  </si>
  <si>
    <t xml:space="preserve">
Breaking up slab and loading into void or crushing area for conversion to road aggregate.
</t>
  </si>
  <si>
    <t xml:space="preserve">
Does not include haulage of materials - assumes crushing plant is readily available.
</t>
  </si>
  <si>
    <t xml:space="preserve">
Allowance
</t>
  </si>
  <si>
    <t xml:space="preserve">
Allowance. No climb fence designed to prevent humans entering the area.
</t>
  </si>
  <si>
    <t xml:space="preserve">
Allowance. Low fence designed to keep stock out of area.
</t>
  </si>
  <si>
    <t xml:space="preserve">
Doze and shape with D10T Dozer (average push 20 m) to create natural  drainage, earthworks, final trim and deep rip with 14M grader, seed (pasture).
</t>
  </si>
  <si>
    <t xml:space="preserve">
Shape with 14M grader .
</t>
  </si>
  <si>
    <t xml:space="preserve">
Electrical and mechanical disconnection of tanks and pumps, cut-up tank steel and piping. Cut and remove liner. Transport of waste to disposal facility. Replace locally sourced growth media, grade, and revegetate (rate assumes 50:50 native and pasture species).
</t>
  </si>
  <si>
    <t xml:space="preserve">
Electrical and mechanical disconnection of tanks and pumps, cut-up tank steel and piping. Cut and remove liner. Break up and dispose concrete ring. Transport of waste to disposal facility. Replace locally sourced growth media, grade, and revegetate (rate assumes 50:50 native and pasture species).
</t>
  </si>
  <si>
    <t xml:space="preserve">
Electrical and mechanical disconnection of tanks and pumps, cut-up tank steel and piping. Transport of waste to disposal facility. Replace locally sourced growth media, grade, and revegetate (rate assumes 50:50 native and pasture species).
</t>
  </si>
  <si>
    <t xml:space="preserve">
Electrical and mechanical disconnection of tanks and pumps, cut-up tank steel cable and posts, remove concrete panels and dispose, cut and remove liner. Transport of waste to disposal facility. Replace locally sourced growth media, grade, and revegetate (rate assumes 50:50 native and pasture species).
</t>
  </si>
  <si>
    <t xml:space="preserve">
Electrical and mechanical disconnection of tanks and pumps. Transport for storage.
</t>
  </si>
  <si>
    <t xml:space="preserve">
Includes disconnection of services, removal of any liquids or chemicals prior to demolition, dismantling major components, demolition (e.g. collapsing tanks and shearing tank steel, breaking concrete pads and footings), removing skids, allowance for asbestos removal where required, load and haul of concrete, steel and other waste and disposal at waste facility. Equipment typically includes 200 t high reach, 35 t and 28 t excavators with shears, telehandler, 40 t dump truck, water truck, asbestos removal and allowance for structural and geotech engineering. The rates are for scrapping, i.e they do not cover the situation whereby an item is dismantled for reuse at another site.
</t>
  </si>
  <si>
    <t xml:space="preserve">
Complete removal of concrete structure and local disposal.
</t>
  </si>
  <si>
    <t xml:space="preserve">
Note these rates are higher than scrapping rates.
</t>
  </si>
  <si>
    <t xml:space="preserve">
Tanks are assumed to be clean. Add quantities to sludge / other section if this is an unreasonable assumption.
</t>
  </si>
  <si>
    <t xml:space="preserve">
Tanks are assumed to be clean. Add quantities to sludge / other section if this is an unreasonable assumption. Tanks &lt;= 5000 L that can be transported whole on a flat-bed truck.
</t>
  </si>
  <si>
    <t xml:space="preserve">
Includes allowance for explosives charge and blast modelling and hydrocarbon removal. Includes load, haul, and dispose of scrap and wastes.
</t>
  </si>
  <si>
    <t xml:space="preserve">
Make safe and minor earthworks. This allows for 1 x excavator and 3 x artic trucks for cleaning to spoil locations for 1 day: 2000 m3 of material removed.
</t>
  </si>
  <si>
    <t xml:space="preserve">
Make safe and minor earthworks. Provisional sum for earthworks and revegetation required to rehabilitate dam batters etc. suitable for re-use by an alternate land-user - D6 Dozer @$150 per hour and pasture grass.
</t>
  </si>
  <si>
    <t xml:space="preserve">
Process dam (assumed Lined). Removal and disposal of sludge and liner, earthworks to fill dams in using berms. Land investigation included. Residual water and salt management included in separate rates. Replace growth media (locally sourced) and revegetate with Pasture species. Liner cut at 5000 m2/h, roll liner at 150 m2/h.
If unlined, use equivalent Evaporation rate, or the equivalent Unlined by area rate.
</t>
  </si>
  <si>
    <t xml:space="preserve">
Process dam (assumed Lined). Removal and disposal of sludge and liner, earthworks to fill dams in using berms. Land investigation included. Residual water and salt management included in separate rates. Replace growth media (locally sourced) and revegetate with Native species. Liner cut at 5000 m2/h, roll liner at 150 m2/h.
If unlined, use equivalent Evaporation rate, or the equivalent Unlined by area rate.
</t>
  </si>
  <si>
    <t xml:space="preserve">
Process dam (assumed Lined). Removal and disposal of sludge and liner, earthworks to fill dams in using berms. Land investigation included. Residual water and salt management included in separate rates. No growth media or revegetation as arid environment. Liner cut at 5000 m2/h, roll liner at 150 m2/h.
If unlined, use equivalent Evaporation rate, or the equivalent Unlined by area rate.
</t>
  </si>
  <si>
    <t xml:space="preserve">
Raw dam (assumed Lined). Removal and disposal of sludge and liner, earthworks to fill dams in using berms. Land investigation included. Residual water and salt management included in separate rates. Replace growth media (locally sourced) and revegetate with Pasture species. Liner cut at 5000 m2/h, roll liner at 150 m2/h.
If unlined, use equivalent Evaporation rate, or the equivalent Unlined by area rate.
</t>
  </si>
  <si>
    <t xml:space="preserve">
Raw dam (assumed Lined). Removal and disposal of sludge and liner, earthworks to fill dams in using berms. Land investigation included. Residual water and salt management included in separate rates. Replace growth media (locally sourced) and revegetate with Native species. Liner cut at 5000 m2/h, roll liner at 150 m2/h.
If unlined, use equivalent Evaporation rate, or the equivalent Unlined by area rate.
</t>
  </si>
  <si>
    <t xml:space="preserve">
Raw dam (assumed Lined). Removal and disposal of sludge and liner, earthworks to fill dams in using berms. Land investigation included. Residual water and salt management included in separate rates. No growth media or revegetation as arid environment. Liner cut at 5000 m2/h, roll liner at 150 m2/h.
If unlined, use equivalent Evaporation rate, or the equivalent Unlined by area rate.
</t>
  </si>
  <si>
    <t xml:space="preserve">
Evaporation and other dam (assumed Unlined). Removal and disposal of sludge and liner, earthworks to fill dams in using berms. Land investigation included. Residual water and salt management included in separate rates. Replace growth media (locally sourced) and revegetate with Pasture species.
</t>
  </si>
  <si>
    <t xml:space="preserve">
Evaporation and other dam (assumed Unlined). Earthworks to fill dams in using berms. Land investigation included. Residual water and salt management included in separate rates. Replace growth media (locally sourced) and revegetate with Pasture species.
</t>
  </si>
  <si>
    <t xml:space="preserve">
Evaporation and other dam (assumed Unlined). Earthworks to fill dams in using berms. Land investigation included. Residual water and salt management included in separate rates. Replace growth media (locally sourced) and revegetate with Native species.
</t>
  </si>
  <si>
    <t xml:space="preserve">
Evaporation and other dam (assumed Unlined). Earthworks to fill dams in using berms. Land investigation included. Residual water and salt management included in separate rates. No growth media or revegetation as arid environment.
</t>
  </si>
  <si>
    <t xml:space="preserve">
Lined dam. Removal and disposal of sludge and liner, earthworks to fill dams in using berms. Land investigation included. Residual water and salt management included in separate rates. Replace growth media (locally sourced) and revegetate (rate assumes average of native, pasture and no vegetation (arid).  Liner cut at 5000 m2/h, roll liner at 150 m2/h.
</t>
  </si>
  <si>
    <t xml:space="preserve">
Lined dam. Earthworks to fill dams in using berms. Land investigation included. Residual water and salt management included in separate rates. Replace growth media (locally sourced) and revegetate (rate assumes average of native, pasture and no vegetation (arid).  Liner cut at 5000 m2/h, roll liner at 150 m2/h.
</t>
  </si>
  <si>
    <t xml:space="preserve">
Unlined dam. Removal and disposal of sludge, earthworks to fill dams in using berms. Land investigation included. Residual water and salt management included in separate rates. Replace growth media (locally sourced) and revegetate (rate assumes average of native, pasture and no vegetation (arid). 
</t>
  </si>
  <si>
    <t xml:space="preserve">
Operation of neutralisation plant including electricity, hydrated lime and electrical and mechanical labour to attend to plant. Includes rental cost for 1 ML/day capacity. Assumes minimum of  pH 5.5 is adjusted to minimum pH 6.5 with 300 kg/ML of lime.
</t>
  </si>
  <si>
    <t xml:space="preserve">
Operation of neutralisation plant including electricity, hydrated lime and electrical and mechanical labour to attend to plant. Includes rental cost for 1 ML/day capacity. Assumes minimum of pH 4.5 is adjusted to minimum pH 6.5 with 600 kg/ML of lime.
</t>
  </si>
  <si>
    <t xml:space="preserve">
Operation of water treatment plant including electricity and electrical and mechanical labour to attend to plant.  Reverse osmosis will remove salt and metals.  Includes rental cost for 1 ML/day unit.
</t>
  </si>
  <si>
    <t xml:space="preserve">
Operation of oil water separator and activated carbon plant including electricity, activated carbon consumption and disposal and electrical and mechanical labour to attend to plant.  Includes rental cost.
</t>
  </si>
  <si>
    <t xml:space="preserve">
Assumes 1 year to evaporate with 2 monthly visits to observe progress.
</t>
  </si>
  <si>
    <t xml:space="preserve">
Assumes 1 year to evaporate with quarterly visits to observe progress. Power included.
</t>
  </si>
  <si>
    <t xml:space="preserve">
The rate is an allowance for this mobe and includes mobilisation.
</t>
  </si>
  <si>
    <t xml:space="preserve">
Using 930K Loader, travel speed 7.5 km/h, 0.5 km travel distance, 4.2 m3 bucket resulting in production rate of 41 t/h. Transport in Quad truck (41 tonne capacity), average travel speed 65 km/h, within 250m one way.
</t>
  </si>
  <si>
    <t xml:space="preserve">
Gate fee for disposal at suitable facility.
</t>
  </si>
  <si>
    <t xml:space="preserve">
Using 6 - 8 inch pump, 50 - 100 kW, pumping 24 hours per day, rental of pump and hoses.
</t>
  </si>
  <si>
    <t xml:space="preserve">
Isolate and electrically disconnect, mechanically disconnect and dismantle. Load and transport skids / containers. Remove asphalt.
</t>
  </si>
  <si>
    <t xml:space="preserve">
Site inspections, sampling program, engineering and design, Engineering/Investigations/Sampling; Ponds, dams, drains, pumping, treatment plants, power generation) and water infrastructure  Ponds/Dams/Plant/Power/Water; Site supervision, operational staff, consultants; Operational costs including power (fuel, raw water pumping, maintenance and repair, water sampling and monitoring.
</t>
  </si>
  <si>
    <t xml:space="preserve">
Assumptions for cap are: 
- double capillary break, 2 layers of 0.3 m for minimum of 0.6 m total thickness
- low permeability layers minimum of 0.5 m thickness
- rock cover minimum of 1.5 m thickness
- growth media minimum of 0.15 m thickness
Includes: sourcing, carting, spreading, moisture conditioning and compaction of a suitable volume of material to cap or cover the top surfaces of the WRD or OB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$2850 per ha
</t>
  </si>
  <si>
    <t xml:space="preserve">
Assumptions for cap are: 
- capillary break layers minimum of 0.3 m total thickness
- low permeability layers minimum of 0.3 m thickness
- rock cover minimum of 1 m thickness
- growth media minimum of 0.15 m thickness
Includes: sourcing, carting, spreading, moisture conditioning and compaction of a suitable volume of material to cap or cover the top surfaces of the WRD or OB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$2600 per ha
</t>
  </si>
  <si>
    <t xml:space="preserve">
Assumptions for cap are: 
- capillary break layers minimum of 0.3 m total thickness
- no low permeability layers m thickness
- rock cover minimum of 1 m thickness
- growth media minimum of 0.15 m thickness
Includes: sourcing, carting, spreading, moisture conditioning and compaction of a suitable volume of material to cap or cover the top surfaces of the WRD or OB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$2075 per ha
</t>
  </si>
  <si>
    <t xml:space="preserve">
Assumptions for cap are: 
- no capillary break layers
- no low permeability layers
- rock cover minimum of 0.5 m thickness
- growth media minimum of 0.15 m thickness
Includes: sourcing, carting, spreading, moisture conditioning and compaction of a suitable volume of material to cap or cover the top surfaces of the WRD or OB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$1550 per ha
</t>
  </si>
  <si>
    <t xml:space="preserve">
Assumptions for cap are: 
- no capillary break layers
- no low permeability layers m thickness
- no rock cover
- growth media minimum of 0.15 m thickness
Includes: sourcing, carting, spreading, moisture conditioning and compaction of a suitable volume of material to cap or cover the top surfaces of the WRD or OB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$650 per ha
</t>
  </si>
  <si>
    <t xml:space="preserve">
Assumptions for cap are: 
- double capillary break, 2 layers of 0.3 m for minimum of 0.6 m total thickness
- low permeability layers minimum of 0.5 m thickness
- rock cover minimum of 1.5 m thickness
- growth media minimum of 0.15 m thickness
Includes: sourcing, carting, spreading, moisture conditioning and compaction of a suitable volume of material to cap or cover the top surfaces of the HLP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$2850 per ha
</t>
  </si>
  <si>
    <t xml:space="preserve">
Assumptions for cap are: 
- capillary break layers minimum of 0.3 m total thickness
- low permeability layers minimum of 0.3 m thickness
- rock cover minimum of 1 m thickness
- growth media minimum of 0.15 m thickness
Includes: sourcing, carting, spreading, moisture conditioning and compaction of a suitable volume of material to cap or cover the top surfaces of the HLP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$2600 per ha
</t>
  </si>
  <si>
    <t xml:space="preserve">
Assumptions for cap are: 
- capillary break layers minimum of 0.3 m total thickness
- no low permeability layers
- rock cover minimum of 1 m thickness
- growth media minimum of 0.15 m thickness
Includes: sourcing, carting, spreading, moisture conditioning and compaction of a suitable volume of material to cap or cover the top surfaces of the HLP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$2075 per ha
</t>
  </si>
  <si>
    <t xml:space="preserve">
Assumptions for cap are: 
- no capillary break layers
- no low permeability layers
- rock cover minimum of 0.5 m thickness
- growth media minimum of 0.15 m thickness
Includes: sourcing, carting, spreading, moisture conditioning and compaction of a suitable volume of material to cap or cover the top surfaces of the HLP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$1550 per ha
</t>
  </si>
  <si>
    <t xml:space="preserve">
Assumptions for cap are: 
- no capillary break layers
- no low permeability layers
- no rock cover
- growth media minimum of 0.15 m thickness
Includes: sourcing, carting, spreading, moisture conditioning and compaction of a suitable volume of material to cap or cover the top surfaces of the HLP using economically efficient construction methods. Assumes suitable capping materials are available on site within 6 km. Facilities assumed to be above ground or valley fill. Includes allowance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$650 per ha
</t>
  </si>
  <si>
    <t xml:space="preserve">
Assumptions for cap are: 
- working cover over tailings minimum of 0.5 m thickness
- double capillary break, 2 layers of 0.3 m for minimum of 0.6 m total thickness
- low permeability layers minimum of 0.5 m thickness
- rock cover minimum of 1.5 m thickness
- growth media minimum of 0.15 m thickness
This item includes: Sourcing, carting, spreading, moisture conditioning and compaction of a suitable volume of material to cap or cover the top surfaces and embankment of the TSF using economically efficient construction methods.  Suitable capping materials are available on site within 6 km. Facilities assumed to be above ground or valley fill. Includes a component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$3650 per ha
</t>
  </si>
  <si>
    <t xml:space="preserve">
Assumptions for cap are: 
- working cover over tailings minimum of 0.5 m thickness
- double capillary break, 2 layers of 0.3 m for minimum of 0.3 m total thickness
- low permeability layers minimum of 0.3 m thickness
- rock cover minimum of 1 m thickness
- growth media minimum of 0.15 m thickness
This item includes: Sourcing, carting, spreading, moisture conditioning and compaction of a suitable volume of material to cap or cover the top surfaces and embankment of the TSF using economically efficient construction methods.  Suitable capping materials are available on site within 6 km. Facilities assumed to be above ground or valley fill. Includes a component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$2675 per ha
</t>
  </si>
  <si>
    <t xml:space="preserve">
Assumptions for cap are: 
- working cover over tailings minimum of 0.5 m thickness
- double capillary break, 2 layers of 0.3 m for minimum of 0.3 m total thickness
- no low permeability layers
- rock cover minimum of 1 m thickness
- growth media minimum of 0.15 m thickness
This item includes: Sourcing, carting, spreading, moisture conditioning and compaction of a suitable volume of material to cap or cover the top surfaces and embankment of the TSF using economically efficient construction methods.  Suitable capping materials are available on site within 6 km. Facilities assumed to be above ground or valley fill. Includes a component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$3150 per ha
</t>
  </si>
  <si>
    <t xml:space="preserve">
Assumptions for cap are: 
- no working cover over tailings
- no capillary break layers
- no low permeability layers 
- rock cover minimum of 1 m thickness
- growth media minimum of 0.15 m thickness
This item includes: Sourcing, carting, spreading, moisture conditioning and compaction of a suitable volume of material to cap or cover the top surfaces and embankment of the TSF using economically efficient construction methods.  Suitable capping materials are available on site within 6 km. Facilities assumed to be above ground or valley fill. Includes a component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$1900 per ha
</t>
  </si>
  <si>
    <t xml:space="preserve">
Assumptions for cap are: 
- no working cover over tailings 
- no capillary break layers
- no low permeability layers 
- no rock cover
- growth media minimum of 0.15 m thickness
This item includes: Sourcing, carting, spreading, moisture conditioning and compaction of a suitable volume of material to cap or cover the top surfaces and embankment of the TSF using economically efficient construction methods.  Suitable capping materials are available on site within 6 km. Facilities assumed to be above ground or valley fill. Includes a component for engineering and rehabilitation supervision (i.e., re-shape, cap, cover design, QA/QC testing, inspections of construction techniques to identify if the cover system is being constructed is as per the design and construction specifications. A report outlining survey results, laboratory test values, in situ permeability values, etc.) Cost allowance $1000 per ha
</t>
  </si>
  <si>
    <t xml:space="preserve">
Reshaping and ripping with D10T Dozer to enhance revegetation.
</t>
  </si>
  <si>
    <t xml:space="preserve">
Bench height of 110 m, hole spacing of 4.5 m, hole diameter 152 mm, drill depth 23 m, drill rate 15 m/h, stem height 11 m.  Explosive cost delivered down hole $2.75 per kg and consumables $88 per hole.
</t>
  </si>
  <si>
    <t xml:space="preserve">
Using 47T Excavator, D10 pushes up material from trench into berm, excavator shapes. Includes placement of growth media and seeding.
</t>
  </si>
  <si>
    <t xml:space="preserve">
Suitable rock sourced from stockpile to include load, haul and dump using medium fleet (CAT 777). Includes fresh rock truck dumped.
</t>
  </si>
  <si>
    <t xml:space="preserve">
Using 3 m chainmesh (or similar) security fence.
</t>
  </si>
  <si>
    <t xml:space="preserve">
Low (e.g. 1.0 m) wire fence to prevent cattle movement beyond.
</t>
  </si>
  <si>
    <t xml:space="preserve">
One sign every 100 m of length of highwall.
</t>
  </si>
  <si>
    <t xml:space="preserve">
Using D10 size motorised pontoon pump: Fuel - $1 / L @ 1500L / day + Maintenance and support =$600 / day + Equipment rental  = $300 / day = ~$2400 / day.  Water moved – 250 L / s = 20 ML /day.
</t>
  </si>
  <si>
    <t xml:space="preserve">
Removal of the fan and all surface infrastructure associated with a ventilation shaft. Does not include filling and capping the shaft.
</t>
  </si>
  <si>
    <t xml:space="preserve">
Removal of man and materials hoisting infrastructure, headframe, winder and winder house, shutes, bins, conveyors, and emergency winder. Does not include filling and capping the shaft.
</t>
  </si>
  <si>
    <t xml:space="preserve">
Assumes removal of conveyor to allow for backfill plug of drift/decline down to 100m. Does not include drift/decline plug backfill.
</t>
  </si>
  <si>
    <t xml:space="preserve">
Install standard gate or grill.
</t>
  </si>
  <si>
    <t xml:space="preserve">
Backfill of small adit to 25 m using small loader. Install stabilised sand/cement plug (0.5 m thick) 3 m back from adit, backfill with available material, install portal gate and signage.
</t>
  </si>
  <si>
    <t xml:space="preserve">
Haulage of suitable material to portal entry, 3 m thick concrete plug with drainage holes at least 50 m down decline, rehandle and backfill using suitable underground loader to tram and place backfill material down decline.
</t>
  </si>
  <si>
    <t xml:space="preserve">
Plug (450 mm concrete in &lt; 4 m diameter shaft) over shaft crown and ventilation foundation slab, 40 m long 3 m high chain security fence and signage.
</t>
  </si>
  <si>
    <t xml:space="preserve">
Plug (450 mm concrete in &lt; 8 m diameter shaft) over shaft crown and ventilation foundation slab, 80 m long 3 m high chain security fence and signage.
</t>
  </si>
  <si>
    <t xml:space="preserve">
Steel plate (25 mm thick over &lt; 4 m diameter shaft) over shaft crown and ventilation foundation slab, 40 m long 3 m high chain security fence and signage.
</t>
  </si>
  <si>
    <t xml:space="preserve">
Steel plate (25 mm thick over &lt; 8 m diameter shaft) over shaft crown and ventilation foundation slab, 80 m long 3 m high chain security fence and signage.
</t>
  </si>
  <si>
    <t xml:space="preserve">
Source and screen suitable material, haulage (2km) to stockpile adjacent to up to 4 m diameter shaft, feed shute arrangement for centre fill, 980M Loader feeding into shaft, concrete bulkheads at base of shaft to contain fill, and shaft footprint rehab.
</t>
  </si>
  <si>
    <t xml:space="preserve">
Source and screen suitable material, haulage (2km) to stockpile adjacent to up to 8 m diameter shaft, feed shute arrangement for centre fill, 990K Loader feeding into shaft, concrete bulkheads at base of shaft to contain fill, and shaft footprint rehab.
</t>
  </si>
  <si>
    <t xml:space="preserve">
Allows for shaping and dozing to re-establish natural drainage (D10), ripping (D10) and seeding over 50% of the footprint. Defined as impact and damage due to erosion, and water runoff as well as some vegetation damage.
</t>
  </si>
  <si>
    <t xml:space="preserve">
Allows for shaping to and dozing to re-establish natural drainage (D10) over 25% of footprint and ripping (D10) over 100% of footprint, re-seeding. Defined as minor erosional and water runoff impacts and damage, repaired by dozing existing soils into place (seed bank in soil). No amendments included.
</t>
  </si>
  <si>
    <t xml:space="preserve">
Allows for shaping to and dozing to re-establish natural drainage (D10) over 50% of footprint and ripping (D10) over 100% of footprint, re-seeding. Defined as moderate erosional and water runoff impacts and damage, repaired by dozing existing soils into place (seed bank in soil). No amendments included.
</t>
  </si>
  <si>
    <t xml:space="preserve">
Dozing and shaping with D10T Dozer, suitable repair material haulage and place, growth media, and reseeding
</t>
  </si>
  <si>
    <t xml:space="preserve">
Demolition and removal of concrete jetty (assumed 5 m width). Includes some pie removal. Does not include mobilisation / demobilisation of equipment. If a jetty is the only item to decommission, a medium fleet is recommended.
</t>
  </si>
  <si>
    <t xml:space="preserve">
Demolition and removal of concrete wharf and supports. Does not include mobilisation / demobilisation of equipment. If a wharf is the only item to decommission, a medium fleet is recommended.
</t>
  </si>
  <si>
    <t xml:space="preserve">
Allowance for removal. Does not include mobilisation / demobilisation of equipment.
</t>
  </si>
  <si>
    <t xml:space="preserve">
Allowance for decommission and removal.  Does not include mobilisation / demobilisation of equipment. 
</t>
  </si>
  <si>
    <t xml:space="preserve">
Electrical and mechanical disconnection, dismantling removal. Allowance for decommission and removal.  Does not include mobilisation / demobilisation of equipment. 
</t>
  </si>
  <si>
    <t xml:space="preserve">
Desktop assessment of the area and site history, incidents, hazardous liquids and solids storage, sources of potential impacts and receptors.
</t>
  </si>
  <si>
    <t xml:space="preserve">
Includes preparation of work plan, health and safety plan, procuring equipment, reporting.
</t>
  </si>
  <si>
    <t xml:space="preserve">
Includes soil augers for 2 days (per hectare), 50 soil samples for organics and inorganics with QA/QC samples, consumables and PPE, decontamination, 2 field staff for total 10 hour days.
</t>
  </si>
  <si>
    <t xml:space="preserve">
Load and haul of soil, one way transport distance of 250km and dispose at licensed facility. Gate fee of $89.86/t and levy as shown in Table Disposal to Off-site Facility - Waste Levy in 13. Investigation Contamination (if applicable). Truck capacity 24t average travel loaded speed 90 km/h, average unloaded speed 95 km/h.
</t>
  </si>
  <si>
    <t xml:space="preserve">
Load and haul of soil, one way transport distance of 250km and dispose at licensed facility. Gate fee of $91.12/t and levy as shown in Table Disposal to Off-site Facility - Waste Levy in 13. Investigation Contamination (if applicable). Truck capacity 24t average travel loaded speed 90 km/h, average unloaded speed 95 km/h.
</t>
  </si>
  <si>
    <t xml:space="preserve">
Load and haul of soil, one way transport distance of 250km and dispose at licensed facility. Gate fee of $63.43/t and levy as shown in Table Disposal to Off-site Facility - Waste Levy in 13. Investigation Contamination (if applicable). Truck capacity 24t average travel loaded speed 90 km/h, average unloaded speed 95 km/h.
</t>
  </si>
  <si>
    <t xml:space="preserve">
Load and haul of soil, one way transport distance of 250km and dispose at licensed facility. Gate fee of $180/t and levy as shown in Table Disposal to Off-site Facility - Waste Levy in 13. Investigation Contamination (if applicable). Truck capacity 24t average travel loaded speed 90 km/h, average unloaded speed 95 km/h.
</t>
  </si>
  <si>
    <t xml:space="preserve">
Load and haul of soil, one way transport distance of 250km and dispose at licensed facility. Gate fee of $85/t and levy as shown in Table Disposal to Off-site Facility - Waste Levy in 13. Investigation Contamination (if applicable). Truck capacity 24t average travel loaded speed 90 km/h, average unloaded speed 95 km/h.
</t>
  </si>
  <si>
    <t xml:space="preserve">
Load and haul of soil, one way transport distance of 250km and dispose at licensed facility. Gate fee of $65/t and levy as shown in Table Disposal to Off-site Facility - Waste Levy in 13. Investigation Contamination (if applicable). Truck capacity 24t average travel loaded speed 90 km/h, average unloaded speed 95 km/h.
</t>
  </si>
  <si>
    <t xml:space="preserve">
Assumes the use of CAT 14G grader, CAT 980 loader, water truck, bioremediation chemicals and labour.
</t>
  </si>
  <si>
    <t xml:space="preserve">
Load scrap onto truck, transport to void, cover over and track roll.
</t>
  </si>
  <si>
    <t xml:space="preserve">
Load scrap onto truck, transport to disposal facility. No gate fee charged (or credit taken).
</t>
  </si>
  <si>
    <t xml:space="preserve">
Allows for shaping to and dozing to re-establish natural drainage (D10) over 100% of footprint and ripping (D10) over 100% of footprint, re-seeding. Defined as major erosional (gullies) and water runoff impacts and damage, repaired by dozing existing soils into place (seed bank in soil, but may need additional seed). No amendments included.
</t>
  </si>
  <si>
    <t xml:space="preserve">
Doze and shape with D10T Dozer, suitable repair material haulage and place, growth media, and reseeding
</t>
  </si>
  <si>
    <t xml:space="preserve">
Doze and shape to re-establish natural drainage over footprint, source, haul, place and spread growth media, rip and native seed. D10T Dozer.
</t>
  </si>
  <si>
    <t xml:space="preserve">
Includes general maintenance - weed management, seeding, amelioration, minor land repair.
</t>
  </si>
  <si>
    <t xml:space="preserve">
This item covers the costs associated with the management of pests on the site including baiting feral animals.
</t>
  </si>
  <si>
    <t xml:space="preserve">
Engineered cut-through drain (6m wide) riprap lined (100 mm thick) based on catchment size of subsidence using D10T Dozer.
</t>
  </si>
  <si>
    <t xml:space="preserve">
Earthworks repairs and stabilisation of major structures following flow events. Major structure is assumed to be of width greater than 5 m. Allows for replacement of rock and reshaping / repair of banks and channel.  Does not include any major rock armour on slopes. If rock armour is present, use the Installation of Rock Armour rate. Assumes a suitably qualified engineer has designed and signed off on construction of the diversion.
</t>
  </si>
  <si>
    <t xml:space="preserve">
Earthworks repairs and stabilisation of major structures following flow events. Minor structure is assumed to be of width less than or equal to 5 m. Allows for replacement of rock and reshaping / repair of banks and channel.  Does not include any major rock armour on slopes. If rock armour is present, use the Installation of Rock Armour rate. Assumes a suitably qualified engineer has designed and signed off on construction of the diversion.
</t>
  </si>
  <si>
    <t xml:space="preserve">
Assumes competent material is locally available. Includes drill and blast, screening, load and haul, and place armour.
</t>
  </si>
  <si>
    <t xml:space="preserve">
Earthworks to re-align small drainage feature (typically width less than 5 m). Allows for addition of rock and shaping banks and channel.  Does not include any major rock armour on slopes. If rock armour is present, use the Installation of Rock Armour rate.
</t>
  </si>
  <si>
    <t xml:space="preserve">
Ripping with 12M Grader to enhance revegetation. Typically includes minor reshaping works to tidy up the site.
</t>
  </si>
  <si>
    <t xml:space="preserve">
Ripping with 14M Grader to enhance revegetation. Typically includes minor reshaping works to tidy up the site.
</t>
  </si>
  <si>
    <t xml:space="preserve">
Ripping with 16M Grader to enhance revegetation. Typically includes minor reshaping works to tidy up the site.
</t>
  </si>
  <si>
    <t xml:space="preserve">
Ripping with D6R Dozer to enhance revegetation.
</t>
  </si>
  <si>
    <t xml:space="preserve">
Ripping with D7R Dozer to enhance revegetation.
</t>
  </si>
  <si>
    <t xml:space="preserve">
Ripping with D8R Dozer to enhance revegetation.
</t>
  </si>
  <si>
    <t xml:space="preserve">
Ripping with D9R Dozer to enhance revegetation.
</t>
  </si>
  <si>
    <t xml:space="preserve">
Ripping with D10T Dozer to enhance revegetation.
</t>
  </si>
  <si>
    <t xml:space="preserve">
Ripping with D11T Dozer to enhance revegetation.
</t>
  </si>
  <si>
    <t xml:space="preserve">
Reshaping and ripping with D6R Dozer dozer to enhance revegetation.
</t>
  </si>
  <si>
    <t xml:space="preserve">
Reshaping and ripping with D7R Dozer dozer to enhance revegetation.
</t>
  </si>
  <si>
    <t xml:space="preserve">
Reshaping and ripping with D8R Dozer dozer to enhance revegetation.
</t>
  </si>
  <si>
    <t xml:space="preserve">
Reshaping and ripping with D9R Dozer dozer to enhance revegetation.
</t>
  </si>
  <si>
    <t xml:space="preserve">
Reshaping and ripping with D10T Dozer dozer to enhance revegetation.
</t>
  </si>
  <si>
    <t xml:space="preserve">
Reshaping and ripping with D11T Dozer dozer to enhance revegetation.
</t>
  </si>
  <si>
    <t xml:space="preserve">
Includes the seedling, fertiliser tablet, weed mat and guard - small tube stock. Planting on 4 m centres of mature trees &gt; 15 cm.
</t>
  </si>
  <si>
    <t xml:space="preserve">
Includes the seedling, fertiliser tablet, weed mat and guard - small tube stock. Planting on 4 m centres of mature trees &lt;= 15 cm.
</t>
  </si>
  <si>
    <t xml:space="preserve">
Utilising locally sourced mulch material.
</t>
  </si>
  <si>
    <t xml:space="preserve">
Adding soil ameliorant prior to preparation of seed bed for rehabilitation or assist stabilising dispersive soils. Assumes an application rate of 2.5 t/ha, and distance to source of 100km.
</t>
  </si>
  <si>
    <t xml:space="preserve">
Adding soil ameliorant prior to preparation of seed bed for rehabilitation or assist stabilising dispersive soils. Assumes an application rate of 10 t/ha, and distance to source of 100km.
</t>
  </si>
  <si>
    <t xml:space="preserve">
Adding soil ameliorant prior to preparation of seed bed for rehabilitation or assist stabilising dispersive soils. Assumes an application rate of 2 t/ha, and distance to source of 200km.
</t>
  </si>
  <si>
    <t xml:space="preserve">
Adding soil ameliorant prior to preparation of seed bed for rehabilitation or assist stabilising dispersive soils. Assumes an application rate of 50 t/ha, and distance to source of 50km.
</t>
  </si>
  <si>
    <t xml:space="preserve">
Adding soil ameliorant prior to preparation of seed bed for rehabilitation or assist stabilising dispersive soils. Assumes an application rate of 5 t/ha, and distance to source of 100km.
</t>
  </si>
  <si>
    <t xml:space="preserve">
Adding soil ameliorant prior to preparation of seed bed for rehabilitation or assist stabilising dispersive soils. Assumes an application rate of 0.25 t/ha, and distance to source of 100km.
</t>
  </si>
  <si>
    <t xml:space="preserve">
Direct seeding of non native pasture grass species with the principal aim of returning the land to stable, sustainable grazing land use. Rate includes purchase of seed and fertiliser and application.
</t>
  </si>
  <si>
    <t xml:space="preserve">
Includes 2 X labour and flatbed truck and allowance for seed.
</t>
  </si>
  <si>
    <t xml:space="preserve">
Includes 2 X labour, backhoe and flatbed truck and allowance for seed.
</t>
  </si>
  <si>
    <t xml:space="preserve">
Includes 2 X labour, backhoe and flatbed truck, grout and allowance for seed.
</t>
  </si>
  <si>
    <t xml:space="preserve">
Assumes the use of 3 x CAT 740C (ADT) Truck, 1 x 19kL water truck, 1 x 30kL water truck, 1 x D10 Dozer, 3 x D9 Dozer, 1 x D8 Dozer, 1 x Cat 374 Excavator, 2 x 14M Grader, 1 x 980FEL, 1 x Atlas Copco D65 Blast Hole Drill Rig , 2 x Service truck, 10 x Light vehicles, 10 x Other Infrastructure.
</t>
  </si>
  <si>
    <t xml:space="preserve">
Assumes the use of 3 x CAT 740C (ADT) Truck, 3 x CAT 777 Haul trucks, 2 x CAT 777 Water truck, 1 x 19kL water truck, 2 x D11 Dozer, 2 x D10 Dozer, 1 x PC1250 Excavator, 1 x 16M Grader, 1 x 14M Grader, 1 x 992FEL, 1 x 980FEL, 1 x Atlas Copco D65 Blast Hole Drill Rig , 3 x Service truck, 10 x Light vehicles, 10 x Other Infrastructure.
</t>
  </si>
  <si>
    <t xml:space="preserve">
Assumes the use of 3 x CAT 740C (ADT) Truck, 4 x CAT 793 Haul trucks, 2 x CAT 785 Water truck, 1 x 19kL water truck, 2 x D11 Dozer, 2 x D10 Dozer, 1 x EX2500 Excavator, 1 x 16M Grader, 1 x 14M Grader, 1 x 992FEL, 1 x 980FEL, 1 x Atlas Copco D65 Blast Hole Drill Rig , 4 x Service truck, 12 x Light vehicles, 12 x Other Infrastructure.
</t>
  </si>
  <si>
    <t xml:space="preserve">
Assumes the use of 3 x CAT 740C (ADT) Truck, 4 x CAT 797 Haul trucks, 2 x CAT 785 Water truck, 1 x CAT 777 Water truck, 1 x 19kL water truck, 2 x D11 Dozer, 1 x D10 Dozer, 1 x CAT 6090 shovel, 1 x 16M Grader, 1 x 14M Grader, 1 x 992FEL, 1 x 980FEL, 1 x Atlas Copco D65 Blast Hole Drill Rig , 4 x Service truck, 12 x Light vehicles, 12 x Other Infrastructure.
</t>
  </si>
  <si>
    <t>Waste levy rates annual update</t>
  </si>
  <si>
    <t>Fixed error in Investigation Contamination tab for disposal to off-site facility.</t>
  </si>
  <si>
    <t>Fixed fleet selection options for Overburden Dump Piles and Pits sheets.</t>
  </si>
  <si>
    <t>Version 5.04</t>
  </si>
  <si>
    <t>©State of Queensland, 2024</t>
  </si>
  <si>
    <t>Changes made to align with the MOG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</si>
</sst>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00_);_(&quot;$&quot;* \(#,##0.00\);_(&quot;$&quot;* &quot;-&quot;??_);_(@_)"/>
    <numFmt numFmtId="165" formatCode="&quot;$&quot;#,##0_);\(&quot;$&quot;#,##0\)"/>
    <numFmt numFmtId="166" formatCode="&quot;$&quot;#,##0.00_);\(&quot;$&quot;#,##0.00\)"/>
    <numFmt numFmtId="167" formatCode="_(* #,##0.00_);_(* \(#,##0.00\);_(* &quot;-&quot;??_);_(@_)"/>
    <numFmt numFmtId="168" formatCode="&quot;$&quot;#,##0.00"/>
    <numFmt numFmtId="169" formatCode="_-&quot;$&quot;* #,##0_-;\-&quot;$&quot;* #,##0_-;_-&quot;$&quot;* &quot;-&quot;??_-;_-@_-"/>
    <numFmt numFmtId="170" formatCode="_(&quot;$&quot;* #,##0_);_(&quot;$&quot;* \(#,##0\);_(&quot;$&quot;* &quot;-&quot;??_);_(@_)"/>
    <numFmt numFmtId="171" formatCode="_(* #,##0_);_(* \(#,##0\);_(* &quot;-&quot;??_);_(@_)"/>
    <numFmt numFmtId="172" formatCode="_-* #,##0.0_-;\-* #,##0.0_-;_-* &quot;-&quot;??_-;_-@_-"/>
    <numFmt numFmtId="173" formatCode="_-* #,##0_-;\-* #,##0_-;_-* &quot;-&quot;??_-;_-@_-"/>
    <numFmt numFmtId="174" formatCode="#,##0.0"/>
    <numFmt numFmtId="175" formatCode="0.0"/>
    <numFmt numFmtId="176" formatCode="&quot;$&quot;#,##0"/>
    <numFmt numFmtId="177" formatCode="0.000"/>
    <numFmt numFmtId="178" formatCode="[$-C09]dd\-mmm\-yy;@"/>
    <numFmt numFmtId="179" formatCode="_-&quot;$&quot;* #,##0.0_-;\-&quot;$&quot;* #,##0.0_-;_-&quot;$&quot;* &quot;-&quot;??_-;_-@_-"/>
    <numFmt numFmtId="180" formatCode="_(* #,##0.000_);_(* \(#,##0.000\);_(* &quot;-&quot;??_);_(@_)"/>
    <numFmt numFmtId="181" formatCode="_(&quot;$&quot;* #,##0.0000_);_(&quot;$&quot;* \(#,##0.0000\);_(&quot;$&quot;* &quot;-&quot;??_);_(@_)"/>
  </numFmts>
  <fonts count="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3"/>
      <color theme="3"/>
      <name val="Calibri"/>
      <family val="2"/>
      <scheme val="minor"/>
    </font>
    <font>
      <sz val="11"/>
      <color rgb="FF3F3F76"/>
      <name val="Calibri"/>
      <family val="2"/>
      <scheme val="minor"/>
    </font>
    <font>
      <sz val="10"/>
      <name val="Arial"/>
      <family val="2"/>
    </font>
    <font>
      <sz val="8"/>
      <name val="Arial"/>
      <family val="2"/>
    </font>
    <font>
      <sz val="8"/>
      <color indexed="8"/>
      <name val="Arial"/>
      <family val="2"/>
    </font>
    <font>
      <b/>
      <sz val="14"/>
      <name val="Arial"/>
      <family val="2"/>
    </font>
    <font>
      <sz val="10"/>
      <name val="Arial"/>
      <family val="2"/>
    </font>
    <font>
      <b/>
      <sz val="10"/>
      <name val="Arial"/>
      <family val="2"/>
    </font>
    <font>
      <vertAlign val="superscript"/>
      <sz val="10"/>
      <name val="Arial"/>
      <family val="2"/>
    </font>
    <font>
      <sz val="9"/>
      <name val="Arial"/>
      <family val="2"/>
    </font>
    <font>
      <b/>
      <sz val="14"/>
      <color theme="3" tint="0.39997558519241921"/>
      <name val="Arial"/>
      <family val="2"/>
    </font>
    <font>
      <b/>
      <sz val="9"/>
      <name val="Arial"/>
      <family val="2"/>
    </font>
    <font>
      <u/>
      <sz val="10"/>
      <color indexed="12"/>
      <name val="Arial"/>
      <family val="2"/>
    </font>
    <font>
      <u/>
      <sz val="10"/>
      <name val="Arial"/>
      <family val="2"/>
    </font>
    <font>
      <sz val="10"/>
      <color indexed="10"/>
      <name val="Arial"/>
      <family val="2"/>
    </font>
    <font>
      <sz val="10"/>
      <color indexed="9"/>
      <name val="Arial"/>
      <family val="2"/>
    </font>
    <font>
      <b/>
      <sz val="12"/>
      <name val="Arial"/>
      <family val="2"/>
    </font>
    <font>
      <sz val="11"/>
      <color theme="1"/>
      <name val="Arial"/>
      <family val="2"/>
    </font>
    <font>
      <sz val="9"/>
      <color theme="1"/>
      <name val="Arial"/>
      <family val="2"/>
    </font>
    <font>
      <b/>
      <sz val="11"/>
      <name val="Arial"/>
      <family val="2"/>
    </font>
    <font>
      <u/>
      <sz val="11"/>
      <color theme="10"/>
      <name val="Calibri"/>
      <family val="2"/>
      <scheme val="minor"/>
    </font>
    <font>
      <sz val="10"/>
      <name val="Geneva"/>
    </font>
    <font>
      <sz val="11"/>
      <name val="Arial"/>
      <family val="2"/>
    </font>
    <font>
      <sz val="10"/>
      <name val="Arial"/>
      <family val="2"/>
    </font>
    <font>
      <i/>
      <sz val="10"/>
      <name val="Arial"/>
      <family val="2"/>
    </font>
    <font>
      <b/>
      <sz val="8"/>
      <name val="Arial"/>
      <family val="2"/>
    </font>
    <font>
      <b/>
      <sz val="8"/>
      <color indexed="9"/>
      <name val="Arial"/>
      <family val="2"/>
    </font>
    <font>
      <sz val="7"/>
      <color indexed="9"/>
      <name val="Arial"/>
      <family val="2"/>
    </font>
    <font>
      <b/>
      <sz val="9"/>
      <color theme="0"/>
      <name val="Arial"/>
      <family val="2"/>
    </font>
    <font>
      <sz val="9"/>
      <color theme="0"/>
      <name val="Arial"/>
      <family val="2"/>
    </font>
    <font>
      <i/>
      <sz val="9"/>
      <name val="Arial"/>
      <family val="2"/>
    </font>
    <font>
      <sz val="10"/>
      <color theme="0"/>
      <name val="Arial"/>
      <family val="2"/>
    </font>
    <font>
      <sz val="10"/>
      <name val="Arial"/>
      <family val="2"/>
    </font>
    <font>
      <b/>
      <sz val="10"/>
      <color theme="0"/>
      <name val="Arial"/>
      <family val="2"/>
    </font>
    <font>
      <b/>
      <sz val="11"/>
      <color theme="0"/>
      <name val="Arial"/>
      <family val="2"/>
    </font>
    <font>
      <sz val="14"/>
      <color indexed="10"/>
      <name val="Arial"/>
      <family val="2"/>
    </font>
    <font>
      <b/>
      <sz val="12"/>
      <color theme="0"/>
      <name val="Arial"/>
      <family val="2"/>
    </font>
    <font>
      <b/>
      <sz val="10"/>
      <color indexed="9"/>
      <name val="Arial"/>
      <family val="2"/>
    </font>
    <font>
      <sz val="8"/>
      <name val="Arial"/>
      <family val="2"/>
    </font>
    <font>
      <b/>
      <sz val="11"/>
      <color rgb="FF3F3F3F"/>
      <name val="Calibri"/>
      <family val="2"/>
      <scheme val="minor"/>
    </font>
    <font>
      <i/>
      <sz val="11"/>
      <color rgb="FF7F7F7F"/>
      <name val="Calibri"/>
      <family val="2"/>
      <scheme val="minor"/>
    </font>
    <font>
      <sz val="9"/>
      <color rgb="FFFF0000"/>
      <name val="Arial"/>
      <family val="2"/>
    </font>
    <font>
      <sz val="10"/>
      <color rgb="FFFF0000"/>
      <name val="Arial"/>
      <family val="2"/>
    </font>
    <font>
      <i/>
      <sz val="9"/>
      <color rgb="FFFF0000"/>
      <name val="Arial"/>
      <family val="2"/>
    </font>
    <font>
      <sz val="8"/>
      <name val="Arial"/>
      <family val="2"/>
    </font>
    <font>
      <sz val="10"/>
      <color theme="2" tint="-0.499984740745262"/>
      <name val="Arial"/>
      <family val="2"/>
    </font>
    <font>
      <i/>
      <sz val="10"/>
      <color rgb="FFFF0000"/>
      <name val="Arial"/>
      <family val="2"/>
    </font>
    <font>
      <sz val="9"/>
      <color theme="2" tint="-0.249977111117893"/>
      <name val="Arial"/>
      <family val="2"/>
    </font>
    <font>
      <sz val="10"/>
      <color theme="2" tint="-0.24994659260841701"/>
      <name val="Arial"/>
      <family val="2"/>
    </font>
    <font>
      <sz val="8"/>
      <name val="Arial"/>
      <family val="2"/>
    </font>
    <font>
      <sz val="8"/>
      <name val="Arial"/>
      <family val="2"/>
    </font>
    <font>
      <b/>
      <sz val="9"/>
      <color theme="2" tint="-0.499984740745262"/>
      <name val="Arial"/>
      <family val="2"/>
    </font>
    <font>
      <sz val="9"/>
      <color theme="2" tint="-0.499984740745262"/>
      <name val="Arial"/>
      <family val="2"/>
    </font>
    <font>
      <sz val="8"/>
      <color rgb="FFFF0000"/>
      <name val="Arial"/>
      <family val="2"/>
    </font>
    <font>
      <sz val="8"/>
      <color theme="2" tint="-0.499984740745262"/>
      <name val="Arial"/>
      <family val="2"/>
    </font>
    <font>
      <sz val="8"/>
      <color theme="0"/>
      <name val="Arial"/>
      <family val="2"/>
    </font>
    <font>
      <sz val="9"/>
      <color theme="0" tint="-0.14999847407452621"/>
      <name val="Arial"/>
      <family val="2"/>
    </font>
    <font>
      <sz val="10"/>
      <color theme="0" tint="-0.14999847407452621"/>
      <name val="Arial"/>
      <family val="2"/>
    </font>
    <font>
      <b/>
      <sz val="9"/>
      <color theme="3" tint="0.79998168889431442"/>
      <name val="Arial"/>
      <family val="2"/>
    </font>
    <font>
      <b/>
      <sz val="9"/>
      <color rgb="FFFF0000"/>
      <name val="Arial"/>
      <family val="2"/>
    </font>
    <font>
      <sz val="8"/>
      <color theme="4"/>
      <name val="Arial"/>
      <family val="2"/>
    </font>
    <font>
      <sz val="10"/>
      <color theme="4"/>
      <name val="Arial"/>
      <family val="2"/>
    </font>
    <font>
      <u/>
      <sz val="9"/>
      <color indexed="12"/>
      <name val="Arial"/>
      <family val="2"/>
    </font>
    <font>
      <sz val="8"/>
      <name val="Arial"/>
      <family val="2"/>
    </font>
    <font>
      <sz val="7"/>
      <color rgb="FFFF0000"/>
      <name val="Arial"/>
      <family val="2"/>
    </font>
    <font>
      <u/>
      <sz val="8"/>
      <color indexed="12"/>
      <name val="Arial"/>
      <family val="2"/>
    </font>
    <font>
      <b/>
      <i/>
      <sz val="11"/>
      <name val="Arial"/>
      <family val="2"/>
    </font>
    <font>
      <b/>
      <sz val="11"/>
      <color rgb="FF3F3F3F"/>
      <name val="Arial"/>
      <family val="2"/>
    </font>
    <font>
      <i/>
      <sz val="11"/>
      <name val="Arial"/>
      <family val="2"/>
    </font>
    <font>
      <i/>
      <sz val="12"/>
      <name val="Arial"/>
      <family val="2"/>
    </font>
    <font>
      <sz val="14"/>
      <name val="Arial"/>
      <family val="2"/>
    </font>
    <font>
      <i/>
      <sz val="11"/>
      <color rgb="FF7F7F7F"/>
      <name val="Arial"/>
      <family val="2"/>
    </font>
    <font>
      <i/>
      <sz val="11"/>
      <color rgb="FFFF0000"/>
      <name val="Arial"/>
      <family val="2"/>
    </font>
    <font>
      <sz val="10"/>
      <color theme="3"/>
      <name val="Arial"/>
      <family val="2"/>
    </font>
    <font>
      <b/>
      <sz val="14"/>
      <color indexed="10"/>
      <name val="Arial"/>
      <family val="2"/>
    </font>
    <font>
      <sz val="11"/>
      <color rgb="FF3F3F3F"/>
      <name val="Arial"/>
      <family val="2"/>
    </font>
    <font>
      <b/>
      <sz val="18"/>
      <color rgb="FFFF0000"/>
      <name val="Arial"/>
      <family val="2"/>
    </font>
    <font>
      <b/>
      <i/>
      <sz val="9"/>
      <name val="Arial"/>
      <family val="2"/>
    </font>
    <font>
      <sz val="8"/>
      <color theme="2"/>
      <name val="Arial"/>
      <family val="2"/>
    </font>
    <font>
      <sz val="9"/>
      <color rgb="FF3F3F3F"/>
      <name val="Arial"/>
      <family val="2"/>
    </font>
    <font>
      <b/>
      <sz val="9"/>
      <color rgb="FF3F3F3F"/>
      <name val="Arial"/>
      <family val="2"/>
    </font>
    <font>
      <sz val="9"/>
      <color theme="3"/>
      <name val="Arial"/>
      <family val="2"/>
    </font>
    <font>
      <sz val="10"/>
      <color rgb="FF3F3F3F"/>
      <name val="Arial"/>
      <family val="2"/>
    </font>
    <font>
      <b/>
      <sz val="10"/>
      <color rgb="FF3F3F3F"/>
      <name val="Arial"/>
      <family val="2"/>
    </font>
    <font>
      <sz val="10"/>
      <color theme="2" tint="-0.249977111117893"/>
      <name val="Arial"/>
      <family val="2"/>
    </font>
  </fonts>
  <fills count="31">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indexed="23"/>
        <bgColor indexed="64"/>
      </patternFill>
    </fill>
    <fill>
      <patternFill patternType="solid">
        <fgColor theme="4" tint="0.59999389629810485"/>
        <bgColor indexed="64"/>
      </patternFill>
    </fill>
    <fill>
      <patternFill patternType="solid">
        <fgColor indexed="22"/>
        <bgColor indexed="55"/>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8"/>
        <bgColor indexed="64"/>
      </patternFill>
    </fill>
    <fill>
      <patternFill patternType="solid">
        <fgColor indexed="43"/>
        <bgColor indexed="64"/>
      </patternFill>
    </fill>
    <fill>
      <patternFill patternType="solid">
        <fgColor theme="9"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theme="3" tint="-0.499984740745262"/>
        <bgColor indexed="64"/>
      </patternFill>
    </fill>
    <fill>
      <patternFill patternType="solid">
        <fgColor theme="8" tint="0.59999389629810485"/>
        <bgColor indexed="64"/>
      </patternFill>
    </fill>
    <fill>
      <patternFill patternType="solid">
        <fgColor theme="9" tint="0.79995117038483843"/>
        <bgColor indexed="22"/>
      </patternFill>
    </fill>
    <fill>
      <patternFill patternType="solid">
        <fgColor theme="1"/>
        <bgColor indexed="64"/>
      </patternFill>
    </fill>
    <fill>
      <patternFill patternType="solid">
        <fgColor theme="9" tint="0.79995117038483843"/>
        <bgColor indexed="64"/>
      </patternFill>
    </fill>
    <fill>
      <patternFill patternType="solid">
        <fgColor rgb="FFFFFFFF"/>
        <bgColor indexed="64"/>
      </patternFill>
    </fill>
    <fill>
      <patternFill patternType="solid">
        <fgColor rgb="FFCC99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3"/>
        <bgColor indexed="64"/>
      </patternFill>
    </fill>
    <fill>
      <patternFill patternType="solid">
        <fgColor rgb="FFFFFF99"/>
        <bgColor indexed="64"/>
      </patternFill>
    </fill>
    <fill>
      <patternFill patternType="solid">
        <fgColor theme="9" tint="0.79998168889431442"/>
        <bgColor indexed="22"/>
      </patternFill>
    </fill>
    <fill>
      <patternFill patternType="lightDown"/>
    </fill>
  </fills>
  <borders count="43">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medium">
        <color indexed="64"/>
      </top>
      <bottom style="medium">
        <color indexed="64"/>
      </bottom>
      <diagonal/>
    </border>
    <border>
      <left style="medium">
        <color auto="1"/>
      </left>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bottom style="mediumDashed">
        <color indexed="64"/>
      </bottom>
      <diagonal/>
    </border>
    <border>
      <left style="medium">
        <color indexed="64"/>
      </left>
      <right style="medium">
        <color indexed="64"/>
      </right>
      <top/>
      <bottom style="medium">
        <color indexed="64"/>
      </bottom>
      <diagonal/>
    </border>
    <border>
      <left style="thin">
        <color rgb="FF3F3F3F"/>
      </left>
      <right style="thin">
        <color rgb="FF3F3F3F"/>
      </right>
      <top style="thin">
        <color rgb="FF3F3F3F"/>
      </top>
      <bottom style="thin">
        <color rgb="FF3F3F3F"/>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indexed="64"/>
      </right>
      <top/>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Dashed">
        <color indexed="64"/>
      </bottom>
      <diagonal/>
    </border>
    <border>
      <left style="medium">
        <color indexed="64"/>
      </left>
      <right/>
      <top style="medium">
        <color indexed="64"/>
      </top>
      <bottom/>
      <diagonal/>
    </border>
    <border>
      <left/>
      <right style="medium">
        <color indexed="64"/>
      </right>
      <top/>
      <bottom/>
      <diagonal/>
    </border>
    <border>
      <left style="thin">
        <color theme="2" tint="-0.24994659260841701"/>
      </left>
      <right style="thin">
        <color theme="2" tint="-0.24994659260841701"/>
      </right>
      <top/>
      <bottom style="thin">
        <color theme="2" tint="-0.24994659260841701"/>
      </bottom>
      <diagonal/>
    </border>
    <border>
      <left/>
      <right/>
      <top/>
      <bottom style="dotted">
        <color auto="1"/>
      </bottom>
      <diagonal/>
    </border>
    <border>
      <left/>
      <right/>
      <top/>
      <bottom style="hair">
        <color auto="1"/>
      </bottom>
      <diagonal/>
    </border>
  </borders>
  <cellStyleXfs count="103">
    <xf numFmtId="0" fontId="0" fillId="0" borderId="0"/>
    <xf numFmtId="164" fontId="14" fillId="0" borderId="0" applyFont="0" applyFill="0" applyBorder="0" applyAlignment="0" applyProtection="0"/>
    <xf numFmtId="0" fontId="12" fillId="0" borderId="1" applyNumberFormat="0" applyFill="0" applyAlignment="0" applyProtection="0"/>
    <xf numFmtId="0" fontId="13" fillId="2" borderId="2" applyNumberFormat="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4" fontId="14" fillId="0" borderId="0" applyFont="0" applyFill="0" applyBorder="0" applyAlignment="0" applyProtection="0"/>
    <xf numFmtId="0" fontId="24" fillId="0" borderId="0" applyNumberFormat="0" applyFill="0" applyBorder="0" applyAlignment="0" applyProtection="0">
      <alignment vertical="top"/>
      <protection locked="0"/>
    </xf>
    <xf numFmtId="0" fontId="11" fillId="0" borderId="0"/>
    <xf numFmtId="164" fontId="11" fillId="0" borderId="0" applyFont="0" applyFill="0" applyBorder="0" applyAlignment="0" applyProtection="0"/>
    <xf numFmtId="9" fontId="11" fillId="0" borderId="0" applyFont="0" applyFill="0" applyBorder="0" applyAlignment="0" applyProtection="0"/>
    <xf numFmtId="0" fontId="11" fillId="4" borderId="0" applyNumberFormat="0" applyBorder="0" applyAlignment="0" applyProtection="0"/>
    <xf numFmtId="167" fontId="11" fillId="0" borderId="0" applyFont="0" applyFill="0" applyBorder="0" applyAlignment="0" applyProtection="0"/>
    <xf numFmtId="0" fontId="28" fillId="10" borderId="19"/>
    <xf numFmtId="0" fontId="18" fillId="0" borderId="12">
      <alignment horizontal="center"/>
      <protection hidden="1"/>
    </xf>
    <xf numFmtId="0" fontId="18" fillId="0" borderId="18">
      <alignment horizontal="center"/>
      <protection hidden="1"/>
    </xf>
    <xf numFmtId="0" fontId="18" fillId="0" borderId="20">
      <protection hidden="1"/>
    </xf>
    <xf numFmtId="3" fontId="18" fillId="0" borderId="18">
      <alignment horizontal="center"/>
      <protection hidden="1"/>
    </xf>
    <xf numFmtId="164" fontId="11" fillId="0" borderId="0" applyFont="0" applyFill="0" applyBorder="0" applyAlignment="0" applyProtection="0"/>
    <xf numFmtId="0" fontId="18" fillId="0" borderId="0"/>
    <xf numFmtId="0" fontId="32" fillId="0" borderId="0" applyNumberFormat="0" applyFill="0" applyBorder="0" applyAlignment="0" applyProtection="0"/>
    <xf numFmtId="0" fontId="18" fillId="0" borderId="0"/>
    <xf numFmtId="164" fontId="18" fillId="0" borderId="0" applyFont="0" applyFill="0" applyBorder="0" applyAlignment="0" applyProtection="0"/>
    <xf numFmtId="0" fontId="18" fillId="0" borderId="0"/>
    <xf numFmtId="167" fontId="18" fillId="0" borderId="0" applyFont="0" applyFill="0" applyBorder="0" applyAlignment="0" applyProtection="0"/>
    <xf numFmtId="167" fontId="11" fillId="0" borderId="0" applyFont="0" applyFill="0" applyBorder="0" applyAlignment="0" applyProtection="0"/>
    <xf numFmtId="0" fontId="11" fillId="0" borderId="0"/>
    <xf numFmtId="0" fontId="33" fillId="0" borderId="0"/>
    <xf numFmtId="9" fontId="35"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164" fontId="14" fillId="0" borderId="0" applyFont="0" applyFill="0" applyBorder="0" applyAlignment="0" applyProtection="0"/>
    <xf numFmtId="0" fontId="10" fillId="0" borderId="0"/>
    <xf numFmtId="0" fontId="14" fillId="0" borderId="0"/>
    <xf numFmtId="0" fontId="9" fillId="0" borderId="0"/>
    <xf numFmtId="9" fontId="14" fillId="0" borderId="0" applyFont="0" applyFill="0" applyBorder="0" applyAlignment="0" applyProtection="0"/>
    <xf numFmtId="167" fontId="14" fillId="0" borderId="0" applyFont="0" applyFill="0" applyBorder="0" applyAlignment="0" applyProtection="0"/>
    <xf numFmtId="0" fontId="14" fillId="0" borderId="12">
      <alignment horizontal="center"/>
      <protection hidden="1"/>
    </xf>
    <xf numFmtId="0" fontId="8" fillId="0" borderId="0"/>
    <xf numFmtId="164" fontId="8" fillId="0" borderId="0" applyFont="0" applyFill="0" applyBorder="0" applyAlignment="0" applyProtection="0"/>
    <xf numFmtId="9" fontId="8" fillId="0" borderId="0" applyFont="0" applyFill="0" applyBorder="0" applyAlignment="0" applyProtection="0"/>
    <xf numFmtId="167" fontId="44" fillId="0" borderId="0" applyFont="0" applyFill="0" applyBorder="0" applyAlignment="0" applyProtection="0"/>
    <xf numFmtId="0" fontId="7" fillId="0" borderId="0"/>
    <xf numFmtId="0" fontId="29"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4" fillId="0" borderId="0"/>
    <xf numFmtId="0" fontId="6" fillId="0" borderId="0"/>
    <xf numFmtId="0" fontId="14" fillId="0" borderId="0"/>
    <xf numFmtId="0" fontId="5" fillId="0" borderId="0"/>
    <xf numFmtId="164" fontId="14" fillId="0" borderId="0" applyFont="0" applyFill="0" applyBorder="0" applyAlignment="0" applyProtection="0"/>
    <xf numFmtId="164" fontId="5" fillId="0" borderId="0" applyFont="0" applyFill="0" applyBorder="0" applyAlignment="0" applyProtection="0"/>
    <xf numFmtId="167" fontId="14" fillId="0" borderId="0" applyFont="0" applyFill="0" applyBorder="0" applyAlignment="0" applyProtection="0"/>
    <xf numFmtId="0" fontId="14" fillId="0" borderId="0"/>
    <xf numFmtId="0" fontId="4" fillId="0" borderId="0"/>
    <xf numFmtId="9" fontId="4" fillId="0" borderId="0" applyFont="0" applyFill="0" applyBorder="0" applyAlignment="0" applyProtection="0"/>
    <xf numFmtId="0" fontId="14" fillId="0" borderId="3">
      <protection hidden="1"/>
    </xf>
    <xf numFmtId="0" fontId="14"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167" fontId="3" fillId="0" borderId="0" applyFont="0" applyFill="0" applyBorder="0" applyAlignment="0" applyProtection="0"/>
    <xf numFmtId="0" fontId="14" fillId="0" borderId="18">
      <alignment horizontal="center"/>
      <protection hidden="1"/>
    </xf>
    <xf numFmtId="0" fontId="14" fillId="0" borderId="20">
      <protection hidden="1"/>
    </xf>
    <xf numFmtId="3" fontId="14" fillId="0" borderId="18">
      <alignment horizontal="center"/>
      <protection hidden="1"/>
    </xf>
    <xf numFmtId="164" fontId="3" fillId="0" borderId="0" applyFont="0" applyFill="0" applyBorder="0" applyAlignment="0" applyProtection="0"/>
    <xf numFmtId="164" fontId="14" fillId="0" borderId="0" applyFont="0" applyFill="0" applyBorder="0" applyAlignment="0" applyProtection="0"/>
    <xf numFmtId="0" fontId="14" fillId="0" borderId="0"/>
    <xf numFmtId="167" fontId="14" fillId="0" borderId="0" applyFont="0" applyFill="0" applyBorder="0" applyAlignment="0" applyProtection="0"/>
    <xf numFmtId="167" fontId="3" fillId="0" borderId="0" applyFont="0" applyFill="0" applyBorder="0" applyAlignment="0" applyProtection="0"/>
    <xf numFmtId="0" fontId="3" fillId="0" borderId="0"/>
    <xf numFmtId="164"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167" fontId="14"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7" fontId="14" fillId="0" borderId="0" applyFont="0" applyFill="0" applyBorder="0" applyAlignment="0" applyProtection="0"/>
    <xf numFmtId="0" fontId="3"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3" fillId="0" borderId="0"/>
    <xf numFmtId="0" fontId="3" fillId="0" borderId="0"/>
    <xf numFmtId="164" fontId="14" fillId="0" borderId="0" applyFont="0" applyFill="0" applyBorder="0" applyAlignment="0" applyProtection="0"/>
    <xf numFmtId="164" fontId="3" fillId="0" borderId="0" applyFont="0" applyFill="0" applyBorder="0" applyAlignment="0" applyProtection="0"/>
    <xf numFmtId="167" fontId="14" fillId="0" borderId="0" applyFont="0" applyFill="0" applyBorder="0" applyAlignment="0" applyProtection="0"/>
    <xf numFmtId="0" fontId="3" fillId="0" borderId="0"/>
    <xf numFmtId="9" fontId="3" fillId="0" borderId="0" applyFont="0" applyFill="0" applyBorder="0" applyAlignment="0" applyProtection="0"/>
    <xf numFmtId="0" fontId="51" fillId="3" borderId="28" applyNumberFormat="0" applyAlignment="0" applyProtection="0"/>
    <xf numFmtId="0" fontId="52" fillId="0" borderId="0" applyNumberFormat="0" applyFill="0" applyBorder="0" applyAlignment="0" applyProtection="0"/>
  </cellStyleXfs>
  <cellXfs count="1361">
    <xf numFmtId="0" fontId="0" fillId="0" borderId="0" xfId="0"/>
    <xf numFmtId="0" fontId="25" fillId="5" borderId="0" xfId="10" applyNumberFormat="1" applyFont="1" applyFill="1" applyBorder="1" applyAlignment="1" applyProtection="1"/>
    <xf numFmtId="49" fontId="14" fillId="0" borderId="12" xfId="1" applyNumberFormat="1" applyFont="1" applyFill="1" applyBorder="1" applyAlignment="1" applyProtection="1">
      <alignment horizontal="left" vertical="center" wrapText="1"/>
    </xf>
    <xf numFmtId="0" fontId="14" fillId="0" borderId="12" xfId="33" applyNumberFormat="1" applyFont="1" applyFill="1" applyBorder="1" applyAlignment="1" applyProtection="1">
      <alignment horizontal="left" vertical="center" wrapText="1"/>
    </xf>
    <xf numFmtId="9" fontId="23" fillId="0" borderId="0" xfId="31" applyFont="1" applyBorder="1" applyAlignment="1" applyProtection="1">
      <alignment horizontal="center"/>
    </xf>
    <xf numFmtId="0" fontId="21" fillId="15" borderId="12" xfId="37" applyFont="1" applyFill="1" applyBorder="1" applyAlignment="1" applyProtection="1">
      <alignment horizontal="center" wrapText="1"/>
      <protection locked="0"/>
    </xf>
    <xf numFmtId="169" fontId="14" fillId="0" borderId="12" xfId="33" applyNumberFormat="1" applyFont="1" applyFill="1" applyBorder="1" applyAlignment="1" applyProtection="1">
      <alignment horizontal="left" vertical="center" wrapText="1"/>
    </xf>
    <xf numFmtId="170" fontId="21" fillId="0" borderId="12" xfId="1" applyNumberFormat="1" applyFont="1" applyFill="1" applyBorder="1" applyAlignment="1" applyProtection="1">
      <alignment horizontal="center"/>
    </xf>
    <xf numFmtId="170" fontId="23" fillId="0" borderId="0" xfId="1" applyNumberFormat="1" applyFont="1" applyBorder="1" applyAlignment="1" applyProtection="1">
      <alignment horizontal="center"/>
    </xf>
    <xf numFmtId="9" fontId="21" fillId="0" borderId="12" xfId="31" applyFont="1" applyFill="1" applyBorder="1" applyAlignment="1" applyProtection="1">
      <alignment horizontal="center"/>
    </xf>
    <xf numFmtId="173" fontId="21" fillId="0" borderId="0" xfId="45" applyNumberFormat="1" applyFont="1" applyFill="1" applyBorder="1" applyAlignment="1" applyProtection="1">
      <alignment horizontal="center"/>
    </xf>
    <xf numFmtId="173" fontId="23" fillId="0" borderId="0" xfId="45" applyNumberFormat="1" applyFont="1" applyBorder="1" applyAlignment="1" applyProtection="1">
      <alignment horizontal="center"/>
    </xf>
    <xf numFmtId="170" fontId="21" fillId="15" borderId="15" xfId="1" applyNumberFormat="1" applyFont="1" applyFill="1" applyBorder="1" applyAlignment="1" applyProtection="1">
      <alignment horizontal="center"/>
      <protection locked="0"/>
    </xf>
    <xf numFmtId="164" fontId="21" fillId="5" borderId="0" xfId="1" applyFont="1" applyFill="1" applyBorder="1" applyAlignment="1" applyProtection="1"/>
    <xf numFmtId="0" fontId="21" fillId="5" borderId="0" xfId="9" applyNumberFormat="1" applyFont="1" applyFill="1" applyBorder="1" applyAlignment="1" applyProtection="1"/>
    <xf numFmtId="0" fontId="21" fillId="15" borderId="15" xfId="37" applyFont="1" applyFill="1" applyBorder="1" applyAlignment="1" applyProtection="1">
      <alignment horizontal="left"/>
      <protection locked="0"/>
    </xf>
    <xf numFmtId="170" fontId="21" fillId="0" borderId="12" xfId="1" applyNumberFormat="1" applyFont="1" applyFill="1" applyBorder="1" applyAlignment="1" applyProtection="1">
      <alignment horizontal="center" vertical="center"/>
    </xf>
    <xf numFmtId="164" fontId="21" fillId="15" borderId="15" xfId="1" applyFont="1" applyFill="1" applyBorder="1" applyAlignment="1" applyProtection="1">
      <alignment horizontal="left"/>
      <protection locked="0"/>
    </xf>
    <xf numFmtId="170" fontId="21" fillId="0" borderId="0" xfId="1" applyNumberFormat="1" applyFont="1" applyBorder="1" applyProtection="1"/>
    <xf numFmtId="2" fontId="21" fillId="15" borderId="17" xfId="0" applyNumberFormat="1" applyFont="1" applyFill="1" applyBorder="1" applyAlignment="1" applyProtection="1">
      <alignment horizontal="left" vertical="center"/>
      <protection locked="0"/>
    </xf>
    <xf numFmtId="2" fontId="21" fillId="15" borderId="15" xfId="0" applyNumberFormat="1" applyFont="1" applyFill="1" applyBorder="1" applyAlignment="1" applyProtection="1">
      <alignment horizontal="left" vertical="center"/>
      <protection locked="0"/>
    </xf>
    <xf numFmtId="2" fontId="21" fillId="15" borderId="16" xfId="0" applyNumberFormat="1" applyFont="1" applyFill="1" applyBorder="1" applyAlignment="1" applyProtection="1">
      <alignment horizontal="left" vertical="center"/>
      <protection locked="0"/>
    </xf>
    <xf numFmtId="164" fontId="21" fillId="24" borderId="12" xfId="1" applyFont="1" applyFill="1" applyBorder="1" applyAlignment="1" applyProtection="1">
      <alignment horizontal="center"/>
    </xf>
    <xf numFmtId="170" fontId="21" fillId="0" borderId="0" xfId="1" applyNumberFormat="1" applyFont="1" applyFill="1" applyBorder="1" applyAlignment="1" applyProtection="1">
      <alignment horizontal="center" vertical="center"/>
    </xf>
    <xf numFmtId="49" fontId="14" fillId="23" borderId="12" xfId="1" applyNumberFormat="1" applyFont="1" applyFill="1" applyBorder="1" applyAlignment="1" applyProtection="1">
      <alignment horizontal="left" vertical="center" wrapText="1"/>
    </xf>
    <xf numFmtId="164" fontId="21" fillId="24" borderId="12" xfId="1" applyFont="1" applyFill="1" applyBorder="1" applyAlignment="1" applyProtection="1">
      <alignment horizontal="left"/>
    </xf>
    <xf numFmtId="175" fontId="21" fillId="22" borderId="12" xfId="0" applyNumberFormat="1" applyFont="1" applyFill="1" applyBorder="1" applyAlignment="1" applyProtection="1">
      <alignment horizontal="center" vertical="center" wrapText="1"/>
      <protection locked="0"/>
    </xf>
    <xf numFmtId="168" fontId="21" fillId="14" borderId="12" xfId="0" applyNumberFormat="1" applyFont="1" applyFill="1" applyBorder="1" applyAlignment="1" applyProtection="1">
      <alignment horizontal="center" vertical="center"/>
      <protection locked="0"/>
    </xf>
    <xf numFmtId="0" fontId="15" fillId="22" borderId="12" xfId="0" applyFont="1" applyFill="1" applyBorder="1" applyAlignment="1" applyProtection="1">
      <alignment horizontal="center" vertical="center" wrapText="1"/>
      <protection locked="0"/>
    </xf>
    <xf numFmtId="0" fontId="21" fillId="15" borderId="12" xfId="37" applyFont="1" applyFill="1" applyBorder="1" applyAlignment="1" applyProtection="1">
      <alignment wrapText="1"/>
      <protection locked="0"/>
    </xf>
    <xf numFmtId="0" fontId="21" fillId="15" borderId="12" xfId="37" applyFont="1" applyFill="1" applyBorder="1" applyAlignment="1" applyProtection="1">
      <alignment horizontal="center" vertical="center"/>
      <protection locked="0"/>
    </xf>
    <xf numFmtId="9" fontId="21" fillId="15" borderId="12" xfId="31" applyFont="1" applyFill="1" applyBorder="1" applyAlignment="1" applyProtection="1">
      <alignment horizontal="center"/>
      <protection locked="0"/>
    </xf>
    <xf numFmtId="0" fontId="24" fillId="0" borderId="0" xfId="10" applyAlignment="1" applyProtection="1"/>
    <xf numFmtId="175" fontId="21" fillId="22" borderId="12" xfId="0" applyNumberFormat="1" applyFont="1" applyFill="1" applyBorder="1" applyAlignment="1" applyProtection="1">
      <alignment horizontal="left" vertical="center" wrapText="1"/>
      <protection locked="0"/>
    </xf>
    <xf numFmtId="170" fontId="23" fillId="5" borderId="0" xfId="1" applyNumberFormat="1" applyFont="1" applyFill="1" applyBorder="1" applyAlignment="1" applyProtection="1">
      <alignment horizontal="center" vertical="center"/>
    </xf>
    <xf numFmtId="164" fontId="51" fillId="3" borderId="28" xfId="101" applyNumberFormat="1" applyProtection="1"/>
    <xf numFmtId="164" fontId="14" fillId="0" borderId="12" xfId="1" applyFont="1" applyFill="1" applyBorder="1" applyAlignment="1" applyProtection="1">
      <alignment horizontal="center" vertical="center" wrapText="1"/>
    </xf>
    <xf numFmtId="0" fontId="21" fillId="15" borderId="15" xfId="37" applyFont="1" applyFill="1" applyBorder="1" applyAlignment="1" applyProtection="1">
      <alignment horizontal="left" vertical="center"/>
      <protection locked="0"/>
    </xf>
    <xf numFmtId="164" fontId="14" fillId="0" borderId="12" xfId="1" applyFont="1" applyFill="1" applyBorder="1" applyAlignment="1" applyProtection="1">
      <alignment horizontal="left" vertical="center" wrapText="1"/>
    </xf>
    <xf numFmtId="170" fontId="21" fillId="15" borderId="12" xfId="10" applyNumberFormat="1" applyFont="1" applyFill="1" applyBorder="1" applyAlignment="1" applyProtection="1">
      <alignment horizontal="left"/>
      <protection locked="0"/>
    </xf>
    <xf numFmtId="170" fontId="21" fillId="15" borderId="15" xfId="1" applyNumberFormat="1" applyFont="1" applyFill="1" applyBorder="1" applyAlignment="1" applyProtection="1">
      <alignment horizontal="center" vertical="center"/>
      <protection locked="0"/>
    </xf>
    <xf numFmtId="170" fontId="21" fillId="24" borderId="12" xfId="1" applyNumberFormat="1" applyFont="1" applyFill="1" applyBorder="1" applyAlignment="1" applyProtection="1">
      <alignment horizontal="center" vertical="center"/>
    </xf>
    <xf numFmtId="1" fontId="21" fillId="15" borderId="12" xfId="45" applyNumberFormat="1" applyFont="1" applyFill="1" applyBorder="1" applyAlignment="1" applyProtection="1">
      <alignment horizontal="center" vertical="center"/>
      <protection locked="0"/>
    </xf>
    <xf numFmtId="170" fontId="40" fillId="16" borderId="0" xfId="1" applyNumberFormat="1" applyFont="1" applyFill="1" applyBorder="1" applyAlignment="1" applyProtection="1">
      <alignment horizontal="center" vertical="center"/>
    </xf>
    <xf numFmtId="170" fontId="14" fillId="0" borderId="12" xfId="1" applyNumberFormat="1" applyFont="1" applyFill="1" applyBorder="1" applyAlignment="1" applyProtection="1">
      <alignment horizontal="left" vertical="center" wrapText="1"/>
    </xf>
    <xf numFmtId="170" fontId="21" fillId="0" borderId="12" xfId="1" applyNumberFormat="1" applyFont="1" applyBorder="1" applyAlignment="1" applyProtection="1">
      <alignment vertical="center"/>
    </xf>
    <xf numFmtId="170" fontId="21" fillId="0" borderId="12" xfId="1" applyNumberFormat="1" applyFont="1" applyBorder="1" applyAlignment="1" applyProtection="1">
      <alignment horizontal="left" vertical="center"/>
    </xf>
    <xf numFmtId="0" fontId="21" fillId="15" borderId="12" xfId="37" applyFont="1" applyFill="1" applyBorder="1" applyAlignment="1" applyProtection="1">
      <alignment horizontal="left" vertical="center"/>
      <protection locked="0"/>
    </xf>
    <xf numFmtId="0" fontId="21" fillId="15" borderId="12" xfId="37" applyFont="1" applyFill="1" applyBorder="1" applyAlignment="1" applyProtection="1">
      <alignment vertical="center"/>
      <protection locked="0"/>
    </xf>
    <xf numFmtId="175" fontId="21" fillId="15" borderId="12" xfId="37" applyNumberFormat="1" applyFont="1" applyFill="1" applyBorder="1" applyAlignment="1" applyProtection="1">
      <alignment horizontal="center" vertical="center"/>
      <protection locked="0"/>
    </xf>
    <xf numFmtId="0" fontId="21" fillId="15" borderId="15" xfId="37" applyFont="1" applyFill="1" applyBorder="1" applyAlignment="1" applyProtection="1">
      <alignment vertical="center"/>
      <protection locked="0"/>
    </xf>
    <xf numFmtId="0" fontId="21" fillId="15" borderId="12" xfId="37" applyFont="1" applyFill="1" applyBorder="1" applyAlignment="1" applyProtection="1">
      <alignment horizontal="center" vertical="center" wrapText="1"/>
      <protection locked="0"/>
    </xf>
    <xf numFmtId="9" fontId="23" fillId="0" borderId="0" xfId="31" applyFont="1" applyBorder="1" applyAlignment="1" applyProtection="1">
      <alignment horizontal="center" vertical="center"/>
    </xf>
    <xf numFmtId="170" fontId="21" fillId="0" borderId="13" xfId="1" applyNumberFormat="1" applyFont="1" applyFill="1" applyBorder="1" applyAlignment="1" applyProtection="1">
      <alignment horizontal="center" vertical="center"/>
    </xf>
    <xf numFmtId="164" fontId="21" fillId="0" borderId="0" xfId="1" applyFont="1" applyFill="1" applyBorder="1" applyAlignment="1" applyProtection="1">
      <alignment horizontal="center" vertical="center"/>
    </xf>
    <xf numFmtId="174" fontId="21" fillId="0" borderId="0" xfId="1" applyNumberFormat="1" applyFont="1" applyFill="1" applyBorder="1" applyAlignment="1" applyProtection="1">
      <alignment horizontal="center" vertical="center"/>
    </xf>
    <xf numFmtId="4" fontId="21" fillId="0" borderId="0" xfId="1" applyNumberFormat="1" applyFont="1" applyFill="1" applyBorder="1" applyAlignment="1" applyProtection="1">
      <alignment horizontal="center" vertical="center"/>
    </xf>
    <xf numFmtId="2" fontId="21" fillId="0" borderId="0" xfId="31" applyNumberFormat="1" applyFont="1" applyFill="1" applyBorder="1" applyAlignment="1" applyProtection="1">
      <alignment horizontal="center" vertical="center"/>
    </xf>
    <xf numFmtId="170" fontId="40" fillId="0" borderId="0" xfId="1" applyNumberFormat="1" applyFont="1" applyFill="1" applyBorder="1" applyAlignment="1" applyProtection="1">
      <alignment horizontal="center" vertical="center"/>
    </xf>
    <xf numFmtId="0" fontId="21" fillId="15" borderId="16" xfId="37" applyFont="1" applyFill="1" applyBorder="1" applyAlignment="1" applyProtection="1">
      <alignment horizontal="left" vertical="center"/>
      <protection locked="0"/>
    </xf>
    <xf numFmtId="0" fontId="21" fillId="15" borderId="17" xfId="37" applyFont="1" applyFill="1" applyBorder="1" applyAlignment="1" applyProtection="1">
      <alignment horizontal="left" vertical="center"/>
      <protection locked="0"/>
    </xf>
    <xf numFmtId="170" fontId="23" fillId="0" borderId="0" xfId="1" applyNumberFormat="1" applyFont="1" applyBorder="1" applyAlignment="1" applyProtection="1">
      <alignment horizontal="center" vertical="center"/>
    </xf>
    <xf numFmtId="1" fontId="23" fillId="0" borderId="0" xfId="1" applyNumberFormat="1" applyFont="1" applyBorder="1" applyAlignment="1" applyProtection="1">
      <alignment horizontal="center" vertical="center"/>
    </xf>
    <xf numFmtId="164" fontId="21" fillId="24" borderId="12" xfId="1" applyFont="1" applyFill="1" applyBorder="1" applyAlignment="1" applyProtection="1">
      <alignment horizontal="center" vertical="center"/>
    </xf>
    <xf numFmtId="170" fontId="21" fillId="0" borderId="16" xfId="1" applyNumberFormat="1" applyFont="1" applyFill="1" applyBorder="1" applyAlignment="1" applyProtection="1">
      <alignment horizontal="center" vertical="center"/>
    </xf>
    <xf numFmtId="0" fontId="21" fillId="15" borderId="11" xfId="37" applyFont="1" applyFill="1" applyBorder="1" applyAlignment="1" applyProtection="1">
      <alignment horizontal="left" vertical="center"/>
      <protection locked="0"/>
    </xf>
    <xf numFmtId="9" fontId="21" fillId="15" borderId="12" xfId="31" applyFont="1" applyFill="1" applyBorder="1" applyAlignment="1" applyProtection="1">
      <alignment horizontal="center" vertical="center"/>
      <protection locked="0"/>
    </xf>
    <xf numFmtId="9" fontId="21" fillId="0" borderId="12" xfId="31" applyFont="1" applyFill="1" applyBorder="1" applyAlignment="1" applyProtection="1">
      <alignment horizontal="center" vertical="center"/>
    </xf>
    <xf numFmtId="0" fontId="21" fillId="15" borderId="17" xfId="37" applyFont="1" applyFill="1" applyBorder="1" applyAlignment="1" applyProtection="1">
      <alignment horizontal="center" vertical="center"/>
      <protection locked="0"/>
    </xf>
    <xf numFmtId="2" fontId="21" fillId="15" borderId="12" xfId="31" applyNumberFormat="1" applyFont="1" applyFill="1" applyBorder="1" applyAlignment="1" applyProtection="1">
      <alignment horizontal="center" vertical="center"/>
      <protection locked="0"/>
    </xf>
    <xf numFmtId="170" fontId="23" fillId="0" borderId="0" xfId="1" applyNumberFormat="1" applyFont="1" applyFill="1" applyBorder="1" applyAlignment="1" applyProtection="1">
      <alignment horizontal="center" vertical="center"/>
    </xf>
    <xf numFmtId="9" fontId="21" fillId="15" borderId="12" xfId="37" applyNumberFormat="1" applyFont="1" applyFill="1" applyBorder="1" applyAlignment="1" applyProtection="1">
      <alignment horizontal="center" vertical="center"/>
      <protection locked="0"/>
    </xf>
    <xf numFmtId="0" fontId="21" fillId="15" borderId="7" xfId="37" applyFont="1" applyFill="1" applyBorder="1" applyAlignment="1" applyProtection="1">
      <alignment horizontal="left" vertical="center"/>
      <protection locked="0"/>
    </xf>
    <xf numFmtId="2" fontId="21" fillId="15" borderId="12" xfId="1" applyNumberFormat="1" applyFont="1" applyFill="1" applyBorder="1" applyAlignment="1" applyProtection="1">
      <alignment horizontal="center" vertical="center"/>
      <protection locked="0"/>
    </xf>
    <xf numFmtId="1" fontId="21" fillId="15" borderId="12" xfId="1" applyNumberFormat="1" applyFont="1" applyFill="1" applyBorder="1" applyAlignment="1" applyProtection="1">
      <alignment horizontal="center" vertical="center"/>
      <protection locked="0"/>
    </xf>
    <xf numFmtId="169" fontId="21" fillId="15" borderId="15" xfId="1" applyNumberFormat="1" applyFont="1" applyFill="1" applyBorder="1" applyAlignment="1" applyProtection="1">
      <alignment horizontal="left" vertical="center"/>
      <protection locked="0"/>
    </xf>
    <xf numFmtId="169" fontId="21" fillId="15" borderId="17" xfId="1" applyNumberFormat="1" applyFont="1" applyFill="1" applyBorder="1" applyAlignment="1" applyProtection="1">
      <alignment horizontal="center" vertical="center"/>
      <protection locked="0"/>
    </xf>
    <xf numFmtId="2" fontId="21" fillId="15" borderId="12" xfId="37" applyNumberFormat="1" applyFont="1" applyFill="1" applyBorder="1" applyAlignment="1" applyProtection="1">
      <alignment horizontal="center" vertical="center"/>
      <protection locked="0"/>
    </xf>
    <xf numFmtId="1" fontId="21" fillId="15" borderId="12" xfId="37" applyNumberFormat="1" applyFont="1" applyFill="1" applyBorder="1" applyAlignment="1" applyProtection="1">
      <alignment horizontal="center" vertical="center"/>
      <protection locked="0"/>
    </xf>
    <xf numFmtId="0" fontId="21" fillId="15" borderId="15" xfId="37" applyFont="1" applyFill="1" applyBorder="1" applyAlignment="1" applyProtection="1">
      <alignment horizontal="left" vertical="center" indent="1"/>
      <protection locked="0"/>
    </xf>
    <xf numFmtId="170" fontId="21" fillId="15" borderId="12" xfId="1" applyNumberFormat="1" applyFont="1" applyFill="1" applyBorder="1" applyAlignment="1" applyProtection="1">
      <alignment horizontal="left" vertical="center" wrapText="1"/>
      <protection locked="0"/>
    </xf>
    <xf numFmtId="166" fontId="21" fillId="24" borderId="12" xfId="1" applyNumberFormat="1" applyFont="1" applyFill="1" applyBorder="1" applyAlignment="1" applyProtection="1">
      <alignment horizontal="center" vertical="center"/>
    </xf>
    <xf numFmtId="165" fontId="21" fillId="0" borderId="12" xfId="1" applyNumberFormat="1" applyFont="1" applyFill="1" applyBorder="1" applyAlignment="1" applyProtection="1">
      <alignment horizontal="center" vertical="center"/>
    </xf>
    <xf numFmtId="2" fontId="21" fillId="15" borderId="12" xfId="37" applyNumberFormat="1" applyFont="1" applyFill="1" applyBorder="1" applyAlignment="1" applyProtection="1">
      <alignment horizontal="left" vertical="center"/>
      <protection locked="0"/>
    </xf>
    <xf numFmtId="164" fontId="14" fillId="0" borderId="12" xfId="1" applyFont="1" applyFill="1" applyBorder="1" applyAlignment="1" applyProtection="1">
      <alignment horizontal="left" vertical="center" wrapText="1" indent="1"/>
    </xf>
    <xf numFmtId="49" fontId="14" fillId="0" borderId="15" xfId="1" applyNumberFormat="1" applyFont="1" applyFill="1" applyBorder="1" applyAlignment="1" applyProtection="1">
      <alignment horizontal="left" vertical="center" indent="1"/>
    </xf>
    <xf numFmtId="165" fontId="21" fillId="0" borderId="17" xfId="1" applyNumberFormat="1" applyFont="1" applyFill="1" applyBorder="1" applyAlignment="1" applyProtection="1">
      <alignment horizontal="center" vertical="center"/>
    </xf>
    <xf numFmtId="2" fontId="21" fillId="15" borderId="15" xfId="37" applyNumberFormat="1" applyFont="1" applyFill="1" applyBorder="1" applyAlignment="1" applyProtection="1">
      <alignment horizontal="left" vertical="center"/>
      <protection locked="0"/>
    </xf>
    <xf numFmtId="170" fontId="41" fillId="16" borderId="7" xfId="1" applyNumberFormat="1" applyFont="1" applyFill="1" applyBorder="1" applyAlignment="1" applyProtection="1">
      <alignment horizontal="center" vertical="center"/>
    </xf>
    <xf numFmtId="0" fontId="42" fillId="15" borderId="12" xfId="37" applyFont="1" applyFill="1" applyBorder="1" applyAlignment="1" applyProtection="1">
      <alignment vertical="center"/>
      <protection locked="0"/>
    </xf>
    <xf numFmtId="164" fontId="21" fillId="24" borderId="15" xfId="1" applyFont="1" applyFill="1" applyBorder="1" applyAlignment="1" applyProtection="1">
      <alignment horizontal="center" vertical="center"/>
    </xf>
    <xf numFmtId="170" fontId="21" fillId="0" borderId="17" xfId="1" applyNumberFormat="1" applyFont="1" applyBorder="1" applyAlignment="1" applyProtection="1">
      <alignment horizontal="left" vertical="center"/>
    </xf>
    <xf numFmtId="2" fontId="14" fillId="0" borderId="12" xfId="1" applyNumberFormat="1" applyFont="1" applyFill="1" applyBorder="1" applyAlignment="1" applyProtection="1">
      <alignment horizontal="center" vertical="center" wrapText="1"/>
    </xf>
    <xf numFmtId="2" fontId="14" fillId="0" borderId="16" xfId="1" applyNumberFormat="1" applyFont="1" applyFill="1" applyBorder="1" applyAlignment="1" applyProtection="1">
      <alignment horizontal="center" vertical="center" wrapText="1"/>
    </xf>
    <xf numFmtId="167" fontId="15" fillId="22" borderId="12" xfId="45" applyFont="1" applyFill="1" applyBorder="1" applyAlignment="1" applyProtection="1">
      <alignment horizontal="center" vertical="center" wrapText="1"/>
      <protection locked="0"/>
    </xf>
    <xf numFmtId="0" fontId="28" fillId="15" borderId="12" xfId="0" applyFont="1" applyFill="1" applyBorder="1" applyAlignment="1" applyProtection="1">
      <alignment horizontal="center" vertical="center" wrapText="1"/>
      <protection locked="0"/>
    </xf>
    <xf numFmtId="178" fontId="34" fillId="15" borderId="12" xfId="0" applyNumberFormat="1" applyFont="1" applyFill="1" applyBorder="1" applyAlignment="1" applyProtection="1">
      <alignment horizontal="center" vertical="center" wrapText="1"/>
      <protection locked="0"/>
    </xf>
    <xf numFmtId="170" fontId="14" fillId="0" borderId="12" xfId="1" applyNumberFormat="1" applyFont="1" applyFill="1" applyBorder="1" applyAlignment="1" applyProtection="1">
      <alignment horizontal="left" vertical="center" wrapText="1" indent="1"/>
    </xf>
    <xf numFmtId="164" fontId="21" fillId="15" borderId="15" xfId="1" applyFont="1" applyFill="1" applyBorder="1" applyAlignment="1" applyProtection="1">
      <alignment horizontal="left" vertical="center"/>
      <protection locked="0"/>
    </xf>
    <xf numFmtId="164" fontId="21" fillId="15" borderId="17" xfId="1" applyFont="1" applyFill="1" applyBorder="1" applyAlignment="1" applyProtection="1">
      <alignment horizontal="center" vertical="center"/>
      <protection locked="0"/>
    </xf>
    <xf numFmtId="170" fontId="21" fillId="15" borderId="12" xfId="10" applyNumberFormat="1" applyFont="1" applyFill="1" applyBorder="1" applyAlignment="1" applyProtection="1">
      <alignment horizontal="center" vertical="center"/>
      <protection locked="0"/>
    </xf>
    <xf numFmtId="0" fontId="21" fillId="15" borderId="14" xfId="37" applyFont="1" applyFill="1" applyBorder="1" applyAlignment="1" applyProtection="1">
      <alignment horizontal="left" vertical="center"/>
      <protection locked="0"/>
    </xf>
    <xf numFmtId="0" fontId="21" fillId="15" borderId="8" xfId="37" applyFont="1" applyFill="1" applyBorder="1" applyAlignment="1" applyProtection="1">
      <alignment horizontal="left" vertical="center"/>
      <protection locked="0"/>
    </xf>
    <xf numFmtId="164" fontId="21" fillId="24" borderId="7" xfId="1" applyFont="1" applyFill="1" applyBorder="1" applyAlignment="1" applyProtection="1">
      <alignment horizontal="center" vertical="center"/>
    </xf>
    <xf numFmtId="164" fontId="41" fillId="16" borderId="12" xfId="1" applyFont="1" applyFill="1" applyBorder="1" applyAlignment="1" applyProtection="1">
      <alignment vertical="center"/>
    </xf>
    <xf numFmtId="164" fontId="21" fillId="0" borderId="13" xfId="1" applyFont="1" applyFill="1" applyBorder="1" applyAlignment="1" applyProtection="1">
      <alignment horizontal="center" vertical="center"/>
    </xf>
    <xf numFmtId="164" fontId="40" fillId="16" borderId="12" xfId="1" applyFont="1" applyFill="1" applyBorder="1" applyAlignment="1" applyProtection="1">
      <alignment horizontal="center" vertical="center"/>
    </xf>
    <xf numFmtId="164" fontId="40" fillId="16" borderId="15" xfId="1" applyFont="1" applyFill="1" applyBorder="1" applyAlignment="1" applyProtection="1">
      <alignment horizontal="left" vertical="center"/>
    </xf>
    <xf numFmtId="164" fontId="40" fillId="16" borderId="12" xfId="1" applyFont="1" applyFill="1" applyBorder="1" applyAlignment="1" applyProtection="1">
      <alignment horizontal="left" vertical="center"/>
    </xf>
    <xf numFmtId="164" fontId="40" fillId="0" borderId="0" xfId="1" applyFont="1" applyFill="1" applyBorder="1" applyAlignment="1" applyProtection="1">
      <alignment horizontal="center" vertical="center"/>
    </xf>
    <xf numFmtId="164" fontId="40" fillId="16" borderId="15" xfId="1" applyFont="1" applyFill="1" applyBorder="1" applyAlignment="1" applyProtection="1">
      <alignment horizontal="center" vertical="center"/>
    </xf>
    <xf numFmtId="164" fontId="40" fillId="16" borderId="7" xfId="1" applyFont="1" applyFill="1" applyBorder="1" applyAlignment="1" applyProtection="1">
      <alignment horizontal="center" vertical="center"/>
    </xf>
    <xf numFmtId="168" fontId="21" fillId="14" borderId="12" xfId="0" applyNumberFormat="1" applyFont="1" applyFill="1" applyBorder="1" applyAlignment="1" applyProtection="1">
      <alignment horizontal="center" vertical="center" wrapText="1"/>
      <protection locked="0"/>
    </xf>
    <xf numFmtId="168" fontId="40" fillId="16" borderId="7" xfId="1" applyNumberFormat="1" applyFont="1" applyFill="1" applyBorder="1" applyAlignment="1" applyProtection="1">
      <alignment horizontal="center" vertical="center"/>
    </xf>
    <xf numFmtId="164" fontId="21" fillId="14" borderId="15" xfId="1" applyFont="1" applyFill="1" applyBorder="1" applyAlignment="1" applyProtection="1">
      <alignment horizontal="left" vertical="center"/>
      <protection locked="0"/>
    </xf>
    <xf numFmtId="164" fontId="21" fillId="24" borderId="12" xfId="1" applyFont="1" applyFill="1" applyBorder="1" applyAlignment="1" applyProtection="1">
      <alignment vertical="center"/>
    </xf>
    <xf numFmtId="164" fontId="40" fillId="16" borderId="17" xfId="1" applyFont="1" applyFill="1" applyBorder="1" applyAlignment="1" applyProtection="1">
      <alignment horizontal="center" vertical="center"/>
    </xf>
    <xf numFmtId="168" fontId="14" fillId="14" borderId="12" xfId="0" applyNumberFormat="1" applyFont="1" applyFill="1" applyBorder="1" applyAlignment="1" applyProtection="1">
      <alignment horizontal="center" vertical="center"/>
      <protection locked="0"/>
    </xf>
    <xf numFmtId="168" fontId="43" fillId="16" borderId="17" xfId="1" applyNumberFormat="1" applyFont="1" applyFill="1" applyBorder="1" applyAlignment="1" applyProtection="1">
      <alignment horizontal="center" vertical="center"/>
    </xf>
    <xf numFmtId="164" fontId="40" fillId="16" borderId="12" xfId="1" applyFont="1" applyFill="1" applyBorder="1" applyAlignment="1" applyProtection="1">
      <alignment horizontal="center"/>
    </xf>
    <xf numFmtId="164" fontId="40" fillId="0" borderId="0" xfId="1" applyFont="1" applyFill="1" applyBorder="1" applyAlignment="1" applyProtection="1">
      <alignment horizontal="center"/>
    </xf>
    <xf numFmtId="164" fontId="43" fillId="16" borderId="17" xfId="1" applyFont="1" applyFill="1" applyBorder="1" applyAlignment="1" applyProtection="1">
      <alignment horizontal="center" vertical="center"/>
    </xf>
    <xf numFmtId="164" fontId="41" fillId="16" borderId="12" xfId="1" applyFont="1" applyFill="1" applyBorder="1" applyAlignment="1" applyProtection="1">
      <alignment horizontal="center" vertical="center"/>
    </xf>
    <xf numFmtId="168" fontId="21" fillId="0" borderId="13" xfId="1" applyNumberFormat="1" applyFont="1" applyFill="1" applyBorder="1" applyAlignment="1" applyProtection="1">
      <alignment horizontal="center" vertical="center"/>
    </xf>
    <xf numFmtId="170" fontId="15" fillId="0" borderId="16" xfId="1" applyNumberFormat="1" applyFont="1" applyFill="1" applyBorder="1" applyAlignment="1" applyProtection="1">
      <alignment horizontal="center" vertical="center"/>
    </xf>
    <xf numFmtId="170" fontId="65" fillId="0" borderId="16" xfId="1" applyNumberFormat="1" applyFont="1" applyFill="1" applyBorder="1" applyAlignment="1" applyProtection="1">
      <alignment horizontal="center" vertical="center"/>
    </xf>
    <xf numFmtId="0" fontId="30" fillId="29" borderId="12" xfId="11" applyFont="1" applyFill="1" applyBorder="1" applyAlignment="1" applyProtection="1">
      <alignment horizontal="left" vertical="center" wrapText="1"/>
      <protection locked="0"/>
    </xf>
    <xf numFmtId="1" fontId="21" fillId="22" borderId="12" xfId="0" applyNumberFormat="1" applyFont="1" applyFill="1" applyBorder="1" applyAlignment="1" applyProtection="1">
      <alignment horizontal="center" vertical="center" wrapText="1"/>
      <protection locked="0"/>
    </xf>
    <xf numFmtId="1" fontId="21" fillId="22" borderId="17" xfId="0" applyNumberFormat="1" applyFont="1" applyFill="1" applyBorder="1" applyAlignment="1" applyProtection="1">
      <alignment horizontal="center" vertical="center" wrapText="1"/>
      <protection locked="0"/>
    </xf>
    <xf numFmtId="1" fontId="21" fillId="0" borderId="13" xfId="1" applyNumberFormat="1" applyFont="1" applyFill="1" applyBorder="1" applyAlignment="1" applyProtection="1">
      <alignment horizontal="center" vertical="center"/>
    </xf>
    <xf numFmtId="2" fontId="21" fillId="15" borderId="17" xfId="37" applyNumberFormat="1" applyFont="1" applyFill="1" applyBorder="1" applyAlignment="1" applyProtection="1">
      <alignment horizontal="center" vertical="center"/>
      <protection locked="0"/>
    </xf>
    <xf numFmtId="2" fontId="21" fillId="0" borderId="0" xfId="1" applyNumberFormat="1" applyFont="1" applyFill="1" applyBorder="1" applyAlignment="1" applyProtection="1">
      <alignment horizontal="center" vertical="center"/>
    </xf>
    <xf numFmtId="2" fontId="21" fillId="0" borderId="16" xfId="1" applyNumberFormat="1" applyFont="1" applyFill="1" applyBorder="1" applyAlignment="1" applyProtection="1">
      <alignment horizontal="center" vertical="center"/>
    </xf>
    <xf numFmtId="2" fontId="21" fillId="0" borderId="12" xfId="1" applyNumberFormat="1" applyFont="1" applyFill="1" applyBorder="1" applyAlignment="1" applyProtection="1">
      <alignment horizontal="center" vertical="center"/>
    </xf>
    <xf numFmtId="2" fontId="21" fillId="15" borderId="7" xfId="37" applyNumberFormat="1" applyFont="1" applyFill="1" applyBorder="1" applyAlignment="1" applyProtection="1">
      <alignment horizontal="center" vertical="center"/>
      <protection locked="0"/>
    </xf>
    <xf numFmtId="2" fontId="21" fillId="0" borderId="12" xfId="45" applyNumberFormat="1" applyFont="1" applyFill="1" applyBorder="1" applyAlignment="1" applyProtection="1">
      <alignment horizontal="center" vertical="center"/>
    </xf>
    <xf numFmtId="2" fontId="21" fillId="15" borderId="12" xfId="45" applyNumberFormat="1" applyFont="1" applyFill="1" applyBorder="1" applyAlignment="1" applyProtection="1">
      <alignment horizontal="center" vertical="center"/>
      <protection locked="0"/>
    </xf>
    <xf numFmtId="2" fontId="21" fillId="0" borderId="0" xfId="1" applyNumberFormat="1" applyFont="1" applyFill="1" applyBorder="1" applyAlignment="1" applyProtection="1">
      <alignment horizontal="center"/>
    </xf>
    <xf numFmtId="2" fontId="21" fillId="15" borderId="15" xfId="45" applyNumberFormat="1" applyFont="1" applyFill="1" applyBorder="1" applyAlignment="1" applyProtection="1">
      <alignment horizontal="center" vertical="center"/>
      <protection locked="0"/>
    </xf>
    <xf numFmtId="2" fontId="21" fillId="0" borderId="15" xfId="45" applyNumberFormat="1" applyFont="1" applyFill="1" applyBorder="1" applyAlignment="1" applyProtection="1">
      <alignment horizontal="center" vertical="center"/>
    </xf>
    <xf numFmtId="2" fontId="23" fillId="0" borderId="0" xfId="1" applyNumberFormat="1" applyFont="1" applyBorder="1" applyAlignment="1" applyProtection="1">
      <alignment horizontal="center" vertical="center"/>
    </xf>
    <xf numFmtId="2" fontId="21" fillId="15" borderId="12" xfId="45" applyNumberFormat="1" applyFont="1" applyFill="1" applyBorder="1" applyAlignment="1" applyProtection="1">
      <alignment vertical="center"/>
      <protection locked="0"/>
    </xf>
    <xf numFmtId="1" fontId="21" fillId="15" borderId="17" xfId="1" applyNumberFormat="1" applyFont="1" applyFill="1" applyBorder="1" applyAlignment="1" applyProtection="1">
      <alignment horizontal="center" vertical="center"/>
      <protection locked="0"/>
    </xf>
    <xf numFmtId="164" fontId="41" fillId="16" borderId="7" xfId="1" applyFont="1" applyFill="1" applyBorder="1" applyAlignment="1" applyProtection="1">
      <alignment horizontal="center" vertical="center"/>
    </xf>
    <xf numFmtId="166" fontId="41" fillId="16" borderId="7" xfId="1" applyNumberFormat="1" applyFont="1" applyFill="1" applyBorder="1" applyAlignment="1" applyProtection="1">
      <alignment horizontal="center" vertical="center"/>
    </xf>
    <xf numFmtId="165" fontId="53" fillId="0" borderId="12" xfId="1" applyNumberFormat="1" applyFont="1" applyFill="1" applyBorder="1" applyAlignment="1" applyProtection="1">
      <alignment horizontal="center" vertical="center"/>
    </xf>
    <xf numFmtId="170" fontId="21" fillId="7" borderId="12" xfId="1" applyNumberFormat="1" applyFont="1" applyFill="1" applyBorder="1" applyAlignment="1" applyProtection="1">
      <alignment horizontal="center" vertical="center"/>
    </xf>
    <xf numFmtId="0" fontId="21" fillId="15" borderId="8" xfId="37" applyFont="1" applyFill="1" applyBorder="1" applyAlignment="1" applyProtection="1">
      <alignment horizontal="center" vertical="center"/>
      <protection locked="0"/>
    </xf>
    <xf numFmtId="164" fontId="14" fillId="0" borderId="0" xfId="1" applyFont="1" applyFill="1" applyBorder="1" applyAlignment="1" applyProtection="1">
      <alignment horizontal="left" vertical="center" wrapText="1"/>
    </xf>
    <xf numFmtId="170" fontId="21" fillId="15" borderId="12" xfId="10" applyNumberFormat="1" applyFont="1" applyFill="1" applyBorder="1" applyAlignment="1" applyProtection="1">
      <alignment horizontal="left" vertical="center"/>
      <protection locked="0"/>
    </xf>
    <xf numFmtId="164" fontId="21" fillId="24" borderId="12" xfId="1" applyFont="1" applyFill="1" applyBorder="1" applyAlignment="1" applyProtection="1">
      <alignment horizontal="left" vertical="center"/>
    </xf>
    <xf numFmtId="174" fontId="21" fillId="15" borderId="12" xfId="1" applyNumberFormat="1" applyFont="1" applyFill="1" applyBorder="1" applyAlignment="1" applyProtection="1">
      <alignment horizontal="center" vertical="center"/>
      <protection locked="0"/>
    </xf>
    <xf numFmtId="173" fontId="23" fillId="0" borderId="0" xfId="45" applyNumberFormat="1" applyFont="1" applyBorder="1" applyAlignment="1" applyProtection="1">
      <alignment horizontal="center" vertical="center"/>
    </xf>
    <xf numFmtId="172" fontId="23" fillId="0" borderId="0" xfId="45" applyNumberFormat="1" applyFont="1" applyBorder="1" applyAlignment="1" applyProtection="1">
      <alignment horizontal="center" vertical="center"/>
    </xf>
    <xf numFmtId="170" fontId="21" fillId="0" borderId="0" xfId="1" applyNumberFormat="1" applyFont="1" applyBorder="1" applyAlignment="1" applyProtection="1">
      <alignment vertical="center"/>
    </xf>
    <xf numFmtId="170" fontId="65" fillId="0" borderId="0" xfId="1" applyNumberFormat="1" applyFont="1" applyFill="1" applyBorder="1" applyAlignment="1" applyProtection="1">
      <alignment horizontal="center" vertical="center"/>
    </xf>
    <xf numFmtId="170" fontId="21" fillId="24" borderId="12" xfId="1" applyNumberFormat="1" applyFont="1" applyFill="1" applyBorder="1" applyAlignment="1" applyProtection="1">
      <alignment horizontal="left" vertical="center"/>
    </xf>
    <xf numFmtId="170" fontId="59" fillId="7" borderId="12" xfId="1" applyNumberFormat="1" applyFont="1" applyFill="1" applyBorder="1" applyAlignment="1" applyProtection="1">
      <alignment horizontal="center" vertical="center"/>
    </xf>
    <xf numFmtId="170" fontId="59" fillId="0" borderId="12" xfId="1" applyNumberFormat="1" applyFont="1" applyFill="1" applyBorder="1" applyAlignment="1" applyProtection="1">
      <alignment horizontal="center" vertical="center"/>
    </xf>
    <xf numFmtId="164" fontId="21" fillId="15" borderId="15" xfId="1" applyFont="1" applyFill="1" applyBorder="1" applyAlignment="1" applyProtection="1">
      <alignment horizontal="center" vertical="center"/>
      <protection locked="0"/>
    </xf>
    <xf numFmtId="170" fontId="65" fillId="0" borderId="16" xfId="1" applyNumberFormat="1" applyFont="1" applyFill="1" applyBorder="1" applyAlignment="1" applyProtection="1">
      <alignment horizontal="left" vertical="center"/>
    </xf>
    <xf numFmtId="164" fontId="21" fillId="24" borderId="17" xfId="1" applyFont="1" applyFill="1" applyBorder="1" applyAlignment="1" applyProtection="1">
      <alignment horizontal="left" vertical="center"/>
    </xf>
    <xf numFmtId="164" fontId="21" fillId="24" borderId="17" xfId="1" applyFont="1" applyFill="1" applyBorder="1" applyAlignment="1" applyProtection="1">
      <alignment horizontal="center" vertical="center"/>
    </xf>
    <xf numFmtId="170" fontId="65" fillId="0" borderId="12" xfId="1" applyNumberFormat="1" applyFont="1" applyFill="1" applyBorder="1" applyAlignment="1" applyProtection="1">
      <alignment horizontal="center" vertical="center"/>
    </xf>
    <xf numFmtId="166" fontId="21" fillId="0" borderId="12" xfId="1" applyNumberFormat="1" applyFont="1" applyFill="1" applyBorder="1" applyAlignment="1" applyProtection="1">
      <alignment horizontal="center" vertical="center"/>
    </xf>
    <xf numFmtId="164" fontId="23" fillId="0" borderId="17" xfId="1" applyFont="1" applyFill="1" applyBorder="1" applyAlignment="1" applyProtection="1">
      <alignment horizontal="center" vertical="center"/>
    </xf>
    <xf numFmtId="0" fontId="21" fillId="15" borderId="15" xfId="37" applyFont="1" applyFill="1" applyBorder="1" applyAlignment="1" applyProtection="1">
      <alignment horizontal="left" vertical="center" wrapText="1"/>
      <protection locked="0"/>
    </xf>
    <xf numFmtId="170" fontId="14" fillId="0" borderId="17" xfId="1" applyNumberFormat="1" applyFont="1" applyBorder="1" applyAlignment="1" applyProtection="1">
      <alignment horizontal="center" vertical="center"/>
    </xf>
    <xf numFmtId="0" fontId="21" fillId="15" borderId="12" xfId="37" applyFont="1" applyFill="1" applyBorder="1" applyAlignment="1" applyProtection="1">
      <alignment horizontal="left" vertical="center" wrapText="1"/>
      <protection locked="0"/>
    </xf>
    <xf numFmtId="0" fontId="21" fillId="15" borderId="7" xfId="37" applyFont="1" applyFill="1" applyBorder="1" applyAlignment="1" applyProtection="1">
      <alignment horizontal="left" vertical="center" wrapText="1"/>
      <protection locked="0"/>
    </xf>
    <xf numFmtId="0" fontId="21" fillId="15" borderId="12" xfId="37" applyFont="1" applyFill="1" applyBorder="1" applyAlignment="1" applyProtection="1">
      <alignment horizontal="left" vertical="center" wrapText="1" indent="1"/>
      <protection locked="0"/>
    </xf>
    <xf numFmtId="0" fontId="21" fillId="15" borderId="12" xfId="37" applyFont="1" applyFill="1" applyBorder="1" applyAlignment="1" applyProtection="1">
      <alignment horizontal="left" wrapText="1" indent="1"/>
      <protection locked="0"/>
    </xf>
    <xf numFmtId="2" fontId="15" fillId="15" borderId="12" xfId="0" applyNumberFormat="1" applyFont="1" applyFill="1" applyBorder="1" applyAlignment="1" applyProtection="1">
      <alignment horizontal="left" vertical="center" wrapText="1"/>
      <protection locked="0"/>
    </xf>
    <xf numFmtId="0" fontId="21" fillId="15" borderId="11" xfId="37" applyFont="1" applyFill="1" applyBorder="1" applyAlignment="1" applyProtection="1">
      <alignment horizontal="left" vertical="center" wrapText="1"/>
      <protection locked="0"/>
    </xf>
    <xf numFmtId="0" fontId="14" fillId="15" borderId="12" xfId="0" applyFont="1" applyFill="1" applyBorder="1" applyAlignment="1" applyProtection="1">
      <alignment horizontal="center" vertical="center"/>
      <protection locked="0"/>
    </xf>
    <xf numFmtId="0" fontId="14" fillId="15" borderId="12" xfId="0" applyFont="1" applyFill="1" applyBorder="1" applyAlignment="1" applyProtection="1">
      <alignment horizontal="left" vertical="center" wrapText="1"/>
      <protection locked="0"/>
    </xf>
    <xf numFmtId="0" fontId="30" fillId="20" borderId="12" xfId="11" applyFont="1" applyFill="1" applyBorder="1" applyAlignment="1" applyProtection="1">
      <alignment horizontal="left" vertical="center" wrapText="1"/>
      <protection locked="0"/>
    </xf>
    <xf numFmtId="0" fontId="30" fillId="20" borderId="12" xfId="11" applyFont="1" applyFill="1" applyBorder="1" applyAlignment="1" applyProtection="1">
      <alignment vertical="center" wrapText="1"/>
      <protection locked="0"/>
    </xf>
    <xf numFmtId="0" fontId="30" fillId="20" borderId="7" xfId="11" applyFont="1" applyFill="1" applyBorder="1" applyAlignment="1" applyProtection="1">
      <alignment horizontal="left" vertical="center" wrapText="1"/>
      <protection locked="0"/>
    </xf>
    <xf numFmtId="164" fontId="29" fillId="20" borderId="12" xfId="1" applyFont="1" applyFill="1" applyBorder="1" applyAlignment="1" applyProtection="1">
      <alignment vertical="center" wrapText="1"/>
      <protection locked="0"/>
    </xf>
    <xf numFmtId="165" fontId="21" fillId="0" borderId="15" xfId="1" applyNumberFormat="1" applyFont="1" applyFill="1" applyBorder="1" applyAlignment="1" applyProtection="1">
      <alignment horizontal="center" vertical="center"/>
    </xf>
    <xf numFmtId="2" fontId="21" fillId="15" borderId="15" xfId="45" applyNumberFormat="1" applyFont="1" applyFill="1" applyBorder="1" applyAlignment="1" applyProtection="1">
      <alignment horizontal="left" vertical="center"/>
      <protection locked="0"/>
    </xf>
    <xf numFmtId="1" fontId="21" fillId="15" borderId="15" xfId="37" applyNumberFormat="1" applyFont="1" applyFill="1" applyBorder="1" applyAlignment="1" applyProtection="1">
      <alignment horizontal="center" vertical="center"/>
      <protection locked="0"/>
    </xf>
    <xf numFmtId="165" fontId="21" fillId="0" borderId="16" xfId="1" applyNumberFormat="1" applyFont="1" applyFill="1" applyBorder="1" applyAlignment="1" applyProtection="1">
      <alignment horizontal="center" vertical="center"/>
    </xf>
    <xf numFmtId="1" fontId="21" fillId="15" borderId="15" xfId="37" applyNumberFormat="1" applyFont="1" applyFill="1" applyBorder="1" applyAlignment="1" applyProtection="1">
      <alignment horizontal="left" vertical="center"/>
      <protection locked="0"/>
    </xf>
    <xf numFmtId="0" fontId="21" fillId="15" borderId="12" xfId="37" applyFont="1" applyFill="1" applyBorder="1" applyAlignment="1" applyProtection="1">
      <alignment horizontal="left"/>
      <protection locked="0"/>
    </xf>
    <xf numFmtId="170" fontId="53" fillId="0" borderId="16" xfId="1" applyNumberFormat="1" applyFont="1" applyFill="1" applyBorder="1" applyAlignment="1" applyProtection="1">
      <alignment horizontal="center" vertical="center"/>
    </xf>
    <xf numFmtId="2" fontId="21" fillId="15" borderId="12" xfId="37" applyNumberFormat="1" applyFont="1" applyFill="1" applyBorder="1" applyAlignment="1" applyProtection="1">
      <alignment horizontal="left" vertical="center" wrapText="1"/>
      <protection locked="0"/>
    </xf>
    <xf numFmtId="175" fontId="21" fillId="15" borderId="12" xfId="37" applyNumberFormat="1" applyFont="1" applyFill="1" applyBorder="1" applyAlignment="1" applyProtection="1">
      <alignment horizontal="left" vertical="center" wrapText="1"/>
      <protection locked="0"/>
    </xf>
    <xf numFmtId="2" fontId="14" fillId="0" borderId="17" xfId="1" applyNumberFormat="1" applyFont="1" applyBorder="1" applyAlignment="1" applyProtection="1">
      <alignment horizontal="center" vertical="center"/>
    </xf>
    <xf numFmtId="164" fontId="14" fillId="14" borderId="17" xfId="0" applyNumberFormat="1" applyFont="1" applyFill="1" applyBorder="1" applyAlignment="1" applyProtection="1">
      <alignment horizontal="left" vertical="center"/>
      <protection locked="0"/>
    </xf>
    <xf numFmtId="164" fontId="14" fillId="14" borderId="16" xfId="0" applyNumberFormat="1" applyFont="1" applyFill="1" applyBorder="1" applyAlignment="1" applyProtection="1">
      <alignment horizontal="left" vertical="center"/>
      <protection locked="0"/>
    </xf>
    <xf numFmtId="49" fontId="14" fillId="14" borderId="15" xfId="0" applyNumberFormat="1" applyFont="1" applyFill="1" applyBorder="1" applyAlignment="1" applyProtection="1">
      <alignment horizontal="left" vertical="center"/>
      <protection locked="0"/>
    </xf>
    <xf numFmtId="164" fontId="21" fillId="14" borderId="16" xfId="1" applyFont="1" applyFill="1" applyBorder="1" applyAlignment="1" applyProtection="1">
      <alignment horizontal="left" vertical="center"/>
      <protection locked="0"/>
    </xf>
    <xf numFmtId="164" fontId="21" fillId="14" borderId="17" xfId="1" applyFont="1" applyFill="1" applyBorder="1" applyAlignment="1" applyProtection="1">
      <alignment horizontal="left" vertical="center"/>
      <protection locked="0"/>
    </xf>
    <xf numFmtId="164" fontId="21" fillId="15" borderId="12" xfId="1" applyFont="1" applyFill="1" applyBorder="1" applyAlignment="1" applyProtection="1">
      <alignment horizontal="left" vertical="center"/>
      <protection locked="0"/>
    </xf>
    <xf numFmtId="0" fontId="15" fillId="15" borderId="12" xfId="37" applyFont="1" applyFill="1" applyBorder="1" applyAlignment="1" applyProtection="1">
      <alignment horizontal="left" vertical="center"/>
      <protection locked="0"/>
    </xf>
    <xf numFmtId="2" fontId="14" fillId="15" borderId="12" xfId="0" applyNumberFormat="1" applyFont="1" applyFill="1" applyBorder="1" applyAlignment="1" applyProtection="1">
      <alignment horizontal="center" vertical="center"/>
      <protection locked="0"/>
    </xf>
    <xf numFmtId="164" fontId="14" fillId="0" borderId="12" xfId="1" applyFont="1" applyFill="1" applyBorder="1" applyAlignment="1" applyProtection="1">
      <alignment horizontal="left" vertical="center"/>
    </xf>
    <xf numFmtId="170" fontId="53" fillId="0" borderId="16" xfId="1" applyNumberFormat="1" applyFont="1" applyFill="1" applyBorder="1" applyAlignment="1" applyProtection="1">
      <alignment horizontal="left" vertical="center"/>
    </xf>
    <xf numFmtId="2" fontId="21" fillId="0" borderId="11" xfId="45" applyNumberFormat="1" applyFont="1" applyFill="1" applyBorder="1" applyAlignment="1" applyProtection="1">
      <alignment horizontal="center" vertical="center"/>
    </xf>
    <xf numFmtId="164" fontId="21" fillId="24" borderId="7" xfId="1" applyFont="1" applyFill="1" applyBorder="1" applyAlignment="1" applyProtection="1">
      <alignment horizontal="left" vertical="center"/>
    </xf>
    <xf numFmtId="170" fontId="21" fillId="24" borderId="7" xfId="1" applyNumberFormat="1" applyFont="1" applyFill="1" applyBorder="1" applyAlignment="1" applyProtection="1">
      <alignment horizontal="left" vertical="center"/>
    </xf>
    <xf numFmtId="2" fontId="21" fillId="15" borderId="7" xfId="45" applyNumberFormat="1" applyFont="1" applyFill="1" applyBorder="1" applyAlignment="1" applyProtection="1">
      <alignment horizontal="center" vertical="center"/>
      <protection locked="0"/>
    </xf>
    <xf numFmtId="170" fontId="21" fillId="15" borderId="7" xfId="10" applyNumberFormat="1" applyFont="1" applyFill="1" applyBorder="1" applyAlignment="1" applyProtection="1">
      <alignment horizontal="left" vertical="center"/>
      <protection locked="0"/>
    </xf>
    <xf numFmtId="170" fontId="59" fillId="0" borderId="7" xfId="1" applyNumberFormat="1" applyFont="1" applyFill="1" applyBorder="1" applyAlignment="1" applyProtection="1">
      <alignment horizontal="center" vertical="center"/>
    </xf>
    <xf numFmtId="164" fontId="21" fillId="15" borderId="7" xfId="1" applyFont="1" applyFill="1" applyBorder="1" applyAlignment="1" applyProtection="1">
      <alignment horizontal="left" vertical="center"/>
      <protection locked="0"/>
    </xf>
    <xf numFmtId="168" fontId="14" fillId="14" borderId="7" xfId="0" applyNumberFormat="1" applyFont="1" applyFill="1" applyBorder="1" applyAlignment="1" applyProtection="1">
      <alignment horizontal="center" vertical="center"/>
      <protection locked="0"/>
    </xf>
    <xf numFmtId="9" fontId="21" fillId="15" borderId="7" xfId="31" applyFont="1" applyFill="1" applyBorder="1" applyAlignment="1" applyProtection="1">
      <alignment horizontal="center" vertical="center"/>
      <protection locked="0"/>
    </xf>
    <xf numFmtId="9" fontId="21" fillId="0" borderId="7" xfId="31" applyFont="1" applyFill="1" applyBorder="1" applyAlignment="1" applyProtection="1">
      <alignment horizontal="center" vertical="center"/>
    </xf>
    <xf numFmtId="170" fontId="21" fillId="0" borderId="7" xfId="1" applyNumberFormat="1" applyFont="1" applyFill="1" applyBorder="1" applyAlignment="1" applyProtection="1">
      <alignment horizontal="center" vertical="center"/>
    </xf>
    <xf numFmtId="164" fontId="21" fillId="15" borderId="11" xfId="1" applyFont="1" applyFill="1" applyBorder="1" applyAlignment="1" applyProtection="1">
      <alignment horizontal="center" vertical="center"/>
      <protection locked="0"/>
    </xf>
    <xf numFmtId="170" fontId="74" fillId="0" borderId="16" xfId="10" applyNumberFormat="1" applyFont="1" applyFill="1" applyBorder="1" applyAlignment="1" applyProtection="1">
      <alignment horizontal="center" vertical="center"/>
    </xf>
    <xf numFmtId="0" fontId="74" fillId="0" borderId="16" xfId="10" applyFont="1" applyFill="1" applyBorder="1" applyAlignment="1" applyProtection="1">
      <alignment horizontal="left" vertical="center" wrapText="1"/>
    </xf>
    <xf numFmtId="0" fontId="74" fillId="0" borderId="16" xfId="10" quotePrefix="1" applyFont="1" applyFill="1" applyBorder="1" applyAlignment="1" applyProtection="1">
      <alignment horizontal="left" vertical="center" wrapText="1"/>
    </xf>
    <xf numFmtId="49" fontId="21" fillId="14" borderId="15" xfId="1" applyNumberFormat="1" applyFont="1" applyFill="1" applyBorder="1" applyAlignment="1" applyProtection="1">
      <alignment horizontal="left" vertical="center"/>
      <protection locked="0"/>
    </xf>
    <xf numFmtId="49" fontId="21" fillId="14" borderId="12" xfId="1" applyNumberFormat="1" applyFont="1" applyFill="1" applyBorder="1" applyAlignment="1" applyProtection="1">
      <alignment horizontal="left" vertical="center" wrapText="1"/>
      <protection locked="0"/>
    </xf>
    <xf numFmtId="49" fontId="21" fillId="14" borderId="16" xfId="1" applyNumberFormat="1" applyFont="1" applyFill="1" applyBorder="1" applyAlignment="1" applyProtection="1">
      <alignment horizontal="left" vertical="center"/>
      <protection locked="0"/>
    </xf>
    <xf numFmtId="49" fontId="21" fillId="14" borderId="17" xfId="1" applyNumberFormat="1" applyFont="1" applyFill="1" applyBorder="1" applyAlignment="1" applyProtection="1">
      <alignment horizontal="left" vertical="center"/>
      <protection locked="0"/>
    </xf>
    <xf numFmtId="164" fontId="41" fillId="16" borderId="12" xfId="1" applyFont="1" applyFill="1" applyBorder="1" applyAlignment="1" applyProtection="1">
      <alignment horizontal="center" vertical="center" wrapText="1"/>
    </xf>
    <xf numFmtId="170" fontId="53" fillId="0" borderId="14" xfId="1" applyNumberFormat="1" applyFont="1" applyFill="1" applyBorder="1" applyAlignment="1" applyProtection="1">
      <alignment horizontal="left" vertical="center"/>
    </xf>
    <xf numFmtId="170" fontId="74" fillId="0" borderId="16" xfId="10" applyNumberFormat="1" applyFont="1" applyFill="1" applyBorder="1" applyAlignment="1" applyProtection="1">
      <alignment horizontal="left" vertical="center"/>
    </xf>
    <xf numFmtId="170" fontId="77" fillId="0" borderId="16" xfId="10" applyNumberFormat="1" applyFont="1" applyFill="1" applyBorder="1" applyAlignment="1" applyProtection="1">
      <alignment horizontal="left" vertical="center"/>
    </xf>
    <xf numFmtId="0" fontId="74" fillId="0" borderId="12" xfId="10" applyFont="1" applyFill="1" applyBorder="1" applyAlignment="1" applyProtection="1">
      <alignment horizontal="center" vertical="center"/>
    </xf>
    <xf numFmtId="170" fontId="74" fillId="0" borderId="14" xfId="10" applyNumberFormat="1" applyFont="1" applyFill="1" applyBorder="1" applyAlignment="1" applyProtection="1">
      <alignment horizontal="center" vertical="center"/>
    </xf>
    <xf numFmtId="170" fontId="24" fillId="0" borderId="16" xfId="10" applyNumberFormat="1" applyFill="1" applyBorder="1" applyAlignment="1" applyProtection="1">
      <alignment horizontal="center" vertical="center"/>
    </xf>
    <xf numFmtId="170" fontId="79" fillId="3" borderId="28" xfId="101" applyNumberFormat="1" applyFont="1" applyAlignment="1" applyProtection="1">
      <alignment horizontal="center" vertical="center"/>
    </xf>
    <xf numFmtId="164" fontId="79" fillId="3" borderId="28" xfId="101" applyNumberFormat="1" applyFont="1" applyAlignment="1" applyProtection="1">
      <alignment horizontal="center" vertical="center"/>
    </xf>
    <xf numFmtId="164" fontId="14" fillId="5" borderId="0" xfId="1" applyFont="1" applyFill="1" applyBorder="1" applyAlignment="1" applyProtection="1"/>
    <xf numFmtId="0" fontId="83" fillId="0" borderId="0" xfId="102" applyFont="1" applyBorder="1" applyAlignment="1" applyProtection="1">
      <alignment horizontal="left" vertical="center"/>
    </xf>
    <xf numFmtId="0" fontId="83" fillId="0" borderId="0" xfId="102" applyFont="1" applyBorder="1" applyAlignment="1" applyProtection="1">
      <alignment horizontal="center" vertical="center"/>
    </xf>
    <xf numFmtId="164" fontId="14" fillId="0" borderId="12" xfId="1" applyFont="1" applyFill="1" applyBorder="1" applyAlignment="1" applyProtection="1">
      <alignment horizontal="center" vertical="center"/>
    </xf>
    <xf numFmtId="170" fontId="14" fillId="0" borderId="12" xfId="1" applyNumberFormat="1" applyFont="1" applyFill="1" applyBorder="1" applyAlignment="1" applyProtection="1">
      <alignment horizontal="center" vertical="center"/>
    </xf>
    <xf numFmtId="164" fontId="14" fillId="0" borderId="12" xfId="1" applyFont="1" applyFill="1" applyBorder="1" applyAlignment="1" applyProtection="1">
      <alignment vertical="center"/>
    </xf>
    <xf numFmtId="0" fontId="24" fillId="21" borderId="15" xfId="10" applyFill="1" applyBorder="1" applyAlignment="1" applyProtection="1">
      <alignment horizontal="center" vertical="center"/>
    </xf>
    <xf numFmtId="1" fontId="14" fillId="15" borderId="17" xfId="0" applyNumberFormat="1" applyFont="1" applyFill="1" applyBorder="1" applyAlignment="1" applyProtection="1">
      <alignment horizontal="center" vertical="center"/>
      <protection locked="0"/>
    </xf>
    <xf numFmtId="1" fontId="14" fillId="15" borderId="12" xfId="0" applyNumberFormat="1" applyFont="1" applyFill="1" applyBorder="1" applyAlignment="1" applyProtection="1">
      <alignment horizontal="center" vertical="center"/>
      <protection locked="0"/>
    </xf>
    <xf numFmtId="164" fontId="14" fillId="0" borderId="0" xfId="1" applyFont="1" applyBorder="1" applyAlignment="1" applyProtection="1">
      <alignment vertical="center"/>
    </xf>
    <xf numFmtId="170" fontId="14" fillId="0" borderId="0" xfId="1" applyNumberFormat="1" applyFont="1" applyBorder="1" applyAlignment="1" applyProtection="1">
      <alignment vertical="center"/>
    </xf>
    <xf numFmtId="169" fontId="14" fillId="15" borderId="15" xfId="0" applyNumberFormat="1" applyFont="1" applyFill="1" applyBorder="1" applyAlignment="1" applyProtection="1">
      <alignment vertical="center"/>
      <protection locked="0"/>
    </xf>
    <xf numFmtId="169" fontId="14" fillId="15" borderId="17" xfId="0" applyNumberFormat="1" applyFont="1" applyFill="1" applyBorder="1" applyAlignment="1" applyProtection="1">
      <alignment vertical="center"/>
      <protection locked="0"/>
    </xf>
    <xf numFmtId="169" fontId="14" fillId="15" borderId="17" xfId="0" applyNumberFormat="1" applyFont="1" applyFill="1" applyBorder="1" applyAlignment="1" applyProtection="1">
      <alignment horizontal="center" vertical="center"/>
      <protection locked="0"/>
    </xf>
    <xf numFmtId="0" fontId="14" fillId="0" borderId="0" xfId="0" applyFont="1" applyProtection="1">
      <protection hidden="1"/>
    </xf>
    <xf numFmtId="2" fontId="24" fillId="0" borderId="12" xfId="10" applyNumberFormat="1" applyFill="1" applyBorder="1" applyAlignment="1" applyProtection="1">
      <alignment horizontal="center" vertical="center"/>
    </xf>
    <xf numFmtId="0" fontId="45" fillId="27" borderId="9" xfId="2" applyFont="1" applyFill="1" applyBorder="1" applyAlignment="1" applyProtection="1">
      <alignment horizontal="left" indent="1"/>
      <protection hidden="1"/>
    </xf>
    <xf numFmtId="0" fontId="45" fillId="27" borderId="13" xfId="2" applyFont="1" applyFill="1" applyBorder="1" applyAlignment="1" applyProtection="1">
      <alignment horizontal="left" indent="1"/>
      <protection hidden="1"/>
    </xf>
    <xf numFmtId="0" fontId="45" fillId="27" borderId="16" xfId="2" applyFont="1" applyFill="1" applyBorder="1" applyAlignment="1" applyProtection="1">
      <alignment horizontal="left" indent="1"/>
      <protection hidden="1"/>
    </xf>
    <xf numFmtId="0" fontId="45" fillId="27" borderId="17" xfId="2" applyFont="1" applyFill="1" applyBorder="1" applyAlignment="1" applyProtection="1">
      <alignment horizontal="left" indent="1"/>
      <protection hidden="1"/>
    </xf>
    <xf numFmtId="0" fontId="85" fillId="0" borderId="11" xfId="2" applyFont="1" applyFill="1" applyBorder="1" applyAlignment="1" applyProtection="1">
      <alignment horizontal="left" indent="1"/>
      <protection hidden="1"/>
    </xf>
    <xf numFmtId="0" fontId="85" fillId="0" borderId="17" xfId="2" applyFont="1" applyFill="1" applyBorder="1" applyAlignment="1" applyProtection="1">
      <alignment horizontal="left" indent="1"/>
      <protection hidden="1"/>
    </xf>
    <xf numFmtId="175" fontId="85" fillId="17" borderId="12" xfId="31" applyNumberFormat="1" applyFont="1" applyFill="1" applyBorder="1" applyAlignment="1" applyProtection="1">
      <alignment horizontal="right"/>
      <protection hidden="1"/>
    </xf>
    <xf numFmtId="0" fontId="85" fillId="0" borderId="15" xfId="2" applyFont="1" applyFill="1" applyBorder="1" applyAlignment="1" applyProtection="1">
      <alignment horizontal="left" indent="1"/>
      <protection hidden="1"/>
    </xf>
    <xf numFmtId="2" fontId="85" fillId="17" borderId="12" xfId="31" applyNumberFormat="1" applyFont="1" applyFill="1" applyBorder="1" applyAlignment="1" applyProtection="1">
      <alignment horizontal="right"/>
      <protection hidden="1"/>
    </xf>
    <xf numFmtId="170" fontId="85" fillId="17" borderId="12" xfId="1" applyNumberFormat="1" applyFont="1" applyFill="1" applyBorder="1" applyAlignment="1" applyProtection="1">
      <alignment horizontal="right"/>
      <protection hidden="1"/>
    </xf>
    <xf numFmtId="0" fontId="85" fillId="0" borderId="0" xfId="2" applyFont="1" applyFill="1" applyBorder="1" applyAlignment="1" applyProtection="1">
      <alignment horizontal="left" indent="1"/>
      <protection hidden="1"/>
    </xf>
    <xf numFmtId="0" fontId="14" fillId="15" borderId="15" xfId="0" applyFont="1" applyFill="1" applyBorder="1" applyAlignment="1" applyProtection="1">
      <alignment vertical="center"/>
      <protection locked="0"/>
    </xf>
    <xf numFmtId="164" fontId="14" fillId="24" borderId="15" xfId="1" applyFont="1" applyFill="1" applyBorder="1" applyAlignment="1" applyProtection="1">
      <alignment horizontal="center" vertical="center"/>
    </xf>
    <xf numFmtId="49" fontId="14" fillId="14" borderId="16" xfId="0" applyNumberFormat="1" applyFont="1" applyFill="1" applyBorder="1" applyAlignment="1" applyProtection="1">
      <alignment horizontal="left" vertical="center"/>
      <protection locked="0"/>
    </xf>
    <xf numFmtId="49" fontId="14" fillId="14" borderId="17" xfId="0" applyNumberFormat="1" applyFont="1" applyFill="1" applyBorder="1" applyAlignment="1" applyProtection="1">
      <alignment horizontal="left" vertical="center"/>
      <protection locked="0"/>
    </xf>
    <xf numFmtId="170" fontId="14" fillId="0" borderId="0" xfId="1" applyNumberFormat="1" applyFont="1" applyFill="1" applyBorder="1" applyAlignment="1" applyProtection="1">
      <alignment horizontal="center" vertical="center"/>
    </xf>
    <xf numFmtId="168" fontId="14" fillId="0" borderId="0" xfId="1" applyNumberFormat="1" applyFont="1" applyFill="1" applyBorder="1" applyAlignment="1" applyProtection="1">
      <alignment horizontal="center" vertical="center"/>
    </xf>
    <xf numFmtId="168" fontId="14" fillId="0" borderId="0" xfId="1" applyNumberFormat="1" applyFont="1" applyBorder="1" applyProtection="1"/>
    <xf numFmtId="0" fontId="14" fillId="15" borderId="11" xfId="0" applyFont="1" applyFill="1" applyBorder="1" applyAlignment="1" applyProtection="1">
      <alignment vertical="center"/>
      <protection locked="0"/>
    </xf>
    <xf numFmtId="2" fontId="79" fillId="3" borderId="28" xfId="101" applyNumberFormat="1" applyFont="1" applyAlignment="1" applyProtection="1">
      <alignment horizontal="center" vertical="center"/>
    </xf>
    <xf numFmtId="164" fontId="46" fillId="16" borderId="28" xfId="101" applyNumberFormat="1" applyFont="1" applyFill="1" applyAlignment="1" applyProtection="1">
      <alignment horizontal="center" vertical="center"/>
    </xf>
    <xf numFmtId="0" fontId="24" fillId="0" borderId="0" xfId="10" quotePrefix="1" applyAlignment="1" applyProtection="1">
      <alignment horizontal="center" vertical="center"/>
    </xf>
    <xf numFmtId="0" fontId="24" fillId="0" borderId="0" xfId="10" quotePrefix="1" applyAlignment="1" applyProtection="1">
      <alignment horizontal="left" vertical="center"/>
    </xf>
    <xf numFmtId="0" fontId="24" fillId="0" borderId="0" xfId="10" applyAlignment="1" applyProtection="1">
      <alignment horizontal="left" vertical="center"/>
    </xf>
    <xf numFmtId="0" fontId="24" fillId="0" borderId="0" xfId="10" applyAlignment="1" applyProtection="1">
      <alignment horizontal="center" vertical="center"/>
    </xf>
    <xf numFmtId="0" fontId="24" fillId="0" borderId="0" xfId="10" quotePrefix="1" applyAlignment="1" applyProtection="1">
      <alignment horizontal="left"/>
    </xf>
    <xf numFmtId="0" fontId="24" fillId="0" borderId="0" xfId="10" applyAlignment="1" applyProtection="1">
      <alignment horizontal="left"/>
    </xf>
    <xf numFmtId="164" fontId="46" fillId="16" borderId="28" xfId="101" applyNumberFormat="1" applyFont="1" applyFill="1" applyAlignment="1" applyProtection="1">
      <alignment horizontal="center"/>
    </xf>
    <xf numFmtId="164" fontId="14" fillId="0" borderId="0" xfId="1" applyFont="1" applyFill="1" applyBorder="1" applyAlignment="1" applyProtection="1">
      <alignment horizontal="center" vertical="center"/>
    </xf>
    <xf numFmtId="0" fontId="24" fillId="0" borderId="15" xfId="10" applyFill="1" applyBorder="1" applyAlignment="1" applyProtection="1">
      <alignment horizontal="left" vertical="center" indent="1"/>
    </xf>
    <xf numFmtId="0" fontId="24" fillId="0" borderId="12" xfId="10" applyFill="1" applyBorder="1" applyAlignment="1" applyProtection="1">
      <alignment horizontal="left" vertical="center" indent="1"/>
    </xf>
    <xf numFmtId="0" fontId="24" fillId="0" borderId="12" xfId="10" quotePrefix="1" applyFill="1" applyBorder="1" applyAlignment="1" applyProtection="1">
      <alignment horizontal="center" vertical="center"/>
    </xf>
    <xf numFmtId="164" fontId="46" fillId="16" borderId="31" xfId="101" applyNumberFormat="1" applyFont="1" applyFill="1" applyBorder="1" applyAlignment="1" applyProtection="1">
      <alignment horizontal="center" vertical="center"/>
    </xf>
    <xf numFmtId="0" fontId="24" fillId="0" borderId="0" xfId="10" applyAlignment="1" applyProtection="1">
      <alignment horizontal="center" wrapText="1"/>
    </xf>
    <xf numFmtId="0" fontId="24" fillId="0" borderId="0" xfId="10" quotePrefix="1" applyAlignment="1" applyProtection="1">
      <alignment horizontal="center" wrapText="1"/>
    </xf>
    <xf numFmtId="164" fontId="14" fillId="0" borderId="15" xfId="1" applyFont="1" applyFill="1" applyBorder="1" applyAlignment="1" applyProtection="1">
      <alignment horizontal="left" vertical="center"/>
    </xf>
    <xf numFmtId="168" fontId="14" fillId="0" borderId="0" xfId="1" applyNumberFormat="1" applyFont="1" applyBorder="1" applyAlignment="1" applyProtection="1">
      <alignment vertical="center"/>
    </xf>
    <xf numFmtId="164" fontId="28" fillId="0" borderId="0" xfId="12" applyFont="1" applyFill="1" applyBorder="1" applyAlignment="1" applyProtection="1">
      <alignment horizontal="left" vertical="center"/>
      <protection hidden="1"/>
    </xf>
    <xf numFmtId="171" fontId="21" fillId="0" borderId="0" xfId="3" applyNumberFormat="1" applyFont="1" applyFill="1" applyBorder="1" applyAlignment="1" applyProtection="1">
      <alignment horizontal="center" wrapText="1"/>
    </xf>
    <xf numFmtId="170" fontId="23" fillId="0" borderId="0" xfId="1" applyNumberFormat="1" applyFont="1" applyFill="1" applyBorder="1" applyAlignment="1" applyProtection="1">
      <alignment horizontal="left" vertical="center"/>
    </xf>
    <xf numFmtId="0" fontId="24" fillId="0" borderId="15" xfId="10" applyFill="1" applyBorder="1" applyAlignment="1" applyProtection="1">
      <alignment horizontal="center" vertical="center"/>
    </xf>
    <xf numFmtId="0" fontId="24" fillId="0" borderId="0" xfId="10" applyAlignment="1" applyProtection="1">
      <alignment horizontal="center"/>
    </xf>
    <xf numFmtId="0" fontId="24" fillId="0" borderId="12" xfId="10" applyFill="1" applyBorder="1" applyAlignment="1" applyProtection="1">
      <alignment horizontal="center" vertical="center"/>
    </xf>
    <xf numFmtId="0" fontId="24" fillId="0" borderId="12" xfId="10" applyBorder="1" applyAlignment="1" applyProtection="1">
      <alignment horizontal="center" vertical="center"/>
    </xf>
    <xf numFmtId="0" fontId="24" fillId="0" borderId="4" xfId="10" quotePrefix="1" applyFill="1" applyBorder="1" applyAlignment="1" applyProtection="1">
      <alignment horizontal="center" vertical="center"/>
    </xf>
    <xf numFmtId="170" fontId="74" fillId="0" borderId="0" xfId="10" applyNumberFormat="1" applyFont="1" applyFill="1" applyBorder="1" applyAlignment="1" applyProtection="1">
      <alignment horizontal="center" vertical="center"/>
    </xf>
    <xf numFmtId="168" fontId="21" fillId="14" borderId="15" xfId="1" applyNumberFormat="1" applyFont="1" applyFill="1" applyBorder="1" applyAlignment="1" applyProtection="1">
      <alignment horizontal="right" vertical="center"/>
      <protection locked="0"/>
    </xf>
    <xf numFmtId="168" fontId="21" fillId="14" borderId="12" xfId="1" applyNumberFormat="1" applyFont="1" applyFill="1" applyBorder="1" applyAlignment="1" applyProtection="1">
      <alignment horizontal="center" vertical="center"/>
      <protection locked="0"/>
    </xf>
    <xf numFmtId="168" fontId="14" fillId="14" borderId="12" xfId="1" applyNumberFormat="1" applyFont="1" applyFill="1" applyBorder="1" applyAlignment="1" applyProtection="1">
      <alignment horizontal="center" vertical="center"/>
      <protection locked="0"/>
    </xf>
    <xf numFmtId="49" fontId="21" fillId="14" borderId="15" xfId="1" applyNumberFormat="1" applyFont="1" applyFill="1" applyBorder="1" applyAlignment="1" applyProtection="1">
      <alignment horizontal="left" vertical="center" wrapText="1"/>
      <protection locked="0"/>
    </xf>
    <xf numFmtId="49" fontId="21" fillId="14" borderId="16" xfId="1" applyNumberFormat="1" applyFont="1" applyFill="1" applyBorder="1" applyAlignment="1" applyProtection="1">
      <alignment horizontal="left" vertical="center" wrapText="1"/>
      <protection locked="0"/>
    </xf>
    <xf numFmtId="49" fontId="21" fillId="14" borderId="17" xfId="1" applyNumberFormat="1" applyFont="1" applyFill="1" applyBorder="1" applyAlignment="1" applyProtection="1">
      <alignment horizontal="left" vertical="center" wrapText="1"/>
      <protection locked="0"/>
    </xf>
    <xf numFmtId="168" fontId="21" fillId="14" borderId="12" xfId="1" applyNumberFormat="1" applyFont="1" applyFill="1" applyBorder="1" applyAlignment="1" applyProtection="1">
      <alignment horizontal="right" vertical="center" wrapText="1"/>
      <protection locked="0"/>
    </xf>
    <xf numFmtId="168" fontId="14" fillId="14" borderId="12" xfId="0" applyNumberFormat="1" applyFont="1" applyFill="1" applyBorder="1" applyAlignment="1" applyProtection="1">
      <alignment horizontal="right" vertical="center"/>
      <protection locked="0"/>
    </xf>
    <xf numFmtId="168" fontId="21" fillId="14" borderId="12" xfId="0" applyNumberFormat="1" applyFont="1" applyFill="1" applyBorder="1" applyAlignment="1" applyProtection="1">
      <alignment horizontal="right" vertical="center" wrapText="1"/>
      <protection locked="0"/>
    </xf>
    <xf numFmtId="168" fontId="14" fillId="28" borderId="12" xfId="0" applyNumberFormat="1" applyFont="1" applyFill="1" applyBorder="1" applyAlignment="1" applyProtection="1">
      <alignment horizontal="center" vertical="center"/>
      <protection locked="0"/>
    </xf>
    <xf numFmtId="168" fontId="21" fillId="14" borderId="11" xfId="1" applyNumberFormat="1" applyFont="1" applyFill="1" applyBorder="1" applyAlignment="1" applyProtection="1">
      <alignment horizontal="right" vertical="center"/>
      <protection locked="0"/>
    </xf>
    <xf numFmtId="49" fontId="21" fillId="15" borderId="12" xfId="37" applyNumberFormat="1" applyFont="1" applyFill="1" applyBorder="1" applyAlignment="1" applyProtection="1">
      <alignment horizontal="left" vertical="center" wrapText="1"/>
      <protection locked="0"/>
    </xf>
    <xf numFmtId="49" fontId="21" fillId="15" borderId="12" xfId="37" applyNumberFormat="1" applyFont="1" applyFill="1" applyBorder="1" applyAlignment="1" applyProtection="1">
      <alignment wrapText="1"/>
      <protection locked="0"/>
    </xf>
    <xf numFmtId="49" fontId="21" fillId="15" borderId="12" xfId="37" applyNumberFormat="1" applyFont="1" applyFill="1" applyBorder="1" applyAlignment="1" applyProtection="1">
      <alignment horizontal="left" wrapText="1"/>
      <protection locked="0"/>
    </xf>
    <xf numFmtId="49" fontId="21" fillId="15" borderId="15" xfId="37" applyNumberFormat="1" applyFont="1" applyFill="1" applyBorder="1" applyAlignment="1" applyProtection="1">
      <alignment horizontal="left" vertical="center" wrapText="1"/>
      <protection locked="0"/>
    </xf>
    <xf numFmtId="49" fontId="23" fillId="15" borderId="12" xfId="37" applyNumberFormat="1" applyFont="1" applyFill="1" applyBorder="1" applyAlignment="1" applyProtection="1">
      <alignment horizontal="left" vertical="center" wrapText="1"/>
      <protection locked="0"/>
    </xf>
    <xf numFmtId="49" fontId="15" fillId="15" borderId="12" xfId="0" applyNumberFormat="1" applyFont="1" applyFill="1" applyBorder="1" applyAlignment="1" applyProtection="1">
      <alignment horizontal="left" vertical="center" wrapText="1"/>
      <protection locked="0"/>
    </xf>
    <xf numFmtId="49" fontId="21" fillId="15" borderId="12" xfId="0" applyNumberFormat="1" applyFont="1" applyFill="1" applyBorder="1" applyAlignment="1" applyProtection="1">
      <alignment horizontal="left" vertical="center" wrapText="1"/>
      <protection locked="0"/>
    </xf>
    <xf numFmtId="49" fontId="15" fillId="15" borderId="12" xfId="0" applyNumberFormat="1" applyFont="1" applyFill="1" applyBorder="1" applyAlignment="1" applyProtection="1">
      <alignment horizontal="center" vertical="center" wrapText="1"/>
      <protection locked="0"/>
    </xf>
    <xf numFmtId="49" fontId="14" fillId="15" borderId="12" xfId="0" applyNumberFormat="1" applyFont="1" applyFill="1" applyBorder="1" applyAlignment="1" applyProtection="1">
      <alignment horizontal="left" wrapText="1"/>
      <protection locked="0"/>
    </xf>
    <xf numFmtId="49" fontId="14" fillId="15" borderId="12" xfId="0" applyNumberFormat="1" applyFont="1" applyFill="1" applyBorder="1" applyAlignment="1" applyProtection="1">
      <alignment horizontal="left" vertical="center" wrapText="1"/>
      <protection locked="0"/>
    </xf>
    <xf numFmtId="0" fontId="24" fillId="0" borderId="12" xfId="10" applyNumberFormat="1" applyFill="1" applyBorder="1" applyAlignment="1" applyProtection="1">
      <alignment horizontal="center" vertical="center"/>
    </xf>
    <xf numFmtId="49" fontId="14" fillId="15" borderId="7" xfId="0" applyNumberFormat="1" applyFont="1" applyFill="1" applyBorder="1" applyAlignment="1" applyProtection="1">
      <alignment horizontal="left" vertical="center" wrapText="1"/>
      <protection locked="0"/>
    </xf>
    <xf numFmtId="49" fontId="21" fillId="15" borderId="12" xfId="37" applyNumberFormat="1" applyFont="1" applyFill="1" applyBorder="1" applyAlignment="1" applyProtection="1">
      <alignment horizontal="left" vertical="center" wrapText="1" indent="1"/>
      <protection locked="0"/>
    </xf>
    <xf numFmtId="49" fontId="21" fillId="15" borderId="7" xfId="37" applyNumberFormat="1" applyFont="1" applyFill="1" applyBorder="1" applyAlignment="1" applyProtection="1">
      <alignment horizontal="left" vertical="center" wrapText="1"/>
      <protection locked="0"/>
    </xf>
    <xf numFmtId="49" fontId="21" fillId="15" borderId="12" xfId="1" applyNumberFormat="1" applyFont="1" applyFill="1" applyBorder="1" applyAlignment="1" applyProtection="1">
      <alignment horizontal="left" vertical="center"/>
      <protection locked="0"/>
    </xf>
    <xf numFmtId="167" fontId="21" fillId="15" borderId="12" xfId="45" applyFont="1" applyFill="1" applyBorder="1" applyAlignment="1" applyProtection="1">
      <alignment horizontal="center" vertical="center"/>
      <protection locked="0"/>
    </xf>
    <xf numFmtId="167" fontId="21" fillId="15" borderId="12" xfId="45" applyFont="1" applyFill="1" applyBorder="1" applyAlignment="1" applyProtection="1">
      <alignment vertical="center"/>
      <protection locked="0"/>
    </xf>
    <xf numFmtId="167" fontId="21" fillId="15" borderId="15" xfId="45" applyFont="1" applyFill="1" applyBorder="1" applyAlignment="1" applyProtection="1">
      <alignment horizontal="center" vertical="center"/>
      <protection locked="0"/>
    </xf>
    <xf numFmtId="167" fontId="21" fillId="0" borderId="15" xfId="45" applyFont="1" applyFill="1" applyBorder="1" applyAlignment="1" applyProtection="1">
      <alignment horizontal="center" vertical="center"/>
    </xf>
    <xf numFmtId="167" fontId="21" fillId="15" borderId="12" xfId="45" applyFont="1" applyFill="1" applyBorder="1" applyAlignment="1" applyProtection="1">
      <alignment horizontal="center" vertical="center" wrapText="1"/>
      <protection locked="0"/>
    </xf>
    <xf numFmtId="167" fontId="21" fillId="22" borderId="12" xfId="45" applyFont="1" applyFill="1" applyBorder="1" applyAlignment="1" applyProtection="1">
      <alignment horizontal="center" vertical="center" wrapText="1"/>
      <protection locked="0"/>
    </xf>
    <xf numFmtId="167" fontId="21" fillId="0" borderId="13" xfId="45" applyFont="1" applyFill="1" applyBorder="1" applyAlignment="1" applyProtection="1">
      <alignment horizontal="center" vertical="center"/>
    </xf>
    <xf numFmtId="167" fontId="21" fillId="0" borderId="0" xfId="45" applyFont="1" applyFill="1" applyBorder="1" applyAlignment="1" applyProtection="1">
      <alignment horizontal="center" vertical="center"/>
    </xf>
    <xf numFmtId="167" fontId="21" fillId="0" borderId="12" xfId="45" applyFont="1" applyFill="1" applyBorder="1" applyAlignment="1" applyProtection="1">
      <alignment horizontal="center" vertical="center"/>
    </xf>
    <xf numFmtId="167" fontId="21" fillId="0" borderId="7" xfId="45" applyFont="1" applyFill="1" applyBorder="1" applyAlignment="1" applyProtection="1">
      <alignment horizontal="center" vertical="center"/>
    </xf>
    <xf numFmtId="167" fontId="21" fillId="15" borderId="7" xfId="45" applyFont="1" applyFill="1" applyBorder="1" applyAlignment="1" applyProtection="1">
      <alignment horizontal="center" vertical="center"/>
      <protection locked="0"/>
    </xf>
    <xf numFmtId="167" fontId="21" fillId="15" borderId="17" xfId="45" applyFont="1" applyFill="1" applyBorder="1" applyAlignment="1" applyProtection="1">
      <alignment horizontal="center" vertical="center"/>
      <protection locked="0"/>
    </xf>
    <xf numFmtId="167" fontId="14" fillId="15" borderId="12" xfId="45" applyFont="1" applyFill="1" applyBorder="1" applyAlignment="1" applyProtection="1">
      <alignment horizontal="center" vertical="center"/>
      <protection locked="0"/>
    </xf>
    <xf numFmtId="167" fontId="79" fillId="3" borderId="28" xfId="45" applyFont="1" applyFill="1" applyBorder="1" applyAlignment="1" applyProtection="1">
      <alignment horizontal="center" vertical="center"/>
    </xf>
    <xf numFmtId="167" fontId="21" fillId="15" borderId="11" xfId="45" applyFont="1" applyFill="1" applyBorder="1" applyAlignment="1" applyProtection="1">
      <alignment horizontal="center" vertical="center"/>
      <protection locked="0"/>
    </xf>
    <xf numFmtId="167" fontId="21" fillId="0" borderId="11" xfId="45" applyFont="1" applyFill="1" applyBorder="1" applyAlignment="1" applyProtection="1">
      <alignment horizontal="center" vertical="center"/>
    </xf>
    <xf numFmtId="167" fontId="21" fillId="15" borderId="12" xfId="45" applyFont="1" applyFill="1" applyBorder="1" applyAlignment="1" applyProtection="1">
      <alignment horizontal="center"/>
      <protection locked="0"/>
    </xf>
    <xf numFmtId="167" fontId="21" fillId="0" borderId="15" xfId="45" applyFont="1" applyFill="1" applyBorder="1" applyAlignment="1" applyProtection="1">
      <alignment horizontal="center"/>
    </xf>
    <xf numFmtId="167" fontId="21" fillId="0" borderId="0" xfId="45" applyFont="1" applyFill="1" applyBorder="1" applyAlignment="1" applyProtection="1">
      <alignment horizontal="center"/>
    </xf>
    <xf numFmtId="167" fontId="91" fillId="0" borderId="28" xfId="45" applyFont="1" applyFill="1" applyBorder="1" applyAlignment="1" applyProtection="1">
      <alignment horizontal="center" vertical="center"/>
    </xf>
    <xf numFmtId="167" fontId="21" fillId="15" borderId="12" xfId="45" applyFont="1" applyFill="1" applyBorder="1" applyAlignment="1" applyProtection="1">
      <alignment horizontal="left" vertical="center"/>
      <protection locked="0"/>
    </xf>
    <xf numFmtId="0" fontId="14" fillId="15" borderId="12" xfId="0" applyFont="1" applyFill="1" applyBorder="1" applyAlignment="1" applyProtection="1">
      <alignment vertical="center"/>
      <protection locked="0"/>
    </xf>
    <xf numFmtId="164" fontId="21" fillId="15" borderId="12" xfId="1" applyFont="1" applyFill="1" applyBorder="1" applyAlignment="1" applyProtection="1">
      <alignment horizontal="left"/>
      <protection locked="0"/>
    </xf>
    <xf numFmtId="0" fontId="24" fillId="0" borderId="0" xfId="10" applyAlignment="1" applyProtection="1">
      <alignment vertical="center"/>
    </xf>
    <xf numFmtId="0" fontId="24" fillId="0" borderId="0" xfId="10" applyAlignment="1" applyProtection="1">
      <alignment vertical="top"/>
    </xf>
    <xf numFmtId="175" fontId="21" fillId="15" borderId="12" xfId="37" applyNumberFormat="1" applyFont="1" applyFill="1" applyBorder="1" applyAlignment="1" applyProtection="1">
      <alignment vertical="center"/>
      <protection locked="0"/>
    </xf>
    <xf numFmtId="2" fontId="21" fillId="15" borderId="12" xfId="37" applyNumberFormat="1" applyFont="1" applyFill="1" applyBorder="1" applyAlignment="1" applyProtection="1">
      <alignment vertical="center"/>
      <protection locked="0"/>
    </xf>
    <xf numFmtId="0" fontId="15" fillId="22" borderId="12" xfId="0" applyFont="1" applyFill="1" applyBorder="1" applyAlignment="1" applyProtection="1">
      <alignment horizontal="right" vertical="center" wrapText="1"/>
      <protection locked="0"/>
    </xf>
    <xf numFmtId="1" fontId="14" fillId="15" borderId="12" xfId="0" applyNumberFormat="1" applyFont="1" applyFill="1" applyBorder="1" applyAlignment="1" applyProtection="1">
      <alignment horizontal="right" vertical="center"/>
      <protection locked="0"/>
    </xf>
    <xf numFmtId="166" fontId="51" fillId="3" borderId="28" xfId="101" applyNumberFormat="1" applyAlignment="1" applyProtection="1">
      <alignment horizontal="center" vertical="center"/>
    </xf>
    <xf numFmtId="164" fontId="51" fillId="3" borderId="28" xfId="1" applyFont="1" applyFill="1" applyBorder="1" applyAlignment="1" applyProtection="1">
      <alignment horizontal="center" vertical="center"/>
    </xf>
    <xf numFmtId="170" fontId="51" fillId="3" borderId="28" xfId="101" applyNumberFormat="1" applyAlignment="1" applyProtection="1">
      <alignment horizontal="center" vertical="center"/>
    </xf>
    <xf numFmtId="168" fontId="51" fillId="3" borderId="28" xfId="101" applyNumberFormat="1" applyAlignment="1" applyProtection="1">
      <alignment horizontal="center" vertical="center"/>
    </xf>
    <xf numFmtId="170" fontId="24" fillId="0" borderId="0" xfId="10" applyNumberFormat="1" applyFill="1" applyBorder="1" applyAlignment="1" applyProtection="1">
      <alignment horizontal="center" vertical="center"/>
    </xf>
    <xf numFmtId="0" fontId="14" fillId="15" borderId="7" xfId="37" applyFill="1" applyBorder="1" applyAlignment="1" applyProtection="1">
      <alignment horizontal="left" vertical="center" wrapText="1"/>
      <protection locked="0"/>
    </xf>
    <xf numFmtId="164" fontId="51" fillId="3" borderId="28" xfId="101" applyNumberFormat="1" applyAlignment="1" applyProtection="1">
      <alignment horizontal="center" vertical="center"/>
    </xf>
    <xf numFmtId="170" fontId="24" fillId="0" borderId="14" xfId="10" applyNumberFormat="1" applyFill="1" applyBorder="1" applyAlignment="1" applyProtection="1">
      <alignment horizontal="center" vertical="center"/>
    </xf>
    <xf numFmtId="164" fontId="91" fillId="0" borderId="28" xfId="1" applyFont="1" applyFill="1" applyBorder="1" applyAlignment="1" applyProtection="1">
      <alignment horizontal="center" vertical="center"/>
    </xf>
    <xf numFmtId="170" fontId="92" fillId="3" borderId="28" xfId="101" applyNumberFormat="1" applyFont="1" applyAlignment="1" applyProtection="1">
      <alignment horizontal="center" vertical="center"/>
    </xf>
    <xf numFmtId="164" fontId="91" fillId="0" borderId="31" xfId="1" applyFont="1" applyFill="1" applyBorder="1" applyAlignment="1" applyProtection="1">
      <alignment horizontal="center" vertical="center"/>
    </xf>
    <xf numFmtId="164" fontId="92" fillId="3" borderId="28" xfId="101" applyNumberFormat="1" applyFont="1" applyAlignment="1" applyProtection="1">
      <alignment horizontal="center" vertical="center"/>
    </xf>
    <xf numFmtId="164" fontId="92" fillId="3" borderId="31" xfId="101" applyNumberFormat="1" applyFont="1" applyBorder="1" applyAlignment="1" applyProtection="1">
      <alignment horizontal="center" vertical="center"/>
    </xf>
    <xf numFmtId="164" fontId="91" fillId="0" borderId="28" xfId="101" applyNumberFormat="1" applyFont="1" applyFill="1" applyAlignment="1" applyProtection="1">
      <alignment horizontal="center" vertical="center"/>
    </xf>
    <xf numFmtId="2" fontId="15" fillId="22" borderId="12" xfId="0" applyNumberFormat="1" applyFont="1" applyFill="1" applyBorder="1" applyAlignment="1" applyProtection="1">
      <alignment horizontal="center" vertical="center" wrapText="1"/>
      <protection locked="0"/>
    </xf>
    <xf numFmtId="1" fontId="15" fillId="22" borderId="12" xfId="45" applyNumberFormat="1" applyFont="1" applyFill="1" applyBorder="1" applyAlignment="1" applyProtection="1">
      <alignment horizontal="center" vertical="center" wrapText="1"/>
      <protection locked="0"/>
    </xf>
    <xf numFmtId="1" fontId="15" fillId="22" borderId="12" xfId="0" applyNumberFormat="1" applyFont="1" applyFill="1" applyBorder="1" applyAlignment="1" applyProtection="1">
      <alignment horizontal="center" vertical="center" wrapText="1"/>
      <protection locked="0"/>
    </xf>
    <xf numFmtId="167" fontId="21" fillId="15" borderId="12" xfId="37" applyNumberFormat="1" applyFont="1" applyFill="1" applyBorder="1" applyAlignment="1" applyProtection="1">
      <alignment horizontal="center" vertical="center"/>
      <protection locked="0"/>
    </xf>
    <xf numFmtId="164" fontId="46" fillId="16" borderId="17" xfId="1" applyFont="1" applyFill="1" applyBorder="1" applyAlignment="1" applyProtection="1">
      <alignment horizontal="center" vertical="center"/>
    </xf>
    <xf numFmtId="164" fontId="79" fillId="12" borderId="28" xfId="101" applyNumberFormat="1" applyFont="1" applyFill="1" applyAlignment="1" applyProtection="1">
      <alignment horizontal="center" vertical="center"/>
    </xf>
    <xf numFmtId="164" fontId="21" fillId="7" borderId="12" xfId="1" applyFont="1" applyFill="1" applyBorder="1" applyAlignment="1" applyProtection="1">
      <alignment horizontal="center" vertical="center"/>
    </xf>
    <xf numFmtId="164" fontId="46" fillId="16" borderId="28" xfId="1" applyFont="1" applyFill="1" applyBorder="1" applyAlignment="1" applyProtection="1">
      <alignment horizontal="left" vertical="center"/>
    </xf>
    <xf numFmtId="164" fontId="21" fillId="0" borderId="12" xfId="1" applyFont="1" applyFill="1" applyBorder="1" applyAlignment="1" applyProtection="1">
      <alignment horizontal="center" vertical="center"/>
    </xf>
    <xf numFmtId="169" fontId="51" fillId="3" borderId="28" xfId="101" applyNumberFormat="1" applyAlignment="1" applyProtection="1">
      <alignment horizontal="center" vertical="center"/>
    </xf>
    <xf numFmtId="168" fontId="21" fillId="24" borderId="12" xfId="1" applyNumberFormat="1" applyFont="1" applyFill="1" applyBorder="1" applyAlignment="1" applyProtection="1">
      <alignment horizontal="center" vertical="center"/>
    </xf>
    <xf numFmtId="164" fontId="14" fillId="14" borderId="12" xfId="0" applyNumberFormat="1" applyFont="1" applyFill="1" applyBorder="1" applyAlignment="1" applyProtection="1">
      <alignment horizontal="center" vertical="center"/>
      <protection locked="0"/>
    </xf>
    <xf numFmtId="1" fontId="21" fillId="15" borderId="12" xfId="45" applyNumberFormat="1" applyFont="1" applyFill="1" applyBorder="1" applyAlignment="1" applyProtection="1">
      <alignment vertical="center"/>
      <protection locked="0"/>
    </xf>
    <xf numFmtId="167" fontId="51" fillId="3" borderId="28" xfId="101" applyNumberFormat="1" applyAlignment="1" applyProtection="1">
      <alignment horizontal="center" vertical="center"/>
    </xf>
    <xf numFmtId="2" fontId="51" fillId="3" borderId="28" xfId="101" applyNumberFormat="1" applyAlignment="1" applyProtection="1">
      <alignment horizontal="center" vertical="center"/>
    </xf>
    <xf numFmtId="0" fontId="93" fillId="0" borderId="15" xfId="2" applyFont="1" applyFill="1" applyBorder="1" applyAlignment="1" applyProtection="1">
      <alignment horizontal="left" indent="1"/>
      <protection hidden="1"/>
    </xf>
    <xf numFmtId="0" fontId="74" fillId="0" borderId="0" xfId="10" quotePrefix="1" applyFont="1" applyAlignment="1" applyProtection="1">
      <alignment horizontal="center" vertical="center"/>
    </xf>
    <xf numFmtId="170" fontId="53" fillId="0" borderId="12" xfId="1" applyNumberFormat="1" applyFont="1" applyFill="1" applyBorder="1" applyAlignment="1" applyProtection="1">
      <alignment horizontal="left" vertical="center"/>
    </xf>
    <xf numFmtId="0" fontId="74" fillId="0" borderId="0" xfId="10" applyFont="1" applyAlignment="1" applyProtection="1">
      <alignment horizontal="left" vertical="center" wrapText="1"/>
    </xf>
    <xf numFmtId="0" fontId="74" fillId="0" borderId="0" xfId="10" quotePrefix="1" applyFont="1" applyAlignment="1" applyProtection="1">
      <alignment horizontal="left" vertical="center" wrapText="1"/>
    </xf>
    <xf numFmtId="0" fontId="14" fillId="15" borderId="12" xfId="37" applyFill="1" applyBorder="1" applyAlignment="1" applyProtection="1">
      <alignment horizontal="left" vertical="center" wrapText="1"/>
      <protection locked="0"/>
    </xf>
    <xf numFmtId="2" fontId="14" fillId="0" borderId="15" xfId="45" applyNumberFormat="1" applyFont="1" applyFill="1" applyBorder="1" applyAlignment="1" applyProtection="1">
      <alignment horizontal="center" vertical="center"/>
    </xf>
    <xf numFmtId="167" fontId="14" fillId="0" borderId="15" xfId="45" applyFont="1" applyFill="1" applyBorder="1" applyAlignment="1" applyProtection="1">
      <alignment horizontal="center" vertical="center"/>
    </xf>
    <xf numFmtId="2" fontId="14" fillId="15" borderId="12" xfId="45" applyNumberFormat="1" applyFont="1" applyFill="1" applyBorder="1" applyAlignment="1" applyProtection="1">
      <alignment horizontal="center" vertical="center"/>
      <protection locked="0"/>
    </xf>
    <xf numFmtId="0" fontId="14" fillId="15" borderId="15" xfId="37" applyFill="1" applyBorder="1" applyAlignment="1" applyProtection="1">
      <alignment horizontal="left" vertical="center"/>
      <protection locked="0"/>
    </xf>
    <xf numFmtId="0" fontId="14" fillId="15" borderId="17" xfId="37" applyFill="1" applyBorder="1" applyAlignment="1" applyProtection="1">
      <alignment horizontal="center" vertical="center"/>
      <protection locked="0"/>
    </xf>
    <xf numFmtId="0" fontId="14" fillId="15" borderId="12" xfId="37" applyFill="1" applyBorder="1" applyAlignment="1" applyProtection="1">
      <alignment horizontal="left" vertical="center"/>
      <protection locked="0"/>
    </xf>
    <xf numFmtId="164" fontId="14" fillId="24" borderId="12" xfId="1" applyFont="1" applyFill="1" applyBorder="1" applyAlignment="1" applyProtection="1">
      <alignment horizontal="center" vertical="center"/>
    </xf>
    <xf numFmtId="164" fontId="14" fillId="24" borderId="12" xfId="1" applyFont="1" applyFill="1" applyBorder="1" applyAlignment="1" applyProtection="1">
      <alignment horizontal="left" vertical="center"/>
    </xf>
    <xf numFmtId="167" fontId="14" fillId="15" borderId="15" xfId="45" applyFont="1" applyFill="1" applyBorder="1" applyAlignment="1" applyProtection="1">
      <alignment horizontal="center" vertical="center"/>
      <protection locked="0"/>
    </xf>
    <xf numFmtId="170" fontId="14" fillId="15" borderId="12" xfId="10" applyNumberFormat="1" applyFont="1" applyFill="1" applyBorder="1" applyAlignment="1" applyProtection="1">
      <alignment horizontal="left" vertical="center"/>
      <protection locked="0"/>
    </xf>
    <xf numFmtId="2" fontId="14" fillId="15" borderId="12" xfId="1" applyNumberFormat="1" applyFont="1" applyFill="1" applyBorder="1" applyAlignment="1" applyProtection="1">
      <alignment horizontal="center" vertical="center"/>
      <protection locked="0"/>
    </xf>
    <xf numFmtId="164" fontId="14" fillId="15" borderId="12" xfId="1" applyFont="1" applyFill="1" applyBorder="1" applyAlignment="1" applyProtection="1">
      <alignment horizontal="left" vertical="center"/>
      <protection locked="0"/>
    </xf>
    <xf numFmtId="9" fontId="14" fillId="15" borderId="12" xfId="31" applyFont="1" applyFill="1" applyBorder="1" applyAlignment="1" applyProtection="1">
      <alignment horizontal="center" vertical="center"/>
      <protection locked="0"/>
    </xf>
    <xf numFmtId="9" fontId="14" fillId="0" borderId="12" xfId="31" applyFont="1" applyFill="1" applyBorder="1" applyAlignment="1" applyProtection="1">
      <alignment horizontal="center" vertical="center"/>
    </xf>
    <xf numFmtId="164" fontId="14" fillId="15" borderId="15" xfId="1" applyFont="1" applyFill="1" applyBorder="1" applyAlignment="1" applyProtection="1">
      <alignment horizontal="center" vertical="center"/>
      <protection locked="0"/>
    </xf>
    <xf numFmtId="164" fontId="45" fillId="16" borderId="12" xfId="1" applyFont="1" applyFill="1" applyBorder="1" applyAlignment="1" applyProtection="1">
      <alignment horizontal="center" vertical="center"/>
    </xf>
    <xf numFmtId="49" fontId="14" fillId="14" borderId="15" xfId="1" applyNumberFormat="1" applyFont="1" applyFill="1" applyBorder="1" applyAlignment="1" applyProtection="1">
      <alignment horizontal="left" vertical="center"/>
      <protection locked="0"/>
    </xf>
    <xf numFmtId="49" fontId="14" fillId="14" borderId="16" xfId="1" applyNumberFormat="1" applyFont="1" applyFill="1" applyBorder="1" applyAlignment="1" applyProtection="1">
      <alignment horizontal="left" vertical="center"/>
      <protection locked="0"/>
    </xf>
    <xf numFmtId="49" fontId="14" fillId="14" borderId="17" xfId="1" applyNumberFormat="1" applyFont="1" applyFill="1" applyBorder="1" applyAlignment="1" applyProtection="1">
      <alignment horizontal="left" vertical="center"/>
      <protection locked="0"/>
    </xf>
    <xf numFmtId="164" fontId="14" fillId="24" borderId="4" xfId="1" applyFont="1" applyFill="1" applyBorder="1" applyAlignment="1" applyProtection="1">
      <alignment horizontal="center" vertical="center"/>
    </xf>
    <xf numFmtId="164" fontId="14" fillId="15" borderId="12" xfId="1" applyFont="1" applyFill="1" applyBorder="1" applyAlignment="1" applyProtection="1">
      <alignment horizontal="center" vertical="center"/>
      <protection locked="0"/>
    </xf>
    <xf numFmtId="164" fontId="96" fillId="7" borderId="12" xfId="1" applyFont="1" applyFill="1" applyBorder="1" applyAlignment="1" applyProtection="1">
      <alignment horizontal="center" vertical="center"/>
    </xf>
    <xf numFmtId="164" fontId="96" fillId="0" borderId="12" xfId="1" applyFont="1" applyFill="1" applyBorder="1" applyAlignment="1" applyProtection="1">
      <alignment horizontal="center" vertical="center"/>
    </xf>
    <xf numFmtId="164" fontId="95" fillId="3" borderId="28" xfId="101" applyNumberFormat="1" applyFont="1" applyAlignment="1" applyProtection="1">
      <alignment horizontal="center" vertical="center"/>
    </xf>
    <xf numFmtId="164" fontId="21" fillId="0" borderId="0" xfId="1" applyFont="1" applyBorder="1" applyAlignment="1" applyProtection="1">
      <alignment vertical="center"/>
    </xf>
    <xf numFmtId="164" fontId="14" fillId="0" borderId="0" xfId="1" applyFont="1" applyBorder="1" applyProtection="1"/>
    <xf numFmtId="164" fontId="21" fillId="24" borderId="4" xfId="1" applyFont="1" applyFill="1" applyBorder="1" applyAlignment="1" applyProtection="1">
      <alignment horizontal="center" vertical="center"/>
    </xf>
    <xf numFmtId="164" fontId="21" fillId="15" borderId="12" xfId="1" applyFont="1" applyFill="1" applyBorder="1" applyAlignment="1" applyProtection="1">
      <alignment horizontal="center" vertical="center"/>
      <protection locked="0"/>
    </xf>
    <xf numFmtId="164" fontId="59" fillId="7" borderId="12" xfId="1" applyFont="1" applyFill="1" applyBorder="1" applyAlignment="1" applyProtection="1">
      <alignment horizontal="center" vertical="center"/>
    </xf>
    <xf numFmtId="164" fontId="59" fillId="7" borderId="7" xfId="1" applyFont="1" applyFill="1" applyBorder="1" applyAlignment="1" applyProtection="1">
      <alignment horizontal="center" vertical="center"/>
    </xf>
    <xf numFmtId="164" fontId="21" fillId="24" borderId="6" xfId="1" applyFont="1" applyFill="1" applyBorder="1" applyAlignment="1" applyProtection="1">
      <alignment horizontal="center" vertical="center"/>
    </xf>
    <xf numFmtId="164" fontId="21" fillId="15" borderId="7" xfId="1" applyFont="1" applyFill="1" applyBorder="1" applyAlignment="1" applyProtection="1">
      <alignment horizontal="center" vertical="center"/>
      <protection locked="0"/>
    </xf>
    <xf numFmtId="164" fontId="59" fillId="0" borderId="12" xfId="1" applyFont="1" applyFill="1" applyBorder="1" applyAlignment="1" applyProtection="1">
      <alignment horizontal="center" vertical="center"/>
    </xf>
    <xf numFmtId="2" fontId="21" fillId="15" borderId="15" xfId="37" applyNumberFormat="1" applyFont="1" applyFill="1" applyBorder="1" applyAlignment="1" applyProtection="1">
      <alignment horizontal="center" vertical="center"/>
      <protection locked="0"/>
    </xf>
    <xf numFmtId="164" fontId="21" fillId="0" borderId="0" xfId="1" applyFont="1" applyFill="1" applyBorder="1" applyAlignment="1" applyProtection="1">
      <alignment horizontal="center"/>
    </xf>
    <xf numFmtId="164" fontId="59" fillId="7" borderId="12" xfId="1" applyFont="1" applyFill="1" applyBorder="1" applyAlignment="1" applyProtection="1">
      <alignment horizontal="center"/>
    </xf>
    <xf numFmtId="0" fontId="51" fillId="3" borderId="28" xfId="101" applyAlignment="1" applyProtection="1">
      <alignment horizontal="center" vertical="center"/>
      <protection hidden="1"/>
    </xf>
    <xf numFmtId="168" fontId="15" fillId="14" borderId="12" xfId="1" applyNumberFormat="1" applyFont="1" applyFill="1" applyBorder="1" applyAlignment="1" applyProtection="1">
      <alignment horizontal="center" vertical="center" wrapText="1"/>
      <protection locked="0"/>
    </xf>
    <xf numFmtId="168" fontId="21" fillId="14" borderId="12" xfId="1" applyNumberFormat="1" applyFont="1" applyFill="1" applyBorder="1" applyAlignment="1" applyProtection="1">
      <alignment horizontal="right" vertical="center"/>
      <protection locked="0"/>
    </xf>
    <xf numFmtId="180" fontId="21" fillId="0" borderId="12" xfId="45" applyNumberFormat="1" applyFont="1" applyFill="1" applyBorder="1" applyAlignment="1" applyProtection="1">
      <alignment horizontal="center" vertical="center"/>
    </xf>
    <xf numFmtId="168" fontId="21" fillId="14" borderId="12" xfId="0" applyNumberFormat="1" applyFont="1" applyFill="1" applyBorder="1" applyAlignment="1" applyProtection="1">
      <alignment horizontal="right" vertical="center"/>
      <protection locked="0"/>
    </xf>
    <xf numFmtId="175" fontId="51" fillId="3" borderId="28" xfId="101" applyNumberFormat="1" applyAlignment="1" applyProtection="1">
      <alignment horizontal="center" vertical="center" wrapText="1"/>
    </xf>
    <xf numFmtId="2" fontId="51" fillId="3" borderId="28" xfId="101" applyNumberFormat="1" applyAlignment="1" applyProtection="1">
      <alignment horizontal="center" vertical="center" wrapText="1"/>
    </xf>
    <xf numFmtId="164" fontId="14" fillId="14" borderId="12" xfId="1" applyFont="1" applyFill="1" applyBorder="1" applyAlignment="1" applyProtection="1">
      <alignment horizontal="center" vertical="center"/>
      <protection locked="0"/>
    </xf>
    <xf numFmtId="170" fontId="2" fillId="0" borderId="12" xfId="14" applyNumberFormat="1" applyFont="1" applyFill="1" applyBorder="1" applyAlignment="1" applyProtection="1">
      <alignment horizontal="left"/>
      <protection hidden="1"/>
    </xf>
    <xf numFmtId="0" fontId="21" fillId="5" borderId="0" xfId="9" applyNumberFormat="1" applyFont="1" applyFill="1" applyBorder="1" applyAlignment="1" applyProtection="1">
      <alignment horizontal="left"/>
    </xf>
    <xf numFmtId="0" fontId="25" fillId="5" borderId="0" xfId="10" applyNumberFormat="1" applyFont="1" applyFill="1" applyBorder="1" applyAlignment="1" applyProtection="1">
      <alignment horizontal="left"/>
    </xf>
    <xf numFmtId="164" fontId="21" fillId="5" borderId="0" xfId="1" applyFont="1" applyFill="1" applyBorder="1" applyAlignment="1" applyProtection="1">
      <alignment horizontal="left"/>
    </xf>
    <xf numFmtId="49" fontId="14" fillId="0" borderId="15" xfId="1" applyNumberFormat="1" applyFont="1" applyFill="1" applyBorder="1" applyAlignment="1" applyProtection="1">
      <alignment horizontal="left" vertical="center" wrapText="1" indent="1"/>
    </xf>
    <xf numFmtId="49" fontId="14" fillId="0" borderId="16" xfId="1" applyNumberFormat="1" applyFont="1" applyFill="1" applyBorder="1" applyAlignment="1" applyProtection="1">
      <alignment horizontal="left" vertical="center" wrapText="1" indent="1"/>
    </xf>
    <xf numFmtId="49" fontId="14" fillId="0" borderId="17" xfId="1" applyNumberFormat="1" applyFont="1" applyFill="1" applyBorder="1" applyAlignment="1" applyProtection="1">
      <alignment horizontal="left" vertical="center" wrapText="1" indent="1"/>
    </xf>
    <xf numFmtId="0" fontId="14" fillId="5" borderId="0" xfId="0" applyFont="1" applyFill="1"/>
    <xf numFmtId="0" fontId="24" fillId="0" borderId="14" xfId="10" applyFill="1" applyBorder="1" applyAlignment="1" applyProtection="1">
      <alignment horizontal="center" vertical="center"/>
    </xf>
    <xf numFmtId="0" fontId="78" fillId="0" borderId="0" xfId="37" applyFont="1" applyAlignment="1">
      <alignment horizontal="left" vertical="center"/>
    </xf>
    <xf numFmtId="0" fontId="14" fillId="0" borderId="0" xfId="0" applyFont="1"/>
    <xf numFmtId="0" fontId="17" fillId="5" borderId="0" xfId="0" applyFont="1" applyFill="1" applyAlignment="1">
      <alignment horizontal="center"/>
    </xf>
    <xf numFmtId="0" fontId="14" fillId="6" borderId="0" xfId="0" applyFont="1" applyFill="1"/>
    <xf numFmtId="0" fontId="14" fillId="5" borderId="9" xfId="0" applyFont="1" applyFill="1" applyBorder="1"/>
    <xf numFmtId="0" fontId="14" fillId="5" borderId="13" xfId="0" applyFont="1" applyFill="1" applyBorder="1"/>
    <xf numFmtId="0" fontId="14" fillId="5" borderId="5" xfId="0" applyFont="1" applyFill="1" applyBorder="1"/>
    <xf numFmtId="0" fontId="14" fillId="5" borderId="10" xfId="0" applyFont="1" applyFill="1" applyBorder="1"/>
    <xf numFmtId="0" fontId="22" fillId="5" borderId="0" xfId="0" applyFont="1" applyFill="1" applyAlignment="1">
      <alignment vertical="center"/>
    </xf>
    <xf numFmtId="0" fontId="22" fillId="5" borderId="0" xfId="0" applyFont="1" applyFill="1" applyAlignment="1">
      <alignment horizontal="center" vertical="center"/>
    </xf>
    <xf numFmtId="0" fontId="14" fillId="5" borderId="30" xfId="0" applyFont="1" applyFill="1" applyBorder="1"/>
    <xf numFmtId="0" fontId="23" fillId="5" borderId="0" xfId="0" applyFont="1" applyFill="1"/>
    <xf numFmtId="0" fontId="21" fillId="5" borderId="0" xfId="0" applyFont="1" applyFill="1"/>
    <xf numFmtId="0" fontId="21" fillId="5" borderId="0" xfId="0" applyFont="1" applyFill="1" applyAlignment="1">
      <alignment horizontal="left"/>
    </xf>
    <xf numFmtId="0" fontId="23" fillId="5" borderId="0" xfId="0" applyFont="1" applyFill="1" applyAlignment="1">
      <alignment horizontal="right"/>
    </xf>
    <xf numFmtId="0" fontId="26" fillId="5" borderId="0" xfId="0" applyFont="1" applyFill="1"/>
    <xf numFmtId="0" fontId="27" fillId="0" borderId="0" xfId="0" applyFont="1" applyAlignment="1">
      <alignment vertical="center"/>
    </xf>
    <xf numFmtId="0" fontId="27" fillId="0" borderId="0" xfId="0" applyFont="1" applyAlignment="1">
      <alignment horizontal="center" vertical="center"/>
    </xf>
    <xf numFmtId="168" fontId="21" fillId="0" borderId="0" xfId="0" applyNumberFormat="1" applyFont="1"/>
    <xf numFmtId="168" fontId="14" fillId="0" borderId="0" xfId="0" applyNumberFormat="1" applyFont="1"/>
    <xf numFmtId="168" fontId="21" fillId="0" borderId="0" xfId="0" applyNumberFormat="1" applyFont="1" applyAlignment="1">
      <alignment horizontal="right"/>
    </xf>
    <xf numFmtId="0" fontId="17" fillId="5" borderId="0" xfId="0" applyFont="1" applyFill="1"/>
    <xf numFmtId="0" fontId="17" fillId="0" borderId="0" xfId="0" applyFont="1"/>
    <xf numFmtId="0" fontId="21" fillId="0" borderId="0" xfId="0" applyFont="1"/>
    <xf numFmtId="0" fontId="23" fillId="0" borderId="0" xfId="0" applyFont="1" applyAlignment="1">
      <alignment vertical="center"/>
    </xf>
    <xf numFmtId="0" fontId="19" fillId="0" borderId="0" xfId="0" applyFont="1" applyAlignment="1">
      <alignment vertical="center"/>
    </xf>
    <xf numFmtId="168" fontId="23" fillId="0" borderId="0" xfId="0" applyNumberFormat="1" applyFont="1"/>
    <xf numFmtId="0" fontId="23" fillId="0" borderId="0" xfId="0" applyFont="1" applyAlignment="1">
      <alignment horizontal="left" vertical="center"/>
    </xf>
    <xf numFmtId="168" fontId="23" fillId="0" borderId="0" xfId="0" applyNumberFormat="1" applyFont="1" applyAlignment="1">
      <alignment horizontal="right"/>
    </xf>
    <xf numFmtId="168" fontId="19" fillId="0" borderId="0" xfId="0" applyNumberFormat="1" applyFont="1" applyAlignment="1">
      <alignment vertical="center"/>
    </xf>
    <xf numFmtId="0" fontId="19" fillId="0" borderId="0" xfId="0" applyFont="1" applyAlignment="1">
      <alignment horizontal="left" vertical="center"/>
    </xf>
    <xf numFmtId="168" fontId="19" fillId="0" borderId="0" xfId="0" applyNumberFormat="1" applyFont="1" applyAlignment="1">
      <alignment horizontal="right" vertical="center"/>
    </xf>
    <xf numFmtId="0" fontId="15" fillId="5" borderId="0" xfId="0" applyFont="1" applyFill="1"/>
    <xf numFmtId="15" fontId="31" fillId="0" borderId="0" xfId="0" applyNumberFormat="1" applyFont="1" applyAlignment="1">
      <alignment horizontal="center" vertical="center"/>
    </xf>
    <xf numFmtId="178" fontId="19" fillId="5" borderId="0" xfId="0" applyNumberFormat="1" applyFont="1" applyFill="1" applyAlignment="1">
      <alignment horizontal="left"/>
    </xf>
    <xf numFmtId="0" fontId="31" fillId="0" borderId="0" xfId="0" applyFont="1" applyAlignment="1">
      <alignment horizontal="center" vertical="center"/>
    </xf>
    <xf numFmtId="0" fontId="19" fillId="5" borderId="0" xfId="0" applyFont="1" applyFill="1"/>
    <xf numFmtId="0" fontId="28" fillId="5" borderId="11" xfId="0" applyFont="1" applyFill="1" applyBorder="1"/>
    <xf numFmtId="0" fontId="14" fillId="5" borderId="14" xfId="0" applyFont="1" applyFill="1" applyBorder="1"/>
    <xf numFmtId="0" fontId="14" fillId="5" borderId="8" xfId="0" applyFont="1" applyFill="1" applyBorder="1"/>
    <xf numFmtId="0" fontId="14" fillId="8" borderId="0" xfId="0" applyFont="1" applyFill="1"/>
    <xf numFmtId="0" fontId="21" fillId="0" borderId="0" xfId="37" applyFont="1" applyAlignment="1">
      <alignment horizontal="center"/>
    </xf>
    <xf numFmtId="0" fontId="21" fillId="0" borderId="0" xfId="37" applyFont="1"/>
    <xf numFmtId="0" fontId="45" fillId="21" borderId="13" xfId="37" applyFont="1" applyFill="1" applyBorder="1" applyAlignment="1">
      <alignment horizontal="left" vertical="center" indent="1"/>
    </xf>
    <xf numFmtId="0" fontId="48" fillId="21" borderId="0" xfId="37" applyFont="1" applyFill="1" applyAlignment="1">
      <alignment vertical="center"/>
    </xf>
    <xf numFmtId="0" fontId="19" fillId="0" borderId="0" xfId="0" applyFont="1" applyAlignment="1">
      <alignment horizontal="left" indent="1"/>
    </xf>
    <xf numFmtId="0" fontId="19" fillId="0" borderId="14" xfId="0" applyFont="1" applyBorder="1"/>
    <xf numFmtId="0" fontId="14" fillId="0" borderId="0" xfId="0" applyFont="1" applyAlignment="1">
      <alignment horizontal="left"/>
    </xf>
    <xf numFmtId="178" fontId="14" fillId="0" borderId="12" xfId="0" applyNumberFormat="1" applyFont="1" applyBorder="1" applyAlignment="1">
      <alignment horizontal="center"/>
    </xf>
    <xf numFmtId="2" fontId="14" fillId="0" borderId="15" xfId="0" applyNumberFormat="1" applyFont="1" applyBorder="1" applyAlignment="1">
      <alignment horizontal="center"/>
    </xf>
    <xf numFmtId="0" fontId="14" fillId="0" borderId="12" xfId="0" applyFont="1" applyBorder="1"/>
    <xf numFmtId="178" fontId="14" fillId="0" borderId="4" xfId="0" applyNumberFormat="1" applyFont="1" applyBorder="1" applyAlignment="1">
      <alignment horizontal="center"/>
    </xf>
    <xf numFmtId="2" fontId="14" fillId="0" borderId="4" xfId="0" applyNumberFormat="1" applyFont="1" applyBorder="1" applyAlignment="1">
      <alignment horizontal="center"/>
    </xf>
    <xf numFmtId="0" fontId="14" fillId="0" borderId="5" xfId="0" applyFont="1" applyBorder="1"/>
    <xf numFmtId="0" fontId="14" fillId="0" borderId="6" xfId="0" applyFont="1" applyBorder="1"/>
    <xf numFmtId="2" fontId="14" fillId="0" borderId="6" xfId="0" applyNumberFormat="1" applyFont="1" applyBorder="1"/>
    <xf numFmtId="0" fontId="14" fillId="0" borderId="30" xfId="0" applyFont="1" applyBorder="1"/>
    <xf numFmtId="0" fontId="14" fillId="0" borderId="7" xfId="0" applyFont="1" applyBorder="1"/>
    <xf numFmtId="2" fontId="14" fillId="0" borderId="7" xfId="0" applyNumberFormat="1" applyFont="1" applyBorder="1"/>
    <xf numFmtId="0" fontId="14" fillId="0" borderId="4" xfId="0" applyFont="1" applyBorder="1"/>
    <xf numFmtId="0" fontId="14" fillId="0" borderId="8" xfId="0" applyFont="1" applyBorder="1"/>
    <xf numFmtId="0" fontId="14" fillId="0" borderId="4" xfId="0" applyFont="1" applyBorder="1" applyAlignment="1">
      <alignment horizontal="center"/>
    </xf>
    <xf numFmtId="0" fontId="14" fillId="0" borderId="0" xfId="0" applyFont="1" applyAlignment="1">
      <alignment vertical="center"/>
    </xf>
    <xf numFmtId="0" fontId="14" fillId="5" borderId="0" xfId="0" applyFont="1" applyFill="1" applyAlignment="1">
      <alignment vertical="center"/>
    </xf>
    <xf numFmtId="0" fontId="23" fillId="5" borderId="0" xfId="0" applyFont="1" applyFill="1" applyAlignment="1">
      <alignment horizontal="left" vertical="center" indent="1"/>
    </xf>
    <xf numFmtId="0" fontId="19" fillId="0" borderId="12" xfId="0" applyFont="1" applyBorder="1" applyAlignment="1">
      <alignment horizontal="left" vertical="center" wrapText="1" indent="1"/>
    </xf>
    <xf numFmtId="0" fontId="14" fillId="0" borderId="10" xfId="0" applyFont="1" applyBorder="1"/>
    <xf numFmtId="0" fontId="14" fillId="0" borderId="0" xfId="0" applyFont="1" applyAlignment="1">
      <alignment horizontal="right"/>
    </xf>
    <xf numFmtId="178" fontId="14" fillId="0" borderId="10" xfId="0" applyNumberFormat="1" applyFont="1" applyBorder="1" applyAlignment="1">
      <alignment horizontal="center"/>
    </xf>
    <xf numFmtId="2" fontId="14" fillId="0" borderId="6" xfId="0" applyNumberFormat="1" applyFont="1" applyBorder="1" applyAlignment="1">
      <alignment horizontal="center"/>
    </xf>
    <xf numFmtId="178" fontId="14" fillId="0" borderId="9" xfId="0" applyNumberFormat="1" applyFont="1" applyBorder="1" applyAlignment="1">
      <alignment horizontal="center"/>
    </xf>
    <xf numFmtId="0" fontId="14" fillId="0" borderId="9" xfId="0" applyFont="1" applyBorder="1" applyAlignment="1">
      <alignment horizontal="center"/>
    </xf>
    <xf numFmtId="0" fontId="14" fillId="0" borderId="11" xfId="0" applyFont="1" applyBorder="1"/>
    <xf numFmtId="0" fontId="14" fillId="0" borderId="8" xfId="0" applyFont="1" applyBorder="1" applyAlignment="1">
      <alignment horizontal="left"/>
    </xf>
    <xf numFmtId="15" fontId="14" fillId="0" borderId="9" xfId="0" applyNumberFormat="1" applyFont="1" applyBorder="1" applyAlignment="1">
      <alignment horizontal="center"/>
    </xf>
    <xf numFmtId="175" fontId="14" fillId="0" borderId="4" xfId="0" applyNumberFormat="1" applyFont="1" applyBorder="1" applyAlignment="1">
      <alignment horizontal="center"/>
    </xf>
    <xf numFmtId="49" fontId="14" fillId="0" borderId="5" xfId="0" applyNumberFormat="1" applyFont="1" applyBorder="1"/>
    <xf numFmtId="0" fontId="14" fillId="0" borderId="6" xfId="0" applyFont="1" applyBorder="1" applyAlignment="1">
      <alignment horizontal="center"/>
    </xf>
    <xf numFmtId="0" fontId="14" fillId="0" borderId="30" xfId="0" applyFont="1" applyBorder="1" applyAlignment="1">
      <alignment horizontal="left"/>
    </xf>
    <xf numFmtId="49" fontId="14" fillId="0" borderId="8" xfId="0" applyNumberFormat="1" applyFont="1" applyBorder="1"/>
    <xf numFmtId="0" fontId="42" fillId="0" borderId="0" xfId="37" applyFont="1" applyAlignment="1">
      <alignment horizontal="center"/>
    </xf>
    <xf numFmtId="0" fontId="48" fillId="21" borderId="34" xfId="37" applyFont="1" applyFill="1" applyBorder="1" applyAlignment="1">
      <alignment horizontal="center" vertical="center"/>
    </xf>
    <xf numFmtId="0" fontId="48" fillId="21" borderId="34" xfId="37" applyFont="1" applyFill="1" applyBorder="1" applyAlignment="1">
      <alignment vertical="center"/>
    </xf>
    <xf numFmtId="0" fontId="24" fillId="0" borderId="36" xfId="10" applyFill="1" applyBorder="1" applyAlignment="1" applyProtection="1">
      <alignment horizontal="center" vertical="center"/>
    </xf>
    <xf numFmtId="0" fontId="48" fillId="21" borderId="35" xfId="37" applyFont="1" applyFill="1" applyBorder="1" applyAlignment="1">
      <alignment vertical="center"/>
    </xf>
    <xf numFmtId="0" fontId="55" fillId="0" borderId="0" xfId="37" applyFont="1" applyAlignment="1">
      <alignment horizontal="right" vertical="center"/>
    </xf>
    <xf numFmtId="0" fontId="42" fillId="0" borderId="30" xfId="37" applyFont="1" applyBorder="1" applyAlignment="1">
      <alignment horizontal="center"/>
    </xf>
    <xf numFmtId="0" fontId="21" fillId="0" borderId="0" xfId="37" applyFont="1" applyAlignment="1">
      <alignment vertical="center"/>
    </xf>
    <xf numFmtId="0" fontId="23" fillId="5" borderId="0" xfId="11" applyFont="1" applyFill="1" applyAlignment="1">
      <alignment horizontal="right" vertical="center"/>
    </xf>
    <xf numFmtId="0" fontId="21" fillId="0" borderId="30" xfId="37" applyFont="1" applyBorder="1"/>
    <xf numFmtId="0" fontId="14" fillId="5" borderId="0" xfId="0" applyFont="1" applyFill="1" applyAlignment="1">
      <alignment horizontal="center" vertical="center"/>
    </xf>
    <xf numFmtId="0" fontId="30" fillId="5" borderId="0" xfId="11" applyFont="1" applyFill="1" applyAlignment="1">
      <alignment horizontal="right" vertical="center"/>
    </xf>
    <xf numFmtId="0" fontId="30" fillId="5" borderId="0" xfId="11" applyFont="1" applyFill="1" applyAlignment="1">
      <alignment horizontal="left" vertical="center"/>
    </xf>
    <xf numFmtId="0" fontId="30" fillId="5" borderId="0" xfId="11" applyFont="1" applyFill="1" applyAlignment="1">
      <alignment vertical="center"/>
    </xf>
    <xf numFmtId="0" fontId="23" fillId="5" borderId="0" xfId="11" applyFont="1" applyFill="1" applyAlignment="1">
      <alignment horizontal="left" vertical="center"/>
    </xf>
    <xf numFmtId="0" fontId="15" fillId="5" borderId="0" xfId="0" applyFont="1" applyFill="1" applyAlignment="1">
      <alignment vertical="center"/>
    </xf>
    <xf numFmtId="0" fontId="23" fillId="5" borderId="0" xfId="11" applyFont="1" applyFill="1" applyAlignment="1">
      <alignment horizontal="right" vertical="center" wrapText="1"/>
    </xf>
    <xf numFmtId="0" fontId="19" fillId="5" borderId="0" xfId="0" applyFont="1" applyFill="1" applyAlignment="1">
      <alignment vertical="center"/>
    </xf>
    <xf numFmtId="0" fontId="19" fillId="5" borderId="0" xfId="0" applyFont="1" applyFill="1" applyAlignment="1">
      <alignment horizontal="center" vertical="center"/>
    </xf>
    <xf numFmtId="0" fontId="19" fillId="5" borderId="30" xfId="0" applyFont="1" applyFill="1" applyBorder="1" applyAlignment="1">
      <alignment horizontal="center"/>
    </xf>
    <xf numFmtId="0" fontId="53" fillId="5" borderId="0" xfId="11" applyFont="1" applyFill="1" applyAlignment="1">
      <alignment horizontal="left" vertical="center"/>
    </xf>
    <xf numFmtId="0" fontId="42" fillId="0" borderId="0" xfId="0" applyFont="1" applyAlignment="1">
      <alignment vertical="center" wrapText="1"/>
    </xf>
    <xf numFmtId="0" fontId="36" fillId="5" borderId="26" xfId="0" applyFont="1" applyFill="1" applyBorder="1"/>
    <xf numFmtId="0" fontId="14" fillId="5" borderId="26" xfId="0" applyFont="1" applyFill="1" applyBorder="1"/>
    <xf numFmtId="0" fontId="14" fillId="5" borderId="37" xfId="0" applyFont="1" applyFill="1" applyBorder="1"/>
    <xf numFmtId="0" fontId="34" fillId="5" borderId="0" xfId="0" applyFont="1" applyFill="1"/>
    <xf numFmtId="0" fontId="15" fillId="5" borderId="14" xfId="0" applyFont="1" applyFill="1" applyBorder="1"/>
    <xf numFmtId="0" fontId="45" fillId="21" borderId="15" xfId="37" applyFont="1" applyFill="1" applyBorder="1" applyAlignment="1">
      <alignment horizontal="left" vertical="center" indent="1"/>
    </xf>
    <xf numFmtId="0" fontId="24" fillId="0" borderId="21" xfId="10" applyFill="1" applyBorder="1" applyAlignment="1" applyProtection="1">
      <alignment horizontal="center" vertical="center"/>
    </xf>
    <xf numFmtId="0" fontId="60" fillId="0" borderId="29" xfId="0" applyFont="1" applyBorder="1" applyAlignment="1">
      <alignment horizontal="center"/>
    </xf>
    <xf numFmtId="0" fontId="58" fillId="0" borderId="0" xfId="0" applyFont="1" applyAlignment="1">
      <alignment vertical="center"/>
    </xf>
    <xf numFmtId="0" fontId="19" fillId="0" borderId="8" xfId="0" applyFont="1" applyBorder="1" applyAlignment="1">
      <alignment horizontal="right" vertical="center"/>
    </xf>
    <xf numFmtId="0" fontId="14" fillId="0" borderId="12" xfId="0" applyFont="1" applyBorder="1" applyAlignment="1">
      <alignment horizontal="center" vertical="center" wrapText="1"/>
    </xf>
    <xf numFmtId="0" fontId="19" fillId="0" borderId="12" xfId="32" applyFont="1" applyBorder="1" applyAlignment="1">
      <alignment horizontal="right" vertical="center"/>
    </xf>
    <xf numFmtId="0" fontId="45" fillId="26" borderId="12" xfId="32" applyFont="1" applyFill="1" applyBorder="1" applyAlignment="1">
      <alignment horizontal="center" vertical="center" wrapText="1"/>
    </xf>
    <xf numFmtId="0" fontId="43" fillId="26" borderId="12" xfId="32" applyFont="1" applyFill="1" applyBorder="1" applyAlignment="1">
      <alignment horizontal="left" vertical="center" indent="1"/>
    </xf>
    <xf numFmtId="0" fontId="37"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center"/>
    </xf>
    <xf numFmtId="0" fontId="15" fillId="0" borderId="0" xfId="0" applyFont="1"/>
    <xf numFmtId="0" fontId="19" fillId="0" borderId="0" xfId="32" applyFont="1" applyAlignment="1">
      <alignment horizontal="right"/>
    </xf>
    <xf numFmtId="0" fontId="14" fillId="0" borderId="12" xfId="0" applyFont="1" applyBorder="1" applyAlignment="1">
      <alignment horizontal="center"/>
    </xf>
    <xf numFmtId="0" fontId="19" fillId="0" borderId="0" xfId="0" applyFont="1" applyAlignment="1">
      <alignment horizontal="right" vertical="center"/>
    </xf>
    <xf numFmtId="0" fontId="19" fillId="0" borderId="0" xfId="0" applyFont="1"/>
    <xf numFmtId="0" fontId="19" fillId="0" borderId="0" xfId="0" applyFont="1" applyAlignment="1">
      <alignment horizontal="right"/>
    </xf>
    <xf numFmtId="0" fontId="43" fillId="26" borderId="15" xfId="0" applyFont="1" applyFill="1" applyBorder="1" applyAlignment="1">
      <alignment horizontal="left" vertical="center" indent="1"/>
    </xf>
    <xf numFmtId="170" fontId="14" fillId="0" borderId="12" xfId="1" applyNumberFormat="1" applyFont="1" applyBorder="1" applyAlignment="1" applyProtection="1">
      <alignment vertical="center"/>
    </xf>
    <xf numFmtId="164" fontId="14" fillId="0" borderId="12" xfId="1" applyFont="1" applyBorder="1" applyAlignment="1" applyProtection="1">
      <alignment vertical="center"/>
    </xf>
    <xf numFmtId="170" fontId="14" fillId="0" borderId="0" xfId="1" applyNumberFormat="1" applyFont="1" applyProtection="1"/>
    <xf numFmtId="0" fontId="14" fillId="0" borderId="0" xfId="0" applyFont="1" applyAlignment="1">
      <alignment horizontal="left" vertical="center" indent="1"/>
    </xf>
    <xf numFmtId="0" fontId="43" fillId="26" borderId="16" xfId="0" applyFont="1" applyFill="1" applyBorder="1"/>
    <xf numFmtId="0" fontId="43" fillId="26" borderId="17" xfId="0" applyFont="1" applyFill="1" applyBorder="1"/>
    <xf numFmtId="0" fontId="14" fillId="0" borderId="12" xfId="32" applyBorder="1" applyAlignment="1">
      <alignment horizontal="left" vertical="center" indent="1"/>
    </xf>
    <xf numFmtId="0" fontId="14" fillId="0" borderId="12" xfId="32" applyBorder="1" applyAlignment="1">
      <alignment horizontal="left" vertical="center" wrapText="1" indent="1"/>
    </xf>
    <xf numFmtId="0" fontId="14" fillId="0" borderId="16" xfId="0" applyFont="1" applyBorder="1" applyAlignment="1">
      <alignment horizontal="left" vertical="center" indent="1"/>
    </xf>
    <xf numFmtId="0" fontId="14" fillId="0" borderId="17" xfId="0" applyFont="1" applyBorder="1" applyAlignment="1">
      <alignment horizontal="left" vertical="center" indent="1"/>
    </xf>
    <xf numFmtId="0" fontId="14" fillId="0" borderId="15" xfId="32" applyBorder="1" applyAlignment="1">
      <alignment horizontal="left" vertical="center" indent="1"/>
    </xf>
    <xf numFmtId="0" fontId="14" fillId="0" borderId="12" xfId="32" applyBorder="1" applyAlignment="1">
      <alignment horizontal="center" vertical="center" wrapText="1"/>
    </xf>
    <xf numFmtId="0" fontId="14" fillId="0" borderId="0" xfId="32"/>
    <xf numFmtId="0" fontId="43" fillId="26" borderId="16" xfId="0" applyFont="1" applyFill="1" applyBorder="1" applyAlignment="1">
      <alignment vertical="center"/>
    </xf>
    <xf numFmtId="0" fontId="43" fillId="26" borderId="12" xfId="0" applyFont="1" applyFill="1" applyBorder="1" applyAlignment="1">
      <alignment horizontal="center" vertical="center" wrapText="1"/>
    </xf>
    <xf numFmtId="0" fontId="43" fillId="26" borderId="12" xfId="0" applyFont="1" applyFill="1" applyBorder="1" applyAlignment="1">
      <alignment vertical="center"/>
    </xf>
    <xf numFmtId="0" fontId="14" fillId="0" borderId="15" xfId="0" applyFont="1" applyBorder="1" applyAlignment="1">
      <alignment horizontal="left" vertical="center" indent="1"/>
    </xf>
    <xf numFmtId="0" fontId="14" fillId="0" borderId="16" xfId="0" applyFont="1" applyBorder="1"/>
    <xf numFmtId="0" fontId="14" fillId="0" borderId="12" xfId="0" applyFont="1" applyBorder="1" applyAlignment="1">
      <alignment vertical="center"/>
    </xf>
    <xf numFmtId="164" fontId="14" fillId="0" borderId="0" xfId="1" applyFont="1" applyProtection="1"/>
    <xf numFmtId="0" fontId="14" fillId="0" borderId="0" xfId="0" applyFont="1" applyAlignment="1">
      <alignment horizontal="center"/>
    </xf>
    <xf numFmtId="0" fontId="19" fillId="0" borderId="12" xfId="0" applyFont="1" applyBorder="1" applyAlignment="1">
      <alignment vertical="center"/>
    </xf>
    <xf numFmtId="0" fontId="14" fillId="0" borderId="12" xfId="0" applyFont="1" applyBorder="1" applyAlignment="1">
      <alignment horizontal="center" wrapText="1"/>
    </xf>
    <xf numFmtId="0" fontId="14" fillId="0" borderId="0" xfId="0" applyFont="1" applyAlignment="1">
      <alignment horizontal="center" vertical="center"/>
    </xf>
    <xf numFmtId="167" fontId="14" fillId="0" borderId="12" xfId="45" applyFont="1" applyBorder="1" applyAlignment="1" applyProtection="1">
      <alignment vertical="center"/>
    </xf>
    <xf numFmtId="0" fontId="43" fillId="26" borderId="15" xfId="0" applyFont="1" applyFill="1" applyBorder="1" applyAlignment="1">
      <alignment horizontal="left" vertical="center" wrapText="1"/>
    </xf>
    <xf numFmtId="164" fontId="14" fillId="0" borderId="12" xfId="1" applyFont="1" applyBorder="1" applyProtection="1"/>
    <xf numFmtId="164" fontId="14" fillId="0" borderId="12" xfId="1" applyFont="1" applyBorder="1" applyAlignment="1" applyProtection="1">
      <alignment horizontal="left" vertical="center" wrapText="1"/>
    </xf>
    <xf numFmtId="164" fontId="14" fillId="0" borderId="12" xfId="1" applyFont="1" applyFill="1" applyBorder="1" applyProtection="1"/>
    <xf numFmtId="167" fontId="14" fillId="0" borderId="12" xfId="45" applyFont="1" applyBorder="1" applyProtection="1"/>
    <xf numFmtId="0" fontId="90" fillId="0" borderId="0" xfId="32" applyFont="1" applyAlignment="1">
      <alignment horizontal="left"/>
    </xf>
    <xf numFmtId="0" fontId="90" fillId="0" borderId="0" xfId="32" applyFont="1" applyAlignment="1">
      <alignment horizontal="center"/>
    </xf>
    <xf numFmtId="1" fontId="90" fillId="0" borderId="0" xfId="32" applyNumberFormat="1" applyFont="1" applyAlignment="1">
      <alignment horizontal="center"/>
    </xf>
    <xf numFmtId="0" fontId="90" fillId="0" borderId="0" xfId="32" applyFont="1"/>
    <xf numFmtId="0" fontId="43" fillId="0" borderId="0" xfId="32" applyFont="1" applyAlignment="1">
      <alignment horizontal="left" vertical="center"/>
    </xf>
    <xf numFmtId="0" fontId="14" fillId="0" borderId="0" xfId="32" applyAlignment="1">
      <alignment horizontal="center" vertical="center"/>
    </xf>
    <xf numFmtId="0" fontId="78" fillId="0" borderId="0" xfId="37" applyFont="1" applyAlignment="1">
      <alignment horizontal="center" vertical="center"/>
    </xf>
    <xf numFmtId="164" fontId="14" fillId="0" borderId="0" xfId="32" applyNumberFormat="1"/>
    <xf numFmtId="0" fontId="14" fillId="0" borderId="0" xfId="32" applyAlignment="1">
      <alignment vertical="center" wrapText="1"/>
    </xf>
    <xf numFmtId="0" fontId="45" fillId="21" borderId="16" xfId="37" applyFont="1" applyFill="1" applyBorder="1" applyAlignment="1">
      <alignment horizontal="left" vertical="center"/>
    </xf>
    <xf numFmtId="0" fontId="14" fillId="21" borderId="17" xfId="32" applyFill="1" applyBorder="1"/>
    <xf numFmtId="49" fontId="14" fillId="0" borderId="0" xfId="32" applyNumberFormat="1" applyAlignment="1">
      <alignment horizontal="center" vertical="center"/>
    </xf>
    <xf numFmtId="0" fontId="14" fillId="0" borderId="0" xfId="32" applyAlignment="1">
      <alignment horizontal="left" vertical="center"/>
    </xf>
    <xf numFmtId="2" fontId="14" fillId="0" borderId="0" xfId="32" applyNumberFormat="1" applyAlignment="1">
      <alignment horizontal="center" vertical="center"/>
    </xf>
    <xf numFmtId="0" fontId="14" fillId="0" borderId="0" xfId="32" applyAlignment="1">
      <alignment vertical="center"/>
    </xf>
    <xf numFmtId="0" fontId="58" fillId="0" borderId="0" xfId="32" applyFont="1" applyAlignment="1">
      <alignment vertical="center"/>
    </xf>
    <xf numFmtId="2" fontId="45" fillId="25" borderId="12" xfId="32" applyNumberFormat="1" applyFont="1" applyFill="1" applyBorder="1" applyAlignment="1">
      <alignment horizontal="center" vertical="center"/>
    </xf>
    <xf numFmtId="0" fontId="45" fillId="25" borderId="12" xfId="32" applyFont="1" applyFill="1" applyBorder="1" applyAlignment="1">
      <alignment horizontal="left" vertical="center" wrapText="1"/>
    </xf>
    <xf numFmtId="0" fontId="45" fillId="25" borderId="12" xfId="32" applyFont="1" applyFill="1" applyBorder="1" applyAlignment="1">
      <alignment vertical="center" wrapText="1"/>
    </xf>
    <xf numFmtId="0" fontId="45" fillId="25" borderId="12" xfId="0" applyFont="1" applyFill="1" applyBorder="1" applyAlignment="1">
      <alignment vertical="center" wrapText="1"/>
    </xf>
    <xf numFmtId="1" fontId="19" fillId="11" borderId="15" xfId="32" applyNumberFormat="1" applyFont="1" applyFill="1" applyBorder="1" applyAlignment="1">
      <alignment horizontal="left" vertical="center" indent="1"/>
    </xf>
    <xf numFmtId="0" fontId="19" fillId="11" borderId="16" xfId="32" applyFont="1" applyFill="1" applyBorder="1" applyAlignment="1">
      <alignment horizontal="center" vertical="center"/>
    </xf>
    <xf numFmtId="0" fontId="19" fillId="11" borderId="16" xfId="32" applyFont="1" applyFill="1" applyBorder="1" applyAlignment="1">
      <alignment vertical="center" wrapText="1"/>
    </xf>
    <xf numFmtId="0" fontId="19" fillId="11" borderId="16" xfId="32" applyFont="1" applyFill="1" applyBorder="1" applyAlignment="1">
      <alignment horizontal="center" vertical="center" wrapText="1"/>
    </xf>
    <xf numFmtId="0" fontId="19" fillId="11" borderId="14" xfId="32" applyFont="1" applyFill="1" applyBorder="1" applyAlignment="1">
      <alignment vertical="center" wrapText="1"/>
    </xf>
    <xf numFmtId="2" fontId="14" fillId="0" borderId="12" xfId="0" applyNumberFormat="1" applyFont="1" applyBorder="1" applyAlignment="1">
      <alignment horizontal="center" vertical="center"/>
    </xf>
    <xf numFmtId="2"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xf>
    <xf numFmtId="164" fontId="19" fillId="11" borderId="16" xfId="1" applyFont="1" applyFill="1" applyBorder="1" applyAlignment="1" applyProtection="1">
      <alignment horizontal="center" vertical="center" wrapText="1"/>
    </xf>
    <xf numFmtId="0" fontId="14" fillId="0" borderId="12" xfId="32" applyBorder="1" applyAlignment="1">
      <alignment horizontal="left" vertical="center" wrapText="1"/>
    </xf>
    <xf numFmtId="164" fontId="14" fillId="0" borderId="12" xfId="1" applyFont="1" applyBorder="1" applyAlignment="1" applyProtection="1">
      <alignment horizontal="center" vertical="center" wrapText="1"/>
    </xf>
    <xf numFmtId="49" fontId="14" fillId="0" borderId="12" xfId="1" applyNumberFormat="1" applyFont="1" applyBorder="1" applyAlignment="1" applyProtection="1">
      <alignment horizontal="left" vertical="center" wrapText="1"/>
    </xf>
    <xf numFmtId="0" fontId="14" fillId="23" borderId="12" xfId="32" applyFill="1" applyBorder="1" applyAlignment="1">
      <alignment horizontal="left" vertical="center" wrapText="1"/>
    </xf>
    <xf numFmtId="49" fontId="14" fillId="0" borderId="12" xfId="32" applyNumberFormat="1" applyBorder="1" applyAlignment="1">
      <alignment horizontal="left" vertical="center" wrapText="1"/>
    </xf>
    <xf numFmtId="3" fontId="14" fillId="0" borderId="12" xfId="32" applyNumberFormat="1" applyBorder="1" applyAlignment="1">
      <alignment horizontal="left" vertical="center" wrapText="1"/>
    </xf>
    <xf numFmtId="0" fontId="19" fillId="11" borderId="15" xfId="32" applyFont="1" applyFill="1" applyBorder="1" applyAlignment="1">
      <alignment horizontal="left" vertical="center" indent="1"/>
    </xf>
    <xf numFmtId="2" fontId="14" fillId="0" borderId="12" xfId="32" applyNumberFormat="1" applyBorder="1" applyAlignment="1">
      <alignment horizontal="center" vertical="center" wrapText="1"/>
    </xf>
    <xf numFmtId="0" fontId="19" fillId="11" borderId="16" xfId="32" applyFont="1" applyFill="1" applyBorder="1" applyAlignment="1">
      <alignment horizontal="left" vertical="center" indent="1"/>
    </xf>
    <xf numFmtId="164" fontId="19" fillId="11" borderId="16" xfId="1" applyFont="1" applyFill="1" applyBorder="1" applyAlignment="1" applyProtection="1">
      <alignment vertical="center" wrapText="1"/>
    </xf>
    <xf numFmtId="0" fontId="14" fillId="0" borderId="12" xfId="0" applyFont="1" applyBorder="1" applyAlignment="1">
      <alignment vertical="center" wrapText="1"/>
    </xf>
    <xf numFmtId="0" fontId="14" fillId="0" borderId="12" xfId="32" applyBorder="1" applyAlignment="1">
      <alignment vertical="center" wrapText="1"/>
    </xf>
    <xf numFmtId="164" fontId="19" fillId="11" borderId="16" xfId="1" applyFont="1" applyFill="1" applyBorder="1" applyAlignment="1" applyProtection="1">
      <alignment horizontal="center" vertical="center"/>
    </xf>
    <xf numFmtId="2" fontId="14" fillId="0" borderId="12" xfId="1" applyNumberFormat="1" applyFont="1" applyBorder="1" applyAlignment="1" applyProtection="1">
      <alignment horizontal="center" vertical="center" wrapText="1"/>
    </xf>
    <xf numFmtId="49" fontId="14" fillId="0" borderId="12" xfId="34" applyNumberFormat="1" applyBorder="1" applyAlignment="1">
      <alignment horizontal="left" vertical="top" wrapText="1"/>
    </xf>
    <xf numFmtId="3" fontId="14" fillId="0" borderId="12" xfId="32" applyNumberFormat="1" applyBorder="1" applyAlignment="1">
      <alignment horizontal="center" vertical="center"/>
    </xf>
    <xf numFmtId="49" fontId="14" fillId="23" borderId="12" xfId="34" applyNumberFormat="1" applyFill="1" applyBorder="1" applyAlignment="1">
      <alignment horizontal="left" vertical="top" wrapText="1"/>
    </xf>
    <xf numFmtId="49" fontId="14" fillId="0" borderId="12" xfId="34" applyNumberFormat="1" applyBorder="1" applyAlignment="1">
      <alignment horizontal="left" vertical="center" wrapText="1"/>
    </xf>
    <xf numFmtId="0" fontId="14" fillId="7" borderId="12" xfId="32" applyFill="1" applyBorder="1" applyAlignment="1">
      <alignment horizontal="left" vertical="center" wrapText="1"/>
    </xf>
    <xf numFmtId="1" fontId="19" fillId="11" borderId="15" xfId="32" applyNumberFormat="1" applyFont="1" applyFill="1" applyBorder="1" applyAlignment="1">
      <alignment horizontal="center" vertical="center"/>
    </xf>
    <xf numFmtId="0" fontId="14" fillId="0" borderId="0" xfId="32" applyAlignment="1">
      <alignment horizontal="right" vertical="center"/>
    </xf>
    <xf numFmtId="0" fontId="14" fillId="5" borderId="0" xfId="0" applyFont="1" applyFill="1" applyAlignment="1">
      <alignment vertical="top"/>
    </xf>
    <xf numFmtId="168" fontId="58" fillId="5" borderId="0" xfId="0" applyNumberFormat="1" applyFont="1" applyFill="1" applyAlignment="1">
      <alignment horizontal="right" vertical="top"/>
    </xf>
    <xf numFmtId="0" fontId="57" fillId="0" borderId="0" xfId="0" applyFont="1" applyAlignment="1">
      <alignment horizontal="center"/>
    </xf>
    <xf numFmtId="0" fontId="82" fillId="5" borderId="0" xfId="0" applyFont="1" applyFill="1"/>
    <xf numFmtId="1" fontId="43" fillId="0" borderId="0" xfId="0" applyNumberFormat="1" applyFont="1" applyAlignment="1">
      <alignment horizontal="center"/>
    </xf>
    <xf numFmtId="164" fontId="41" fillId="16" borderId="7" xfId="0" applyNumberFormat="1" applyFont="1" applyFill="1" applyBorder="1" applyAlignment="1">
      <alignment horizontal="right" vertical="center"/>
    </xf>
    <xf numFmtId="168" fontId="66" fillId="5" borderId="0" xfId="0" applyNumberFormat="1" applyFont="1" applyFill="1" applyAlignment="1">
      <alignment horizontal="center"/>
    </xf>
    <xf numFmtId="0" fontId="15" fillId="0" borderId="0" xfId="0" applyFont="1" applyAlignment="1">
      <alignment horizontal="right" vertical="top"/>
    </xf>
    <xf numFmtId="0" fontId="19" fillId="0" borderId="0" xfId="0" applyFont="1" applyAlignment="1">
      <alignment horizontal="right" indent="1"/>
    </xf>
    <xf numFmtId="168" fontId="14" fillId="5" borderId="0" xfId="0" applyNumberFormat="1" applyFont="1" applyFill="1" applyAlignment="1">
      <alignment horizontal="center" vertical="top" wrapText="1"/>
    </xf>
    <xf numFmtId="168" fontId="82" fillId="5" borderId="0" xfId="0" applyNumberFormat="1" applyFont="1" applyFill="1" applyAlignment="1">
      <alignment horizontal="center" wrapText="1"/>
    </xf>
    <xf numFmtId="0" fontId="46" fillId="21" borderId="15" xfId="0" applyFont="1" applyFill="1" applyBorder="1" applyAlignment="1">
      <alignment horizontal="left" vertical="center"/>
    </xf>
    <xf numFmtId="0" fontId="46" fillId="21" borderId="15" xfId="0" applyFont="1" applyFill="1" applyBorder="1" applyAlignment="1">
      <alignment horizontal="left" vertical="center" indent="1"/>
    </xf>
    <xf numFmtId="0" fontId="38" fillId="13" borderId="23" xfId="0" applyFont="1" applyFill="1" applyBorder="1" applyAlignment="1">
      <alignment horizontal="center" vertical="center" wrapText="1"/>
    </xf>
    <xf numFmtId="168" fontId="38" fillId="13" borderId="24" xfId="0" applyNumberFormat="1" applyFont="1" applyFill="1" applyBorder="1" applyAlignment="1">
      <alignment horizontal="center" vertical="center" wrapText="1"/>
    </xf>
    <xf numFmtId="164" fontId="38" fillId="13" borderId="21" xfId="1" applyFont="1" applyFill="1" applyBorder="1" applyAlignment="1" applyProtection="1">
      <alignment horizontal="center" vertical="center" wrapText="1"/>
    </xf>
    <xf numFmtId="1" fontId="67" fillId="5" borderId="0" xfId="0" applyNumberFormat="1" applyFont="1" applyFill="1" applyAlignment="1">
      <alignment horizontal="center"/>
    </xf>
    <xf numFmtId="0" fontId="39" fillId="5" borderId="0" xfId="0" applyFont="1" applyFill="1" applyAlignment="1">
      <alignment wrapText="1"/>
    </xf>
    <xf numFmtId="0" fontId="66" fillId="5" borderId="0" xfId="0" applyFont="1" applyFill="1" applyAlignment="1">
      <alignment horizontal="center"/>
    </xf>
    <xf numFmtId="0" fontId="16" fillId="5" borderId="0" xfId="0" applyFont="1" applyFill="1" applyAlignment="1">
      <alignment horizontal="left"/>
    </xf>
    <xf numFmtId="0" fontId="46" fillId="21" borderId="9" xfId="0" applyFont="1" applyFill="1" applyBorder="1" applyAlignment="1">
      <alignment horizontal="left" vertical="center"/>
    </xf>
    <xf numFmtId="0" fontId="46" fillId="21" borderId="9" xfId="0" applyFont="1" applyFill="1" applyBorder="1" applyAlignment="1">
      <alignment horizontal="left" vertical="center" indent="1"/>
    </xf>
    <xf numFmtId="0" fontId="15" fillId="0" borderId="9" xfId="0" applyFont="1" applyBorder="1" applyAlignment="1">
      <alignment horizontal="left" vertical="center"/>
    </xf>
    <xf numFmtId="0" fontId="15" fillId="0" borderId="5" xfId="0" applyFont="1" applyBorder="1" applyAlignment="1">
      <alignment horizontal="left" vertical="center" wrapText="1" indent="1"/>
    </xf>
    <xf numFmtId="1" fontId="15" fillId="0" borderId="17" xfId="0" applyNumberFormat="1" applyFont="1" applyBorder="1" applyAlignment="1">
      <alignment horizontal="left" vertical="center" wrapText="1"/>
    </xf>
    <xf numFmtId="0" fontId="15" fillId="0" borderId="12" xfId="0" applyFont="1" applyBorder="1" applyAlignment="1">
      <alignment horizontal="left" vertical="center" wrapText="1"/>
    </xf>
    <xf numFmtId="168" fontId="15" fillId="0" borderId="12" xfId="0" applyNumberFormat="1" applyFont="1" applyBorder="1" applyAlignment="1">
      <alignment horizontal="center" vertical="center" wrapText="1"/>
    </xf>
    <xf numFmtId="164" fontId="37" fillId="0" borderId="12" xfId="1" applyFont="1" applyBorder="1" applyAlignment="1" applyProtection="1">
      <alignment horizontal="center" vertical="center" wrapText="1"/>
    </xf>
    <xf numFmtId="168" fontId="16" fillId="5" borderId="0" xfId="0" applyNumberFormat="1" applyFont="1" applyFill="1" applyAlignment="1">
      <alignment horizontal="left"/>
    </xf>
    <xf numFmtId="0" fontId="15" fillId="5" borderId="13" xfId="0" applyFont="1" applyFill="1" applyBorder="1"/>
    <xf numFmtId="0" fontId="15" fillId="5" borderId="5" xfId="0" applyFont="1" applyFill="1" applyBorder="1"/>
    <xf numFmtId="164" fontId="37" fillId="6" borderId="12" xfId="1" applyFont="1" applyFill="1" applyBorder="1" applyAlignment="1" applyProtection="1">
      <alignment horizontal="center" vertical="center" wrapText="1"/>
    </xf>
    <xf numFmtId="0" fontId="46" fillId="21" borderId="11" xfId="0" applyFont="1" applyFill="1" applyBorder="1" applyAlignment="1">
      <alignment horizontal="left" vertical="center"/>
    </xf>
    <xf numFmtId="0" fontId="46" fillId="21" borderId="8" xfId="0" applyFont="1" applyFill="1" applyBorder="1" applyAlignment="1">
      <alignment horizontal="left" vertical="center"/>
    </xf>
    <xf numFmtId="1" fontId="66" fillId="5" borderId="0" xfId="0" applyNumberFormat="1" applyFont="1" applyFill="1" applyAlignment="1">
      <alignment horizontal="center"/>
    </xf>
    <xf numFmtId="0" fontId="15" fillId="0" borderId="15" xfId="0" applyFont="1" applyBorder="1" applyAlignment="1">
      <alignment horizontal="left" vertical="center"/>
    </xf>
    <xf numFmtId="0" fontId="15" fillId="0" borderId="17" xfId="0" applyFont="1" applyBorder="1" applyAlignment="1">
      <alignment horizontal="left" vertical="center" wrapText="1" indent="1"/>
    </xf>
    <xf numFmtId="2" fontId="15" fillId="0" borderId="17" xfId="0" applyNumberFormat="1" applyFont="1" applyBorder="1" applyAlignment="1">
      <alignment horizontal="left" vertical="center" wrapText="1"/>
    </xf>
    <xf numFmtId="0" fontId="15" fillId="0" borderId="17" xfId="0" applyFont="1" applyBorder="1" applyAlignment="1">
      <alignment horizontal="left" vertical="center" wrapText="1"/>
    </xf>
    <xf numFmtId="2" fontId="15" fillId="0" borderId="5" xfId="0" applyNumberFormat="1" applyFont="1" applyBorder="1" applyAlignment="1">
      <alignment horizontal="left" vertical="center" wrapText="1"/>
    </xf>
    <xf numFmtId="0" fontId="15" fillId="0" borderId="4" xfId="0" applyFont="1" applyBorder="1" applyAlignment="1">
      <alignment horizontal="left" vertical="center" wrapText="1"/>
    </xf>
    <xf numFmtId="168" fontId="15" fillId="0" borderId="4" xfId="0" applyNumberFormat="1" applyFont="1" applyBorder="1" applyAlignment="1">
      <alignment horizontal="center" vertical="center" wrapText="1"/>
    </xf>
    <xf numFmtId="0" fontId="15" fillId="0" borderId="13" xfId="0" applyFont="1" applyBorder="1"/>
    <xf numFmtId="164" fontId="37" fillId="6" borderId="17" xfId="1" applyFont="1" applyFill="1" applyBorder="1" applyAlignment="1" applyProtection="1">
      <alignment horizontal="center" vertical="center" wrapText="1"/>
    </xf>
    <xf numFmtId="1" fontId="15" fillId="0" borderId="5" xfId="0" applyNumberFormat="1" applyFont="1" applyBorder="1" applyAlignment="1">
      <alignment horizontal="left" vertical="center" wrapText="1"/>
    </xf>
    <xf numFmtId="1" fontId="15" fillId="30" borderId="15" xfId="0" applyNumberFormat="1" applyFont="1" applyFill="1" applyBorder="1" applyAlignment="1">
      <alignment horizontal="left" vertical="center" wrapText="1"/>
    </xf>
    <xf numFmtId="0" fontId="15" fillId="30" borderId="16" xfId="0" applyFont="1" applyFill="1" applyBorder="1" applyAlignment="1">
      <alignment horizontal="left" vertical="center" wrapText="1"/>
    </xf>
    <xf numFmtId="168" fontId="15" fillId="30" borderId="17" xfId="0" applyNumberFormat="1" applyFont="1" applyFill="1" applyBorder="1" applyAlignment="1">
      <alignment horizontal="center" vertical="center" wrapText="1"/>
    </xf>
    <xf numFmtId="0" fontId="15" fillId="0" borderId="5" xfId="0" applyFont="1" applyBorder="1" applyAlignment="1">
      <alignment horizontal="left" vertical="center" wrapText="1"/>
    </xf>
    <xf numFmtId="0" fontId="15" fillId="5" borderId="15" xfId="0" applyFont="1" applyFill="1" applyBorder="1"/>
    <xf numFmtId="0" fontId="15" fillId="5" borderId="17" xfId="0" applyFont="1" applyFill="1" applyBorder="1"/>
    <xf numFmtId="0" fontId="15" fillId="5" borderId="16" xfId="0" applyFont="1" applyFill="1" applyBorder="1"/>
    <xf numFmtId="0" fontId="46" fillId="21" borderId="17" xfId="0" applyFont="1" applyFill="1" applyBorder="1" applyAlignment="1">
      <alignment horizontal="left" vertical="center"/>
    </xf>
    <xf numFmtId="0" fontId="38" fillId="13" borderId="39" xfId="0" applyFont="1" applyFill="1" applyBorder="1" applyAlignment="1">
      <alignment horizontal="center" vertical="center" wrapText="1"/>
    </xf>
    <xf numFmtId="0" fontId="38" fillId="13" borderId="25" xfId="0" applyFont="1" applyFill="1" applyBorder="1" applyAlignment="1">
      <alignment horizontal="center" vertical="center" wrapText="1"/>
    </xf>
    <xf numFmtId="168" fontId="38" fillId="13" borderId="20" xfId="0" applyNumberFormat="1" applyFont="1" applyFill="1" applyBorder="1" applyAlignment="1">
      <alignment horizontal="center" vertical="center" wrapText="1"/>
    </xf>
    <xf numFmtId="177" fontId="15" fillId="0" borderId="17" xfId="0" applyNumberFormat="1" applyFont="1" applyBorder="1" applyAlignment="1">
      <alignment horizontal="left" vertical="center" wrapText="1"/>
    </xf>
    <xf numFmtId="177" fontId="15" fillId="0" borderId="5" xfId="0" applyNumberFormat="1" applyFont="1" applyBorder="1" applyAlignment="1">
      <alignment horizontal="left" vertical="center" wrapText="1"/>
    </xf>
    <xf numFmtId="164" fontId="37" fillId="0" borderId="12" xfId="1" applyFont="1" applyFill="1" applyBorder="1" applyAlignment="1" applyProtection="1">
      <alignment horizontal="center" vertical="center" wrapText="1"/>
    </xf>
    <xf numFmtId="0" fontId="15" fillId="5" borderId="30" xfId="0" applyFont="1" applyFill="1" applyBorder="1"/>
    <xf numFmtId="2" fontId="15" fillId="0" borderId="15" xfId="0" applyNumberFormat="1" applyFont="1" applyBorder="1" applyAlignment="1">
      <alignment horizontal="left" vertical="center"/>
    </xf>
    <xf numFmtId="2" fontId="15" fillId="0" borderId="17" xfId="0" applyNumberFormat="1" applyFont="1" applyBorder="1" applyAlignment="1">
      <alignment horizontal="left" vertical="center" wrapText="1" indent="1"/>
    </xf>
    <xf numFmtId="0" fontId="46" fillId="21" borderId="14" xfId="0" applyFont="1" applyFill="1" applyBorder="1" applyAlignment="1">
      <alignment horizontal="left" vertical="center"/>
    </xf>
    <xf numFmtId="0" fontId="15" fillId="0" borderId="8" xfId="0" applyFont="1" applyBorder="1" applyAlignment="1">
      <alignment horizontal="left" vertical="center" wrapText="1"/>
    </xf>
    <xf numFmtId="0" fontId="15" fillId="0" borderId="7" xfId="0" applyFont="1" applyBorder="1" applyAlignment="1">
      <alignment horizontal="left" vertical="center" wrapText="1"/>
    </xf>
    <xf numFmtId="168" fontId="15" fillId="0" borderId="7" xfId="0" applyNumberFormat="1" applyFont="1" applyBorder="1" applyAlignment="1">
      <alignment horizontal="center" vertical="center" wrapText="1"/>
    </xf>
    <xf numFmtId="0" fontId="46" fillId="21" borderId="17" xfId="0" applyFont="1" applyFill="1" applyBorder="1" applyAlignment="1">
      <alignment horizontal="left" vertical="center" indent="1"/>
    </xf>
    <xf numFmtId="0" fontId="38" fillId="13" borderId="16" xfId="0" applyFont="1" applyFill="1" applyBorder="1" applyAlignment="1">
      <alignment horizontal="center" vertical="center" wrapText="1"/>
    </xf>
    <xf numFmtId="168" fontId="38" fillId="13" borderId="16" xfId="0" applyNumberFormat="1" applyFont="1" applyFill="1" applyBorder="1" applyAlignment="1">
      <alignment horizontal="center" vertical="center" wrapText="1"/>
    </xf>
    <xf numFmtId="164" fontId="38" fillId="13" borderId="17" xfId="1" applyFont="1" applyFill="1" applyBorder="1" applyAlignment="1" applyProtection="1">
      <alignment horizontal="center" vertical="center" wrapText="1"/>
    </xf>
    <xf numFmtId="164" fontId="49" fillId="13" borderId="17" xfId="1" applyFont="1" applyFill="1" applyBorder="1" applyAlignment="1" applyProtection="1">
      <alignment horizontal="center" vertical="center" wrapText="1"/>
    </xf>
    <xf numFmtId="164" fontId="16" fillId="5" borderId="0" xfId="1" applyFont="1" applyFill="1" applyAlignment="1" applyProtection="1">
      <alignment horizontal="left"/>
    </xf>
    <xf numFmtId="9" fontId="15" fillId="0" borderId="7" xfId="31" applyFont="1" applyBorder="1" applyAlignment="1" applyProtection="1">
      <alignment horizontal="center" vertical="center" wrapText="1"/>
    </xf>
    <xf numFmtId="164" fontId="37" fillId="0" borderId="7" xfId="1" applyFont="1" applyBorder="1" applyAlignment="1" applyProtection="1">
      <alignment horizontal="center" vertical="center" wrapText="1"/>
    </xf>
    <xf numFmtId="0" fontId="42" fillId="5" borderId="0" xfId="0" applyFont="1" applyFill="1" applyAlignment="1">
      <alignment vertical="center"/>
    </xf>
    <xf numFmtId="9" fontId="15" fillId="0" borderId="12" xfId="31" applyFont="1" applyBorder="1" applyAlignment="1" applyProtection="1">
      <alignment horizontal="center" vertical="center" wrapText="1"/>
    </xf>
    <xf numFmtId="9" fontId="15" fillId="0" borderId="4" xfId="31" applyFont="1" applyBorder="1" applyAlignment="1" applyProtection="1">
      <alignment horizontal="center" vertical="center" wrapText="1"/>
    </xf>
    <xf numFmtId="164" fontId="37" fillId="0" borderId="4" xfId="1" applyFont="1" applyBorder="1" applyAlignment="1" applyProtection="1">
      <alignment horizontal="center" vertical="center" wrapText="1"/>
    </xf>
    <xf numFmtId="164" fontId="45" fillId="16" borderId="12" xfId="1" applyFont="1" applyFill="1" applyBorder="1" applyAlignment="1" applyProtection="1">
      <alignment horizontal="center" vertical="center" wrapText="1"/>
    </xf>
    <xf numFmtId="0" fontId="84" fillId="0" borderId="0" xfId="0" applyFont="1" applyAlignment="1">
      <alignment vertical="center"/>
    </xf>
    <xf numFmtId="164" fontId="15" fillId="5" borderId="0" xfId="1" applyFont="1" applyFill="1" applyProtection="1"/>
    <xf numFmtId="0" fontId="31" fillId="9" borderId="15" xfId="0" applyFont="1" applyFill="1" applyBorder="1" applyAlignment="1">
      <alignment horizontal="left" vertical="center" indent="1"/>
    </xf>
    <xf numFmtId="0" fontId="38" fillId="9" borderId="16" xfId="0" applyFont="1" applyFill="1" applyBorder="1" applyAlignment="1">
      <alignment horizontal="center" vertical="center" wrapText="1"/>
    </xf>
    <xf numFmtId="168" fontId="38" fillId="9" borderId="16" xfId="0" applyNumberFormat="1" applyFont="1" applyFill="1" applyBorder="1" applyAlignment="1">
      <alignment horizontal="center" vertical="center" wrapText="1"/>
    </xf>
    <xf numFmtId="164" fontId="37" fillId="9" borderId="17" xfId="1" applyFont="1" applyFill="1" applyBorder="1" applyAlignment="1" applyProtection="1">
      <alignment horizontal="center" vertical="center" wrapText="1"/>
    </xf>
    <xf numFmtId="0" fontId="16" fillId="5" borderId="0" xfId="0" applyFont="1" applyFill="1"/>
    <xf numFmtId="0" fontId="16" fillId="5" borderId="0" xfId="0" applyFont="1" applyFill="1" applyAlignment="1">
      <alignment horizontal="right"/>
    </xf>
    <xf numFmtId="168" fontId="16" fillId="5" borderId="0" xfId="0" applyNumberFormat="1" applyFont="1" applyFill="1"/>
    <xf numFmtId="1" fontId="57" fillId="0" borderId="0" xfId="0" applyNumberFormat="1" applyFont="1" applyAlignment="1">
      <alignment horizontal="center"/>
    </xf>
    <xf numFmtId="0" fontId="23" fillId="5" borderId="0" xfId="11" applyFont="1" applyFill="1" applyAlignment="1">
      <alignment horizontal="left" vertical="top" indent="1"/>
    </xf>
    <xf numFmtId="1" fontId="15" fillId="15" borderId="12" xfId="45" applyNumberFormat="1" applyFont="1" applyFill="1" applyBorder="1" applyAlignment="1" applyProtection="1">
      <alignment horizontal="left" vertical="center" wrapText="1"/>
      <protection locked="0"/>
    </xf>
    <xf numFmtId="10" fontId="15" fillId="15" borderId="7" xfId="31" applyNumberFormat="1" applyFont="1" applyFill="1" applyBorder="1" applyAlignment="1" applyProtection="1">
      <alignment horizontal="center" vertical="center" wrapText="1"/>
      <protection locked="0"/>
    </xf>
    <xf numFmtId="10" fontId="15" fillId="15" borderId="12" xfId="31" applyNumberFormat="1" applyFont="1" applyFill="1" applyBorder="1" applyAlignment="1" applyProtection="1">
      <alignment horizontal="center" vertical="center" wrapText="1"/>
      <protection locked="0"/>
    </xf>
    <xf numFmtId="10" fontId="37" fillId="15" borderId="12" xfId="31" applyNumberFormat="1" applyFont="1" applyFill="1" applyBorder="1" applyAlignment="1" applyProtection="1">
      <alignment horizontal="left" vertical="center" wrapText="1"/>
      <protection locked="0"/>
    </xf>
    <xf numFmtId="1" fontId="57" fillId="15" borderId="12" xfId="0" applyNumberFormat="1" applyFont="1" applyFill="1" applyBorder="1" applyAlignment="1" applyProtection="1">
      <alignment horizontal="center" vertical="center"/>
      <protection locked="0"/>
    </xf>
    <xf numFmtId="0" fontId="23" fillId="0" borderId="0" xfId="37" applyFont="1" applyAlignment="1">
      <alignment horizontal="center" vertical="center"/>
    </xf>
    <xf numFmtId="0" fontId="48" fillId="21" borderId="17" xfId="37" applyFont="1" applyFill="1" applyBorder="1" applyAlignment="1">
      <alignment horizontal="left" vertical="center" indent="1"/>
    </xf>
    <xf numFmtId="0" fontId="21" fillId="0" borderId="0" xfId="37" applyFont="1" applyAlignment="1">
      <alignment horizontal="left" vertical="center"/>
    </xf>
    <xf numFmtId="164" fontId="21" fillId="0" borderId="0" xfId="37" applyNumberFormat="1" applyFont="1" applyAlignment="1">
      <alignment horizontal="center"/>
    </xf>
    <xf numFmtId="164" fontId="41" fillId="16" borderId="12" xfId="0" applyNumberFormat="1" applyFont="1" applyFill="1" applyBorder="1" applyAlignment="1">
      <alignment horizontal="right" vertical="center"/>
    </xf>
    <xf numFmtId="0" fontId="21" fillId="5" borderId="0" xfId="0" applyFont="1" applyFill="1" applyAlignment="1">
      <alignment horizontal="left" vertical="top" indent="1"/>
    </xf>
    <xf numFmtId="0" fontId="14" fillId="0" borderId="3" xfId="0" applyFont="1" applyBorder="1"/>
    <xf numFmtId="0" fontId="21" fillId="0" borderId="0" xfId="0" applyFont="1" applyAlignment="1">
      <alignment vertical="top"/>
    </xf>
    <xf numFmtId="0" fontId="40" fillId="18" borderId="22" xfId="37" applyFont="1" applyFill="1" applyBorder="1" applyAlignment="1">
      <alignment horizontal="left" vertical="center" indent="1"/>
    </xf>
    <xf numFmtId="0" fontId="40" fillId="18" borderId="22" xfId="37" applyFont="1" applyFill="1" applyBorder="1" applyAlignment="1">
      <alignment horizontal="left" vertical="center" wrapText="1" indent="1"/>
    </xf>
    <xf numFmtId="0" fontId="40" fillId="18" borderId="38" xfId="37" applyFont="1" applyFill="1" applyBorder="1" applyAlignment="1">
      <alignment horizontal="left" vertical="center" wrapText="1" indent="1"/>
    </xf>
    <xf numFmtId="0" fontId="23" fillId="0" borderId="12" xfId="37" applyFont="1" applyBorder="1" applyAlignment="1">
      <alignment horizontal="left" vertical="center" indent="1"/>
    </xf>
    <xf numFmtId="0" fontId="40" fillId="0" borderId="0" xfId="37" applyFont="1"/>
    <xf numFmtId="0" fontId="23" fillId="0" borderId="0" xfId="37" applyFont="1" applyAlignment="1">
      <alignment horizontal="center"/>
    </xf>
    <xf numFmtId="0" fontId="23" fillId="0" borderId="0" xfId="37" applyFont="1" applyAlignment="1">
      <alignment horizontal="center" vertical="center" wrapText="1"/>
    </xf>
    <xf numFmtId="0" fontId="23" fillId="0" borderId="4" xfId="37" applyFont="1" applyBorder="1" applyAlignment="1">
      <alignment vertical="center" wrapText="1"/>
    </xf>
    <xf numFmtId="0" fontId="21" fillId="0" borderId="12" xfId="37" applyFont="1" applyBorder="1" applyAlignment="1">
      <alignment horizontal="left" vertical="center" wrapText="1"/>
    </xf>
    <xf numFmtId="0" fontId="21" fillId="0" borderId="12" xfId="37" applyFont="1" applyBorder="1" applyAlignment="1">
      <alignment vertical="center" wrapText="1"/>
    </xf>
    <xf numFmtId="2" fontId="21" fillId="0" borderId="15" xfId="37" applyNumberFormat="1" applyFont="1" applyBorder="1" applyAlignment="1">
      <alignment horizontal="center" vertical="center"/>
    </xf>
    <xf numFmtId="164" fontId="40" fillId="16" borderId="12" xfId="37" applyNumberFormat="1" applyFont="1" applyFill="1" applyBorder="1" applyAlignment="1">
      <alignment horizontal="center" vertical="center"/>
    </xf>
    <xf numFmtId="0" fontId="23" fillId="0" borderId="6" xfId="37" applyFont="1" applyBorder="1" applyAlignment="1">
      <alignment vertical="center" textRotation="90" wrapText="1"/>
    </xf>
    <xf numFmtId="0" fontId="21" fillId="0" borderId="6" xfId="37" applyFont="1" applyBorder="1"/>
    <xf numFmtId="0" fontId="23" fillId="0" borderId="7" xfId="37" applyFont="1" applyBorder="1" applyAlignment="1">
      <alignment vertical="center" wrapText="1"/>
    </xf>
    <xf numFmtId="0" fontId="23" fillId="0" borderId="6" xfId="37" applyFont="1" applyBorder="1" applyAlignment="1">
      <alignment vertical="center" wrapText="1"/>
    </xf>
    <xf numFmtId="0" fontId="21" fillId="0" borderId="7" xfId="37" applyFont="1" applyBorder="1"/>
    <xf numFmtId="169" fontId="40" fillId="16" borderId="12" xfId="37" applyNumberFormat="1" applyFont="1" applyFill="1" applyBorder="1" applyAlignment="1">
      <alignment horizontal="center" vertical="center"/>
    </xf>
    <xf numFmtId="170" fontId="21" fillId="0" borderId="0" xfId="1" applyNumberFormat="1" applyFont="1" applyProtection="1"/>
    <xf numFmtId="0" fontId="40" fillId="21" borderId="13" xfId="37" applyFont="1" applyFill="1" applyBorder="1" applyAlignment="1">
      <alignment horizontal="left" vertical="center"/>
    </xf>
    <xf numFmtId="164" fontId="41" fillId="16" borderId="11" xfId="0" applyNumberFormat="1" applyFont="1" applyFill="1" applyBorder="1" applyAlignment="1">
      <alignment horizontal="right" vertical="center"/>
    </xf>
    <xf numFmtId="0" fontId="21" fillId="0" borderId="4" xfId="37" applyFont="1" applyBorder="1" applyAlignment="1">
      <alignment horizontal="left" vertical="center"/>
    </xf>
    <xf numFmtId="164" fontId="41" fillId="16" borderId="9" xfId="0" applyNumberFormat="1" applyFont="1" applyFill="1" applyBorder="1" applyAlignment="1">
      <alignment horizontal="right" vertical="center"/>
    </xf>
    <xf numFmtId="0" fontId="21" fillId="0" borderId="7" xfId="37" applyFont="1" applyBorder="1" applyAlignment="1">
      <alignment horizontal="left" vertical="center"/>
    </xf>
    <xf numFmtId="0" fontId="23" fillId="0" borderId="0" xfId="37" applyFont="1" applyAlignment="1">
      <alignment vertical="center" textRotation="90"/>
    </xf>
    <xf numFmtId="0" fontId="40" fillId="21" borderId="0" xfId="37" applyFont="1" applyFill="1" applyAlignment="1">
      <alignment horizontal="left" vertical="center"/>
    </xf>
    <xf numFmtId="0" fontId="21" fillId="0" borderId="0" xfId="37" applyFont="1" applyAlignment="1">
      <alignment horizontal="center" vertical="center"/>
    </xf>
    <xf numFmtId="9" fontId="21" fillId="0" borderId="12" xfId="37" applyNumberFormat="1" applyFont="1" applyBorder="1" applyAlignment="1">
      <alignment horizontal="center" vertical="center"/>
    </xf>
    <xf numFmtId="0" fontId="21" fillId="0" borderId="0" xfId="37" applyFont="1" applyAlignment="1">
      <alignment horizontal="left"/>
    </xf>
    <xf numFmtId="0" fontId="53" fillId="0" borderId="0" xfId="37" applyFont="1" applyAlignment="1">
      <alignment horizontal="center" vertical="center"/>
    </xf>
    <xf numFmtId="0" fontId="23" fillId="0" borderId="0" xfId="37" applyFont="1" applyAlignment="1">
      <alignment horizontal="center" wrapText="1"/>
    </xf>
    <xf numFmtId="0" fontId="23" fillId="0" borderId="12" xfId="37" applyFont="1" applyBorder="1" applyAlignment="1">
      <alignment horizontal="center" vertical="center" wrapText="1"/>
    </xf>
    <xf numFmtId="0" fontId="23" fillId="0" borderId="7" xfId="37" applyFont="1" applyBorder="1" applyAlignment="1">
      <alignment horizontal="center" vertical="center" wrapText="1"/>
    </xf>
    <xf numFmtId="0" fontId="40" fillId="16" borderId="12" xfId="37" applyFont="1" applyFill="1" applyBorder="1" applyAlignment="1">
      <alignment horizontal="center" vertical="center" wrapText="1"/>
    </xf>
    <xf numFmtId="0" fontId="23" fillId="0" borderId="15" xfId="37" applyFont="1" applyBorder="1" applyAlignment="1">
      <alignment horizontal="left" vertical="center" indent="1"/>
    </xf>
    <xf numFmtId="0" fontId="21" fillId="0" borderId="16" xfId="37" applyFont="1" applyBorder="1" applyAlignment="1">
      <alignment horizontal="center"/>
    </xf>
    <xf numFmtId="0" fontId="21" fillId="0" borderId="17" xfId="37" applyFont="1" applyBorder="1" applyAlignment="1">
      <alignment horizontal="center"/>
    </xf>
    <xf numFmtId="0" fontId="21" fillId="0" borderId="30" xfId="37" applyFont="1" applyBorder="1" applyAlignment="1">
      <alignment horizontal="center"/>
    </xf>
    <xf numFmtId="0" fontId="21" fillId="0" borderId="15" xfId="37" applyFont="1" applyBorder="1" applyAlignment="1">
      <alignment vertical="center"/>
    </xf>
    <xf numFmtId="167" fontId="21" fillId="0" borderId="12" xfId="45" applyFont="1" applyBorder="1" applyAlignment="1" applyProtection="1">
      <alignment horizontal="center" vertical="center" wrapText="1"/>
    </xf>
    <xf numFmtId="170" fontId="21" fillId="0" borderId="12" xfId="1" applyNumberFormat="1" applyFont="1" applyBorder="1" applyAlignment="1" applyProtection="1">
      <alignment horizontal="left" vertical="center" wrapText="1"/>
    </xf>
    <xf numFmtId="2" fontId="21" fillId="0" borderId="12" xfId="37" applyNumberFormat="1" applyFont="1" applyBorder="1" applyAlignment="1">
      <alignment horizontal="center" vertical="center" wrapText="1"/>
    </xf>
    <xf numFmtId="2" fontId="70" fillId="0" borderId="0" xfId="37" applyNumberFormat="1" applyFont="1" applyAlignment="1">
      <alignment horizontal="center" vertical="center" wrapText="1"/>
    </xf>
    <xf numFmtId="0" fontId="55" fillId="0" borderId="0" xfId="37" applyFont="1" applyAlignment="1">
      <alignment horizontal="left" vertical="center"/>
    </xf>
    <xf numFmtId="0" fontId="55" fillId="0" borderId="0" xfId="37" applyFont="1" applyAlignment="1">
      <alignment horizontal="left"/>
    </xf>
    <xf numFmtId="167" fontId="55" fillId="0" borderId="0" xfId="45" applyFont="1" applyAlignment="1" applyProtection="1">
      <alignment horizontal="left" vertical="center"/>
    </xf>
    <xf numFmtId="164" fontId="55" fillId="0" borderId="0" xfId="37" applyNumberFormat="1" applyFont="1" applyAlignment="1">
      <alignment horizontal="left" vertical="center"/>
    </xf>
    <xf numFmtId="0" fontId="21" fillId="0" borderId="0" xfId="37" applyFont="1" applyAlignment="1">
      <alignment horizontal="right" vertical="center"/>
    </xf>
    <xf numFmtId="0" fontId="23" fillId="0" borderId="0" xfId="37" applyFont="1" applyAlignment="1">
      <alignment horizontal="left" vertical="center"/>
    </xf>
    <xf numFmtId="164" fontId="21" fillId="0" borderId="0" xfId="37" applyNumberFormat="1" applyFont="1" applyAlignment="1">
      <alignment horizontal="center" vertical="center"/>
    </xf>
    <xf numFmtId="170" fontId="21" fillId="0" borderId="0" xfId="1" applyNumberFormat="1" applyFont="1" applyAlignment="1" applyProtection="1">
      <alignment horizontal="left" vertical="center"/>
    </xf>
    <xf numFmtId="0" fontId="23" fillId="0" borderId="0" xfId="37" applyFont="1" applyAlignment="1">
      <alignment vertical="center"/>
    </xf>
    <xf numFmtId="9" fontId="21" fillId="0" borderId="0" xfId="37" applyNumberFormat="1" applyFont="1" applyAlignment="1">
      <alignment horizontal="center"/>
    </xf>
    <xf numFmtId="167" fontId="21" fillId="0" borderId="0" xfId="45" applyFont="1" applyAlignment="1" applyProtection="1">
      <alignment horizontal="center"/>
    </xf>
    <xf numFmtId="164" fontId="55" fillId="0" borderId="0" xfId="1" applyFont="1" applyAlignment="1" applyProtection="1">
      <alignment horizontal="left" vertical="center"/>
    </xf>
    <xf numFmtId="164" fontId="21" fillId="0" borderId="0" xfId="1" applyFont="1" applyAlignment="1" applyProtection="1">
      <alignment horizontal="center" vertical="center"/>
    </xf>
    <xf numFmtId="164" fontId="21" fillId="0" borderId="0" xfId="1" applyFont="1" applyAlignment="1" applyProtection="1">
      <alignment horizontal="left" vertical="center"/>
    </xf>
    <xf numFmtId="0" fontId="40" fillId="0" borderId="0" xfId="37" applyFont="1" applyAlignment="1">
      <alignment vertical="center"/>
    </xf>
    <xf numFmtId="0" fontId="21" fillId="0" borderId="12" xfId="37" applyFont="1" applyBorder="1" applyAlignment="1">
      <alignment vertical="center"/>
    </xf>
    <xf numFmtId="0" fontId="42" fillId="0" borderId="0" xfId="37" applyFont="1" applyAlignment="1">
      <alignment vertical="center"/>
    </xf>
    <xf numFmtId="167" fontId="42" fillId="0" borderId="0" xfId="45" applyFont="1" applyAlignment="1" applyProtection="1">
      <alignment vertical="center"/>
    </xf>
    <xf numFmtId="164" fontId="42" fillId="0" borderId="0" xfId="1" applyFont="1" applyAlignment="1" applyProtection="1">
      <alignment vertical="center"/>
    </xf>
    <xf numFmtId="0" fontId="23" fillId="0" borderId="0" xfId="37" applyFont="1"/>
    <xf numFmtId="0" fontId="42" fillId="0" borderId="0" xfId="37" applyFont="1"/>
    <xf numFmtId="1" fontId="51" fillId="3" borderId="28" xfId="101" applyNumberFormat="1" applyAlignment="1" applyProtection="1">
      <alignment horizontal="center" vertical="center"/>
    </xf>
    <xf numFmtId="2" fontId="21" fillId="0" borderId="0" xfId="37" applyNumberFormat="1" applyFont="1" applyAlignment="1">
      <alignment horizontal="center" vertical="center" wrapText="1"/>
    </xf>
    <xf numFmtId="0" fontId="42" fillId="0" borderId="0" xfId="37" applyFont="1" applyAlignment="1">
      <alignment horizontal="left" vertical="center"/>
    </xf>
    <xf numFmtId="167" fontId="42" fillId="0" borderId="0" xfId="45" applyFont="1" applyAlignment="1" applyProtection="1">
      <alignment horizontal="left" vertical="center"/>
    </xf>
    <xf numFmtId="164" fontId="42" fillId="0" borderId="0" xfId="1" applyFont="1" applyAlignment="1" applyProtection="1">
      <alignment horizontal="left" vertical="center"/>
    </xf>
    <xf numFmtId="169" fontId="23" fillId="0" borderId="0" xfId="37" applyNumberFormat="1" applyFont="1" applyAlignment="1">
      <alignment horizontal="left" vertical="center"/>
    </xf>
    <xf numFmtId="0" fontId="23" fillId="0" borderId="15" xfId="37" applyFont="1" applyBorder="1" applyAlignment="1">
      <alignment horizontal="center" vertical="center" wrapText="1"/>
    </xf>
    <xf numFmtId="0" fontId="21" fillId="0" borderId="17" xfId="37" applyFont="1" applyBorder="1" applyAlignment="1">
      <alignment horizontal="center" vertical="center"/>
    </xf>
    <xf numFmtId="164" fontId="21" fillId="0" borderId="0" xfId="1" applyFont="1" applyAlignment="1" applyProtection="1">
      <alignment horizontal="center"/>
    </xf>
    <xf numFmtId="170" fontId="21" fillId="15" borderId="12" xfId="1" applyNumberFormat="1" applyFont="1" applyFill="1" applyBorder="1" applyAlignment="1" applyProtection="1">
      <alignment vertical="center"/>
      <protection locked="0"/>
    </xf>
    <xf numFmtId="0" fontId="40" fillId="21" borderId="17" xfId="37" applyFont="1" applyFill="1" applyBorder="1" applyAlignment="1">
      <alignment horizontal="left" indent="1"/>
    </xf>
    <xf numFmtId="0" fontId="40" fillId="21" borderId="13" xfId="37" applyFont="1" applyFill="1" applyBorder="1" applyAlignment="1">
      <alignment horizontal="right" vertical="center"/>
    </xf>
    <xf numFmtId="0" fontId="40" fillId="0" borderId="0" xfId="37" applyFont="1" applyAlignment="1">
      <alignment horizontal="center" vertical="center" wrapText="1"/>
    </xf>
    <xf numFmtId="0" fontId="42" fillId="0" borderId="0" xfId="37" applyFont="1" applyAlignment="1">
      <alignment horizontal="right" vertical="center"/>
    </xf>
    <xf numFmtId="0" fontId="40" fillId="21" borderId="16" xfId="37" applyFont="1" applyFill="1" applyBorder="1" applyAlignment="1">
      <alignment horizontal="left" vertical="center" indent="1"/>
    </xf>
    <xf numFmtId="0" fontId="23" fillId="0" borderId="11" xfId="37" applyFont="1" applyBorder="1" applyAlignment="1">
      <alignment horizontal="center" vertical="center" wrapText="1"/>
    </xf>
    <xf numFmtId="0" fontId="23" fillId="0" borderId="16" xfId="37" applyFont="1" applyBorder="1" applyAlignment="1">
      <alignment horizontal="center" vertical="center" wrapText="1"/>
    </xf>
    <xf numFmtId="0" fontId="23" fillId="0" borderId="17" xfId="37" applyFont="1" applyBorder="1" applyAlignment="1">
      <alignment horizontal="center" vertical="center" wrapText="1"/>
    </xf>
    <xf numFmtId="0" fontId="21" fillId="0" borderId="12" xfId="37" applyFont="1" applyBorder="1" applyAlignment="1">
      <alignment horizontal="center" vertical="center"/>
    </xf>
    <xf numFmtId="0" fontId="21" fillId="0" borderId="16" xfId="37" applyFont="1" applyBorder="1" applyAlignment="1">
      <alignment vertical="center" wrapText="1"/>
    </xf>
    <xf numFmtId="0" fontId="21" fillId="0" borderId="17" xfId="37" applyFont="1" applyBorder="1" applyAlignment="1">
      <alignment vertical="center" wrapText="1"/>
    </xf>
    <xf numFmtId="0" fontId="21" fillId="0" borderId="15" xfId="37" applyFont="1" applyBorder="1" applyAlignment="1">
      <alignment horizontal="left" vertical="center"/>
    </xf>
    <xf numFmtId="2" fontId="21" fillId="0" borderId="12" xfId="37" applyNumberFormat="1" applyFont="1" applyBorder="1" applyAlignment="1">
      <alignment horizontal="center" vertical="center"/>
    </xf>
    <xf numFmtId="0" fontId="21" fillId="0" borderId="0" xfId="0" applyFont="1" applyAlignment="1">
      <alignment vertical="center"/>
    </xf>
    <xf numFmtId="0" fontId="55" fillId="0" borderId="0" xfId="37" applyFont="1" applyAlignment="1">
      <alignment horizontal="center" vertical="center"/>
    </xf>
    <xf numFmtId="0" fontId="21" fillId="0" borderId="16" xfId="37" applyFont="1" applyBorder="1" applyAlignment="1">
      <alignment vertical="center"/>
    </xf>
    <xf numFmtId="0" fontId="21" fillId="0" borderId="17" xfId="37" applyFont="1" applyBorder="1" applyAlignment="1">
      <alignment vertical="center"/>
    </xf>
    <xf numFmtId="0" fontId="21" fillId="0" borderId="16" xfId="37" applyFont="1" applyBorder="1" applyAlignment="1">
      <alignment horizontal="left" vertical="center"/>
    </xf>
    <xf numFmtId="0" fontId="21" fillId="0" borderId="17" xfId="37" applyFont="1" applyBorder="1" applyAlignment="1">
      <alignment horizontal="left" vertical="center"/>
    </xf>
    <xf numFmtId="0" fontId="21" fillId="0" borderId="12" xfId="37" applyFont="1" applyBorder="1" applyAlignment="1">
      <alignment horizontal="left" vertical="center"/>
    </xf>
    <xf numFmtId="0" fontId="42" fillId="0" borderId="0" xfId="37" applyFont="1" applyAlignment="1">
      <alignment horizontal="center" vertical="center"/>
    </xf>
    <xf numFmtId="169" fontId="41" fillId="0" borderId="0" xfId="37" applyNumberFormat="1" applyFont="1" applyAlignment="1">
      <alignment vertical="center"/>
    </xf>
    <xf numFmtId="0" fontId="41" fillId="0" borderId="0" xfId="37" applyFont="1" applyAlignment="1">
      <alignment horizontal="center" vertical="center"/>
    </xf>
    <xf numFmtId="2" fontId="21" fillId="0" borderId="0" xfId="0" applyNumberFormat="1" applyFont="1" applyAlignment="1">
      <alignment horizontal="center" vertical="center"/>
    </xf>
    <xf numFmtId="0" fontId="23" fillId="0" borderId="0" xfId="0" applyFont="1" applyAlignment="1">
      <alignment horizontal="right" vertical="center"/>
    </xf>
    <xf numFmtId="167" fontId="51" fillId="3" borderId="28" xfId="101" applyNumberFormat="1" applyAlignment="1" applyProtection="1">
      <alignment horizontal="center" vertical="center" wrapText="1"/>
    </xf>
    <xf numFmtId="164" fontId="23" fillId="0" borderId="0" xfId="1" applyFont="1" applyAlignment="1" applyProtection="1">
      <alignment horizontal="center" vertical="center" wrapText="1"/>
    </xf>
    <xf numFmtId="168" fontId="21" fillId="0" borderId="0" xfId="0" applyNumberFormat="1" applyFont="1" applyAlignment="1">
      <alignment horizontal="left" vertical="center" wrapText="1"/>
    </xf>
    <xf numFmtId="2" fontId="23" fillId="5" borderId="0" xfId="0" applyNumberFormat="1" applyFont="1" applyFill="1" applyAlignment="1">
      <alignment horizontal="right" vertical="center"/>
    </xf>
    <xf numFmtId="0" fontId="21" fillId="0" borderId="12" xfId="0" applyFont="1" applyBorder="1" applyAlignment="1">
      <alignment horizontal="left" vertical="center" wrapText="1"/>
    </xf>
    <xf numFmtId="176" fontId="23" fillId="0" borderId="0" xfId="0" applyNumberFormat="1" applyFont="1" applyAlignment="1">
      <alignment horizontal="center" vertical="center" wrapText="1"/>
    </xf>
    <xf numFmtId="0" fontId="36" fillId="0" borderId="0" xfId="37" applyFont="1" applyAlignment="1">
      <alignment horizontal="center" vertical="center" wrapText="1"/>
    </xf>
    <xf numFmtId="0" fontId="21" fillId="0" borderId="0" xfId="37" applyFont="1" applyAlignment="1">
      <alignment horizontal="right" vertical="center" indent="1"/>
    </xf>
    <xf numFmtId="0" fontId="36" fillId="0" borderId="0" xfId="37" applyFont="1" applyAlignment="1">
      <alignment horizontal="left" vertical="center"/>
    </xf>
    <xf numFmtId="165" fontId="21" fillId="0" borderId="12" xfId="1" applyNumberFormat="1" applyFont="1" applyBorder="1" applyAlignment="1" applyProtection="1">
      <alignment horizontal="center" vertical="center"/>
    </xf>
    <xf numFmtId="175" fontId="21" fillId="0" borderId="12" xfId="37" applyNumberFormat="1" applyFont="1" applyBorder="1" applyAlignment="1">
      <alignment horizontal="center" vertical="center"/>
    </xf>
    <xf numFmtId="1" fontId="21" fillId="0" borderId="12" xfId="1" applyNumberFormat="1" applyFont="1" applyFill="1" applyBorder="1" applyAlignment="1" applyProtection="1">
      <alignment horizontal="center" vertical="center"/>
    </xf>
    <xf numFmtId="165" fontId="21" fillId="0" borderId="16" xfId="1" applyNumberFormat="1" applyFont="1" applyBorder="1" applyAlignment="1" applyProtection="1">
      <alignment horizontal="center" vertical="center"/>
    </xf>
    <xf numFmtId="165" fontId="21" fillId="0" borderId="17" xfId="1" applyNumberFormat="1" applyFont="1" applyBorder="1" applyAlignment="1" applyProtection="1">
      <alignment horizontal="center" vertical="center"/>
    </xf>
    <xf numFmtId="0" fontId="23" fillId="19" borderId="15" xfId="37" applyFont="1" applyFill="1" applyBorder="1" applyAlignment="1">
      <alignment horizontal="left" vertical="center" indent="1"/>
    </xf>
    <xf numFmtId="0" fontId="21" fillId="19" borderId="16" xfId="37" applyFont="1" applyFill="1" applyBorder="1" applyAlignment="1">
      <alignment horizontal="center" vertical="center"/>
    </xf>
    <xf numFmtId="0" fontId="21" fillId="19" borderId="17" xfId="37" applyFont="1" applyFill="1" applyBorder="1" applyAlignment="1">
      <alignment horizontal="center" vertical="center"/>
    </xf>
    <xf numFmtId="0" fontId="21" fillId="19" borderId="16" xfId="37" applyFont="1" applyFill="1" applyBorder="1" applyAlignment="1">
      <alignment horizontal="left" vertical="center"/>
    </xf>
    <xf numFmtId="0" fontId="23" fillId="19" borderId="16" xfId="37" applyFont="1" applyFill="1" applyBorder="1" applyAlignment="1">
      <alignment horizontal="left" vertical="center"/>
    </xf>
    <xf numFmtId="0" fontId="23" fillId="19" borderId="16" xfId="37" applyFont="1" applyFill="1" applyBorder="1" applyAlignment="1">
      <alignment vertical="center"/>
    </xf>
    <xf numFmtId="0" fontId="23" fillId="19" borderId="17" xfId="37" applyFont="1" applyFill="1" applyBorder="1" applyAlignment="1">
      <alignment vertical="center"/>
    </xf>
    <xf numFmtId="0" fontId="23" fillId="19" borderId="15" xfId="37" applyFont="1" applyFill="1" applyBorder="1" applyAlignment="1">
      <alignment vertical="center"/>
    </xf>
    <xf numFmtId="0" fontId="23" fillId="0" borderId="8" xfId="37" applyFont="1" applyBorder="1" applyAlignment="1">
      <alignment horizontal="center" vertical="center" wrapText="1"/>
    </xf>
    <xf numFmtId="0" fontId="40" fillId="16" borderId="7" xfId="37" applyFont="1" applyFill="1" applyBorder="1" applyAlignment="1">
      <alignment horizontal="center" vertical="center" wrapText="1"/>
    </xf>
    <xf numFmtId="0" fontId="21" fillId="0" borderId="16" xfId="37" applyFont="1" applyBorder="1" applyAlignment="1">
      <alignment horizontal="center" vertical="center"/>
    </xf>
    <xf numFmtId="0" fontId="21" fillId="0" borderId="7" xfId="37" applyFont="1" applyBorder="1" applyAlignment="1">
      <alignment horizontal="center" vertical="center"/>
    </xf>
    <xf numFmtId="167" fontId="21" fillId="0" borderId="7" xfId="45" applyFont="1" applyBorder="1" applyAlignment="1" applyProtection="1">
      <alignment horizontal="center" vertical="center"/>
    </xf>
    <xf numFmtId="167" fontId="21" fillId="0" borderId="0" xfId="45" applyFont="1" applyAlignment="1" applyProtection="1">
      <alignment horizontal="center" vertical="center"/>
    </xf>
    <xf numFmtId="167" fontId="21" fillId="0" borderId="0" xfId="45" applyFont="1" applyAlignment="1" applyProtection="1">
      <alignment vertical="center"/>
    </xf>
    <xf numFmtId="167" fontId="14" fillId="0" borderId="0" xfId="45" applyFont="1" applyAlignment="1" applyProtection="1">
      <alignment vertical="center"/>
    </xf>
    <xf numFmtId="164" fontId="21" fillId="5" borderId="0" xfId="0" applyNumberFormat="1" applyFont="1" applyFill="1" applyAlignment="1">
      <alignment horizontal="center" vertical="center"/>
    </xf>
    <xf numFmtId="164" fontId="21" fillId="0" borderId="0" xfId="37" applyNumberFormat="1" applyFont="1" applyAlignment="1">
      <alignment vertical="center"/>
    </xf>
    <xf numFmtId="175" fontId="21" fillId="0" borderId="0" xfId="37" applyNumberFormat="1" applyFont="1" applyAlignment="1">
      <alignment horizontal="center" vertical="center"/>
    </xf>
    <xf numFmtId="169" fontId="21" fillId="0" borderId="0" xfId="37" applyNumberFormat="1" applyFont="1" applyAlignment="1">
      <alignment vertical="center"/>
    </xf>
    <xf numFmtId="0" fontId="82" fillId="5" borderId="0" xfId="0" applyFont="1" applyFill="1" applyAlignment="1">
      <alignment vertical="center"/>
    </xf>
    <xf numFmtId="0" fontId="21" fillId="0" borderId="0" xfId="0" applyFont="1" applyAlignment="1">
      <alignment horizontal="right" vertical="center"/>
    </xf>
    <xf numFmtId="0" fontId="21" fillId="0" borderId="12" xfId="0" applyFont="1" applyBorder="1" applyAlignment="1">
      <alignment horizontal="center" vertical="center"/>
    </xf>
    <xf numFmtId="0" fontId="23" fillId="19" borderId="15" xfId="37" applyFont="1" applyFill="1" applyBorder="1" applyAlignment="1">
      <alignment horizontal="left" vertical="center"/>
    </xf>
    <xf numFmtId="2" fontId="23" fillId="0" borderId="15" xfId="37" applyNumberFormat="1" applyFont="1" applyBorder="1" applyAlignment="1">
      <alignment horizontal="center" vertical="center" wrapText="1"/>
    </xf>
    <xf numFmtId="0" fontId="65" fillId="0" borderId="16" xfId="37" applyFont="1" applyBorder="1" applyAlignment="1">
      <alignment horizontal="center" vertical="center" wrapText="1"/>
    </xf>
    <xf numFmtId="0" fontId="65" fillId="0" borderId="0" xfId="37" applyFont="1" applyAlignment="1">
      <alignment horizontal="center" vertical="center" wrapText="1"/>
    </xf>
    <xf numFmtId="164" fontId="21" fillId="0" borderId="0" xfId="1" applyFont="1" applyAlignment="1" applyProtection="1">
      <alignment vertical="center"/>
    </xf>
    <xf numFmtId="2" fontId="15" fillId="5" borderId="12" xfId="0" applyNumberFormat="1" applyFont="1" applyFill="1" applyBorder="1" applyAlignment="1">
      <alignment horizontal="center" vertical="center"/>
    </xf>
    <xf numFmtId="1" fontId="51" fillId="3" borderId="28" xfId="101" applyNumberFormat="1" applyAlignment="1" applyProtection="1">
      <alignment horizontal="center" vertical="center" wrapText="1"/>
    </xf>
    <xf numFmtId="168" fontId="23" fillId="0" borderId="0" xfId="0" applyNumberFormat="1" applyFont="1" applyAlignment="1">
      <alignment horizontal="center" vertical="center" wrapText="1"/>
    </xf>
    <xf numFmtId="0" fontId="21" fillId="5" borderId="0" xfId="0" applyFont="1" applyFill="1" applyAlignment="1">
      <alignment vertical="center"/>
    </xf>
    <xf numFmtId="2" fontId="21" fillId="5" borderId="0" xfId="0" applyNumberFormat="1" applyFont="1" applyFill="1" applyAlignment="1">
      <alignment horizontal="center" vertical="center"/>
    </xf>
    <xf numFmtId="2" fontId="15" fillId="5" borderId="0" xfId="0" applyNumberFormat="1" applyFont="1" applyFill="1" applyAlignment="1">
      <alignment horizontal="center" vertical="center"/>
    </xf>
    <xf numFmtId="168" fontId="21" fillId="0" borderId="0" xfId="0" applyNumberFormat="1" applyFont="1" applyAlignment="1">
      <alignment horizontal="right" vertical="center"/>
    </xf>
    <xf numFmtId="0" fontId="23" fillId="0" borderId="0" xfId="0" applyFont="1" applyAlignment="1">
      <alignment horizontal="center" vertical="center" wrapText="1"/>
    </xf>
    <xf numFmtId="164" fontId="21" fillId="0" borderId="0" xfId="0" applyNumberFormat="1" applyFont="1" applyAlignment="1">
      <alignment horizontal="left" vertical="center" wrapText="1"/>
    </xf>
    <xf numFmtId="164" fontId="21" fillId="0" borderId="0" xfId="0" applyNumberFormat="1" applyFont="1" applyAlignment="1">
      <alignment vertical="center"/>
    </xf>
    <xf numFmtId="0" fontId="80" fillId="0" borderId="0" xfId="37" applyFont="1" applyAlignment="1">
      <alignment horizontal="center" vertical="center" wrapText="1"/>
    </xf>
    <xf numFmtId="2" fontId="23" fillId="0" borderId="7" xfId="37" applyNumberFormat="1" applyFont="1" applyBorder="1" applyAlignment="1">
      <alignment horizontal="center" vertical="center" wrapText="1"/>
    </xf>
    <xf numFmtId="167" fontId="21" fillId="0" borderId="12" xfId="45" applyFont="1" applyBorder="1" applyAlignment="1" applyProtection="1">
      <alignment horizontal="center" vertical="center"/>
    </xf>
    <xf numFmtId="9" fontId="21" fillId="0" borderId="0" xfId="37" applyNumberFormat="1" applyFont="1" applyAlignment="1">
      <alignment horizontal="center" vertical="center"/>
    </xf>
    <xf numFmtId="170" fontId="23" fillId="0" borderId="0" xfId="37" applyNumberFormat="1" applyFont="1" applyAlignment="1">
      <alignment horizontal="center" vertical="center"/>
    </xf>
    <xf numFmtId="2" fontId="21" fillId="0" borderId="0" xfId="37" applyNumberFormat="1" applyFont="1" applyAlignment="1">
      <alignment horizontal="center" vertical="center"/>
    </xf>
    <xf numFmtId="1" fontId="23" fillId="0" borderId="0" xfId="37" applyNumberFormat="1" applyFont="1" applyAlignment="1">
      <alignment horizontal="center" vertical="center"/>
    </xf>
    <xf numFmtId="164" fontId="21" fillId="0" borderId="0" xfId="1" applyFont="1" applyAlignment="1" applyProtection="1">
      <alignment horizontal="left" vertical="center" wrapText="1"/>
    </xf>
    <xf numFmtId="170" fontId="65" fillId="0" borderId="16" xfId="1" applyNumberFormat="1" applyFont="1" applyBorder="1" applyAlignment="1" applyProtection="1">
      <alignment horizontal="center" vertical="center"/>
    </xf>
    <xf numFmtId="2" fontId="21" fillId="5" borderId="12" xfId="0" applyNumberFormat="1" applyFont="1" applyFill="1" applyBorder="1" applyAlignment="1">
      <alignment horizontal="left" vertical="center"/>
    </xf>
    <xf numFmtId="176" fontId="21" fillId="0" borderId="0" xfId="0" applyNumberFormat="1" applyFont="1" applyAlignment="1">
      <alignment horizontal="right" vertical="center" wrapText="1"/>
    </xf>
    <xf numFmtId="164" fontId="14" fillId="0" borderId="0" xfId="1" applyFont="1" applyAlignment="1" applyProtection="1">
      <alignment vertical="center"/>
    </xf>
    <xf numFmtId="176" fontId="15" fillId="0" borderId="0" xfId="0" applyNumberFormat="1" applyFont="1" applyAlignment="1">
      <alignment horizontal="left" vertical="center" wrapText="1"/>
    </xf>
    <xf numFmtId="0" fontId="80" fillId="0" borderId="0" xfId="37" applyFont="1" applyAlignment="1">
      <alignment horizontal="center" vertical="center"/>
    </xf>
    <xf numFmtId="0" fontId="47" fillId="5" borderId="0" xfId="0" applyFont="1" applyFill="1" applyAlignment="1">
      <alignment horizontal="center" vertical="center"/>
    </xf>
    <xf numFmtId="0" fontId="21" fillId="0" borderId="0" xfId="0" applyFont="1" applyAlignment="1">
      <alignment horizontal="center" vertical="center"/>
    </xf>
    <xf numFmtId="0" fontId="23" fillId="19" borderId="15" xfId="37" applyFont="1" applyFill="1" applyBorder="1" applyAlignment="1">
      <alignment horizontal="center" vertical="center"/>
    </xf>
    <xf numFmtId="0" fontId="23" fillId="19" borderId="17" xfId="37" applyFont="1" applyFill="1" applyBorder="1" applyAlignment="1">
      <alignment horizontal="left" vertical="center"/>
    </xf>
    <xf numFmtId="0" fontId="23" fillId="0" borderId="14" xfId="37" applyFont="1" applyBorder="1" applyAlignment="1">
      <alignment horizontal="center" vertical="center" wrapText="1"/>
    </xf>
    <xf numFmtId="0" fontId="21" fillId="0" borderId="13" xfId="37" applyFont="1" applyBorder="1" applyAlignment="1">
      <alignment vertical="center"/>
    </xf>
    <xf numFmtId="0" fontId="21" fillId="0" borderId="13" xfId="37" applyFont="1" applyBorder="1" applyAlignment="1">
      <alignment horizontal="right" vertical="center"/>
    </xf>
    <xf numFmtId="175" fontId="21" fillId="0" borderId="12" xfId="37" applyNumberFormat="1" applyFont="1" applyBorder="1" applyAlignment="1">
      <alignment horizontal="left" vertical="center"/>
    </xf>
    <xf numFmtId="0" fontId="21" fillId="0" borderId="0" xfId="0" applyFont="1" applyAlignment="1">
      <alignment horizontal="left" vertical="center"/>
    </xf>
    <xf numFmtId="175" fontId="23" fillId="0" borderId="0" xfId="0" applyNumberFormat="1" applyFont="1" applyAlignment="1">
      <alignment horizontal="center" vertical="center" wrapText="1"/>
    </xf>
    <xf numFmtId="0" fontId="21" fillId="0" borderId="0" xfId="0" applyFont="1" applyAlignment="1">
      <alignment horizontal="left" vertical="center" wrapText="1"/>
    </xf>
    <xf numFmtId="176" fontId="21" fillId="0" borderId="0" xfId="37" applyNumberFormat="1" applyFont="1" applyAlignment="1">
      <alignment horizontal="center" vertical="center"/>
    </xf>
    <xf numFmtId="0" fontId="40" fillId="21" borderId="16" xfId="37" applyFont="1" applyFill="1" applyBorder="1" applyAlignment="1">
      <alignment horizontal="left" indent="1"/>
    </xf>
    <xf numFmtId="0" fontId="23" fillId="19" borderId="12" xfId="37" applyFont="1" applyFill="1" applyBorder="1" applyAlignment="1">
      <alignment horizontal="center" vertical="center"/>
    </xf>
    <xf numFmtId="0" fontId="23" fillId="19" borderId="12" xfId="37" applyFont="1" applyFill="1" applyBorder="1" applyAlignment="1">
      <alignment horizontal="left" vertical="center" indent="1"/>
    </xf>
    <xf numFmtId="2" fontId="23" fillId="0" borderId="0" xfId="37" applyNumberFormat="1" applyFont="1" applyAlignment="1">
      <alignment horizontal="center" vertical="center" wrapText="1"/>
    </xf>
    <xf numFmtId="1" fontId="21" fillId="0" borderId="0" xfId="45" applyNumberFormat="1" applyFont="1" applyAlignment="1" applyProtection="1">
      <alignment horizontal="center" vertical="center"/>
    </xf>
    <xf numFmtId="1" fontId="21" fillId="0" borderId="0" xfId="37" applyNumberFormat="1" applyFont="1" applyAlignment="1">
      <alignment horizontal="center" vertical="center"/>
    </xf>
    <xf numFmtId="2" fontId="21" fillId="0" borderId="0" xfId="37" applyNumberFormat="1" applyFont="1" applyAlignment="1">
      <alignment vertical="center"/>
    </xf>
    <xf numFmtId="0" fontId="21" fillId="0" borderId="13" xfId="37" applyFont="1" applyBorder="1" applyAlignment="1">
      <alignment horizontal="center" vertical="center"/>
    </xf>
    <xf numFmtId="175" fontId="23" fillId="0" borderId="0" xfId="37" applyNumberFormat="1" applyFont="1" applyAlignment="1">
      <alignment horizontal="center" vertical="center"/>
    </xf>
    <xf numFmtId="0" fontId="40" fillId="21" borderId="5" xfId="37" applyFont="1" applyFill="1" applyBorder="1" applyAlignment="1">
      <alignment horizontal="left" vertical="center"/>
    </xf>
    <xf numFmtId="0" fontId="21" fillId="0" borderId="16" xfId="37" applyFont="1" applyBorder="1" applyAlignment="1">
      <alignment horizontal="left" vertical="center" wrapText="1"/>
    </xf>
    <xf numFmtId="0" fontId="21" fillId="0" borderId="17" xfId="37" applyFont="1" applyBorder="1" applyAlignment="1">
      <alignment horizontal="left" vertical="center" wrapText="1"/>
    </xf>
    <xf numFmtId="0" fontId="76" fillId="0" borderId="0" xfId="37" applyFont="1" applyAlignment="1">
      <alignment horizontal="center" vertical="center"/>
    </xf>
    <xf numFmtId="0" fontId="21" fillId="21" borderId="0" xfId="37" applyFont="1" applyFill="1" applyAlignment="1">
      <alignment vertical="center"/>
    </xf>
    <xf numFmtId="0" fontId="21" fillId="0" borderId="0" xfId="37" applyFont="1" applyAlignment="1">
      <alignment vertical="center" wrapText="1"/>
    </xf>
    <xf numFmtId="164" fontId="42" fillId="0" borderId="0" xfId="37" applyNumberFormat="1" applyFont="1" applyAlignment="1">
      <alignment horizontal="center" vertical="center"/>
    </xf>
    <xf numFmtId="164" fontId="23" fillId="0" borderId="0" xfId="0" applyNumberFormat="1" applyFont="1" applyAlignment="1">
      <alignment horizontal="center" vertical="center" wrapText="1"/>
    </xf>
    <xf numFmtId="2" fontId="89" fillId="0" borderId="0" xfId="37" applyNumberFormat="1" applyFont="1" applyAlignment="1">
      <alignment vertical="center"/>
    </xf>
    <xf numFmtId="0" fontId="21" fillId="15" borderId="15" xfId="0" applyFont="1" applyFill="1" applyBorder="1" applyAlignment="1" applyProtection="1">
      <alignment horizontal="left" vertical="center"/>
      <protection locked="0"/>
    </xf>
    <xf numFmtId="0" fontId="21" fillId="15" borderId="16" xfId="0" applyFont="1" applyFill="1" applyBorder="1" applyAlignment="1" applyProtection="1">
      <alignment horizontal="left" vertical="center"/>
      <protection locked="0"/>
    </xf>
    <xf numFmtId="0" fontId="21" fillId="15" borderId="17" xfId="0" applyFont="1" applyFill="1" applyBorder="1" applyAlignment="1" applyProtection="1">
      <alignment horizontal="left" vertical="center"/>
      <protection locked="0"/>
    </xf>
    <xf numFmtId="0" fontId="21" fillId="15" borderId="11" xfId="0" applyFont="1" applyFill="1" applyBorder="1" applyAlignment="1" applyProtection="1">
      <alignment horizontal="left" vertical="center"/>
      <protection locked="0"/>
    </xf>
    <xf numFmtId="0" fontId="21" fillId="15" borderId="14" xfId="0" applyFont="1" applyFill="1" applyBorder="1" applyAlignment="1" applyProtection="1">
      <alignment horizontal="left" vertical="center"/>
      <protection locked="0"/>
    </xf>
    <xf numFmtId="0" fontId="21" fillId="15" borderId="8" xfId="0" applyFont="1" applyFill="1" applyBorder="1" applyAlignment="1" applyProtection="1">
      <alignment horizontal="left" vertical="center"/>
      <protection locked="0"/>
    </xf>
    <xf numFmtId="167" fontId="21" fillId="15" borderId="17" xfId="45" applyFont="1" applyFill="1" applyBorder="1" applyAlignment="1" applyProtection="1">
      <alignment horizontal="left" vertical="center"/>
      <protection locked="0"/>
    </xf>
    <xf numFmtId="0" fontId="40" fillId="21" borderId="5" xfId="37" applyFont="1" applyFill="1" applyBorder="1" applyAlignment="1">
      <alignment horizontal="left" indent="1"/>
    </xf>
    <xf numFmtId="164" fontId="41" fillId="16" borderId="7" xfId="0" applyNumberFormat="1" applyFont="1" applyFill="1" applyBorder="1" applyAlignment="1">
      <alignment horizontal="right" vertical="top"/>
    </xf>
    <xf numFmtId="164" fontId="41" fillId="16" borderId="4" xfId="0" applyNumberFormat="1" applyFont="1" applyFill="1" applyBorder="1" applyAlignment="1">
      <alignment horizontal="right" vertical="top"/>
    </xf>
    <xf numFmtId="0" fontId="21" fillId="0" borderId="11" xfId="37" applyFont="1" applyBorder="1"/>
    <xf numFmtId="0" fontId="23" fillId="0" borderId="14" xfId="37" applyFont="1" applyBorder="1" applyAlignment="1">
      <alignment vertical="center" textRotation="90"/>
    </xf>
    <xf numFmtId="0" fontId="76" fillId="0" borderId="0" xfId="0" applyFont="1" applyAlignment="1">
      <alignment horizontal="center" vertical="center"/>
    </xf>
    <xf numFmtId="1" fontId="15" fillId="5" borderId="12" xfId="0" applyNumberFormat="1" applyFont="1" applyFill="1" applyBorder="1" applyAlignment="1">
      <alignment horizontal="center" vertical="center"/>
    </xf>
    <xf numFmtId="0" fontId="21" fillId="0" borderId="15" xfId="37" applyFont="1" applyBorder="1" applyAlignment="1">
      <alignment vertical="center" wrapText="1"/>
    </xf>
    <xf numFmtId="167" fontId="15" fillId="0" borderId="12" xfId="45" applyFont="1" applyBorder="1" applyAlignment="1" applyProtection="1">
      <alignment horizontal="center" vertical="center" wrapText="1"/>
    </xf>
    <xf numFmtId="164" fontId="14" fillId="0" borderId="0" xfId="0" applyNumberFormat="1" applyFont="1"/>
    <xf numFmtId="0" fontId="63" fillId="0" borderId="12" xfId="37" applyFont="1" applyBorder="1" applyAlignment="1">
      <alignment horizontal="center" vertical="center" wrapText="1"/>
    </xf>
    <xf numFmtId="0" fontId="63" fillId="0" borderId="15" xfId="37" applyFont="1" applyBorder="1" applyAlignment="1">
      <alignment horizontal="center" vertical="center" wrapText="1"/>
    </xf>
    <xf numFmtId="0" fontId="23" fillId="0" borderId="12" xfId="0" applyFont="1" applyBorder="1" applyAlignment="1">
      <alignment horizontal="center" vertical="center"/>
    </xf>
    <xf numFmtId="2" fontId="23" fillId="0" borderId="12" xfId="0" applyNumberFormat="1" applyFont="1" applyBorder="1" applyAlignment="1">
      <alignment horizontal="center" vertical="center"/>
    </xf>
    <xf numFmtId="0" fontId="21" fillId="15" borderId="15" xfId="37" applyFont="1" applyFill="1" applyBorder="1" applyAlignment="1" applyProtection="1">
      <alignment vertical="center" wrapText="1"/>
      <protection locked="0"/>
    </xf>
    <xf numFmtId="0" fontId="14" fillId="15" borderId="12" xfId="0" applyFont="1" applyFill="1" applyBorder="1" applyAlignment="1" applyProtection="1">
      <alignment wrapText="1"/>
      <protection locked="0"/>
    </xf>
    <xf numFmtId="164" fontId="41" fillId="16" borderId="6" xfId="0" applyNumberFormat="1" applyFont="1" applyFill="1" applyBorder="1" applyAlignment="1">
      <alignment horizontal="right" vertical="center"/>
    </xf>
    <xf numFmtId="164" fontId="41" fillId="16" borderId="4" xfId="0" applyNumberFormat="1" applyFont="1" applyFill="1" applyBorder="1" applyAlignment="1">
      <alignment horizontal="right" vertical="center"/>
    </xf>
    <xf numFmtId="0" fontId="40" fillId="21" borderId="16" xfId="37" applyFont="1" applyFill="1" applyBorder="1" applyAlignment="1">
      <alignment horizontal="left" vertical="center"/>
    </xf>
    <xf numFmtId="0" fontId="14" fillId="0" borderId="17" xfId="0" applyFont="1" applyBorder="1"/>
    <xf numFmtId="0" fontId="14" fillId="0" borderId="0" xfId="0" applyFont="1" applyAlignment="1">
      <alignment wrapText="1"/>
    </xf>
    <xf numFmtId="0" fontId="21" fillId="0" borderId="15" xfId="37" applyFont="1" applyBorder="1" applyAlignment="1">
      <alignment horizontal="left" vertical="center" indent="1"/>
    </xf>
    <xf numFmtId="0" fontId="21" fillId="0" borderId="16" xfId="37" applyFont="1" applyBorder="1" applyAlignment="1">
      <alignment horizontal="left"/>
    </xf>
    <xf numFmtId="0" fontId="21" fillId="0" borderId="9" xfId="37" applyFont="1" applyBorder="1"/>
    <xf numFmtId="0" fontId="21" fillId="0" borderId="13" xfId="37" applyFont="1" applyBorder="1"/>
    <xf numFmtId="0" fontId="21" fillId="0" borderId="5" xfId="37" applyFont="1" applyBorder="1"/>
    <xf numFmtId="169" fontId="14" fillId="0" borderId="12" xfId="0" applyNumberFormat="1" applyFont="1" applyBorder="1" applyAlignment="1">
      <alignment horizontal="center" vertical="center"/>
    </xf>
    <xf numFmtId="164" fontId="14" fillId="24" borderId="15" xfId="0" applyNumberFormat="1" applyFont="1" applyFill="1" applyBorder="1" applyAlignment="1">
      <alignment horizontal="center" vertical="center"/>
    </xf>
    <xf numFmtId="0" fontId="14" fillId="0" borderId="15" xfId="0" applyFont="1" applyBorder="1"/>
    <xf numFmtId="0" fontId="21" fillId="0" borderId="15" xfId="37" applyFont="1" applyBorder="1" applyAlignment="1">
      <alignment horizontal="left" indent="1"/>
    </xf>
    <xf numFmtId="0" fontId="14" fillId="0" borderId="14" xfId="0" applyFont="1" applyBorder="1"/>
    <xf numFmtId="0" fontId="68" fillId="0" borderId="0" xfId="37" applyFont="1"/>
    <xf numFmtId="0" fontId="69" fillId="0" borderId="0" xfId="0" applyFont="1" applyAlignment="1">
      <alignment horizontal="center" vertical="center"/>
    </xf>
    <xf numFmtId="0" fontId="21" fillId="0" borderId="11" xfId="37" applyFont="1" applyBorder="1" applyAlignment="1">
      <alignment horizontal="left" indent="1"/>
    </xf>
    <xf numFmtId="0" fontId="21" fillId="0" borderId="14" xfId="37" applyFont="1" applyBorder="1" applyAlignment="1">
      <alignment horizontal="left" indent="1"/>
    </xf>
    <xf numFmtId="0" fontId="21" fillId="0" borderId="16" xfId="37" applyFont="1" applyBorder="1" applyAlignment="1">
      <alignment horizontal="left" indent="1"/>
    </xf>
    <xf numFmtId="1" fontId="79" fillId="3" borderId="28" xfId="101" applyNumberFormat="1" applyFont="1" applyAlignment="1" applyProtection="1">
      <alignment horizontal="center" vertical="center"/>
    </xf>
    <xf numFmtId="169" fontId="19" fillId="0" borderId="0" xfId="0" applyNumberFormat="1" applyFont="1"/>
    <xf numFmtId="164" fontId="19" fillId="0" borderId="0" xfId="0" applyNumberFormat="1" applyFont="1"/>
    <xf numFmtId="164" fontId="14" fillId="24" borderId="15" xfId="0" applyNumberFormat="1" applyFont="1" applyFill="1" applyBorder="1" applyAlignment="1">
      <alignment vertical="center"/>
    </xf>
    <xf numFmtId="167" fontId="14" fillId="0" borderId="0" xfId="45" applyFont="1" applyAlignment="1" applyProtection="1">
      <alignment wrapText="1"/>
    </xf>
    <xf numFmtId="168" fontId="14" fillId="0" borderId="0" xfId="0" applyNumberFormat="1" applyFont="1" applyAlignment="1">
      <alignment wrapText="1"/>
    </xf>
    <xf numFmtId="168" fontId="21" fillId="0" borderId="0" xfId="37" applyNumberFormat="1" applyFont="1" applyAlignment="1">
      <alignment horizontal="center"/>
    </xf>
    <xf numFmtId="168" fontId="19" fillId="0" borderId="0" xfId="0" applyNumberFormat="1" applyFont="1"/>
    <xf numFmtId="0" fontId="14" fillId="0" borderId="0" xfId="0" applyFont="1" applyAlignment="1">
      <alignment horizontal="right" vertical="center"/>
    </xf>
    <xf numFmtId="0" fontId="14" fillId="0" borderId="12" xfId="0" applyFont="1" applyBorder="1" applyAlignment="1">
      <alignment horizontal="center" vertical="center"/>
    </xf>
    <xf numFmtId="1" fontId="14" fillId="0" borderId="12" xfId="0" applyNumberFormat="1" applyFont="1" applyBorder="1" applyAlignment="1">
      <alignment horizontal="center" vertical="center"/>
    </xf>
    <xf numFmtId="0" fontId="40" fillId="21" borderId="15" xfId="37" applyFont="1" applyFill="1" applyBorder="1" applyAlignment="1">
      <alignment horizontal="left" vertical="center" indent="1"/>
    </xf>
    <xf numFmtId="0" fontId="19" fillId="9" borderId="9" xfId="0" applyFont="1" applyFill="1" applyBorder="1" applyAlignment="1">
      <alignment horizontal="left" vertical="center"/>
    </xf>
    <xf numFmtId="0" fontId="19" fillId="9" borderId="13" xfId="0" applyFont="1" applyFill="1" applyBorder="1" applyAlignment="1">
      <alignment horizontal="left" vertical="center"/>
    </xf>
    <xf numFmtId="0" fontId="19" fillId="9" borderId="16" xfId="0" applyFont="1" applyFill="1" applyBorder="1" applyAlignment="1">
      <alignment horizontal="left" vertical="center"/>
    </xf>
    <xf numFmtId="0" fontId="19" fillId="9" borderId="17" xfId="0" applyFont="1" applyFill="1" applyBorder="1" applyAlignment="1">
      <alignment horizontal="left" vertical="center"/>
    </xf>
    <xf numFmtId="0" fontId="19" fillId="9" borderId="15" xfId="0" applyFont="1" applyFill="1" applyBorder="1" applyAlignment="1">
      <alignment horizontal="left" vertical="center"/>
    </xf>
    <xf numFmtId="0" fontId="19" fillId="9" borderId="15" xfId="0" applyFont="1" applyFill="1" applyBorder="1" applyAlignment="1">
      <alignment vertical="center"/>
    </xf>
    <xf numFmtId="0" fontId="19" fillId="9" borderId="16" xfId="0" applyFont="1" applyFill="1" applyBorder="1" applyAlignment="1">
      <alignment vertical="center"/>
    </xf>
    <xf numFmtId="0" fontId="19" fillId="9" borderId="17" xfId="0" applyFont="1" applyFill="1" applyBorder="1" applyAlignment="1">
      <alignment vertical="center"/>
    </xf>
    <xf numFmtId="164" fontId="45" fillId="16" borderId="12" xfId="0" applyNumberFormat="1" applyFont="1" applyFill="1" applyBorder="1" applyAlignment="1">
      <alignment horizontal="center" vertical="center" wrapText="1"/>
    </xf>
    <xf numFmtId="167" fontId="14" fillId="0" borderId="0" xfId="45" applyFont="1" applyProtection="1"/>
    <xf numFmtId="0" fontId="54" fillId="0" borderId="0" xfId="0" applyFont="1"/>
    <xf numFmtId="167" fontId="14" fillId="0" borderId="12" xfId="45" applyFont="1" applyBorder="1" applyAlignment="1" applyProtection="1">
      <alignment horizontal="center" vertical="center"/>
    </xf>
    <xf numFmtId="9" fontId="0" fillId="0" borderId="12" xfId="31" applyFont="1" applyBorder="1" applyAlignment="1" applyProtection="1">
      <alignment horizontal="center" vertical="center"/>
    </xf>
    <xf numFmtId="0" fontId="0" fillId="0" borderId="12" xfId="31" applyNumberFormat="1" applyFont="1" applyBorder="1" applyAlignment="1" applyProtection="1">
      <alignment horizontal="center" vertical="center"/>
    </xf>
    <xf numFmtId="164" fontId="14" fillId="24" borderId="12" xfId="0" applyNumberFormat="1" applyFont="1" applyFill="1" applyBorder="1" applyAlignment="1">
      <alignment horizontal="center" vertical="center"/>
    </xf>
    <xf numFmtId="164" fontId="43" fillId="16" borderId="12" xfId="0" applyNumberFormat="1" applyFont="1" applyFill="1" applyBorder="1" applyAlignment="1">
      <alignment horizontal="center" vertical="center"/>
    </xf>
    <xf numFmtId="164" fontId="14" fillId="0" borderId="12" xfId="0" applyNumberFormat="1" applyFont="1" applyBorder="1" applyAlignment="1">
      <alignment horizontal="center" vertical="center"/>
    </xf>
    <xf numFmtId="164" fontId="45" fillId="16" borderId="12" xfId="0" applyNumberFormat="1" applyFont="1" applyFill="1" applyBorder="1" applyAlignment="1">
      <alignment horizontal="center" vertical="center"/>
    </xf>
    <xf numFmtId="0" fontId="36" fillId="0" borderId="0" xfId="0" applyFont="1" applyAlignment="1">
      <alignment vertical="center"/>
    </xf>
    <xf numFmtId="0" fontId="68" fillId="0" borderId="0" xfId="37" applyFont="1" applyAlignment="1">
      <alignment vertical="center"/>
    </xf>
    <xf numFmtId="167" fontId="14" fillId="0" borderId="0" xfId="45" applyFont="1" applyAlignment="1" applyProtection="1">
      <alignment horizontal="center" vertical="center"/>
    </xf>
    <xf numFmtId="175" fontId="14" fillId="0" borderId="0" xfId="0" applyNumberFormat="1" applyFont="1" applyAlignment="1">
      <alignment horizontal="center" vertical="center"/>
    </xf>
    <xf numFmtId="175" fontId="14" fillId="0" borderId="0" xfId="0" applyNumberFormat="1" applyFont="1" applyAlignment="1">
      <alignment horizontal="center"/>
    </xf>
    <xf numFmtId="1" fontId="14" fillId="0" borderId="0" xfId="0" applyNumberFormat="1" applyFont="1" applyAlignment="1">
      <alignment horizontal="center"/>
    </xf>
    <xf numFmtId="167" fontId="14" fillId="0" borderId="0" xfId="45" applyFont="1" applyAlignment="1" applyProtection="1">
      <alignment horizontal="center"/>
    </xf>
    <xf numFmtId="169" fontId="14" fillId="0" borderId="0" xfId="0" applyNumberFormat="1" applyFont="1"/>
    <xf numFmtId="179" fontId="14" fillId="0" borderId="0" xfId="0" applyNumberFormat="1" applyFont="1"/>
    <xf numFmtId="2" fontId="14" fillId="0" borderId="0" xfId="0" applyNumberFormat="1" applyFont="1" applyAlignment="1">
      <alignment horizontal="center" vertical="center"/>
    </xf>
    <xf numFmtId="164" fontId="51" fillId="3" borderId="28" xfId="101" applyNumberFormat="1" applyAlignment="1" applyProtection="1">
      <alignment vertical="center"/>
    </xf>
    <xf numFmtId="164" fontId="45" fillId="16" borderId="0" xfId="0" applyNumberFormat="1" applyFont="1" applyFill="1" applyAlignment="1">
      <alignment vertical="center"/>
    </xf>
    <xf numFmtId="0" fontId="14" fillId="0" borderId="0" xfId="64" applyBorder="1">
      <protection hidden="1"/>
    </xf>
    <xf numFmtId="0" fontId="21" fillId="15" borderId="12" xfId="37" applyFont="1" applyFill="1" applyBorder="1" applyAlignment="1" applyProtection="1">
      <alignment horizontal="left" wrapText="1"/>
      <protection locked="0"/>
    </xf>
    <xf numFmtId="0" fontId="14" fillId="15" borderId="12" xfId="0" applyFont="1" applyFill="1" applyBorder="1" applyAlignment="1" applyProtection="1">
      <alignment horizontal="left" wrapText="1"/>
      <protection locked="0"/>
    </xf>
    <xf numFmtId="0" fontId="14" fillId="15" borderId="15" xfId="0" applyFont="1" applyFill="1" applyBorder="1" applyAlignment="1" applyProtection="1">
      <alignment horizontal="left" wrapText="1"/>
      <protection locked="0"/>
    </xf>
    <xf numFmtId="0" fontId="14" fillId="15" borderId="15" xfId="0" applyFont="1" applyFill="1" applyBorder="1" applyAlignment="1" applyProtection="1">
      <alignment horizontal="left" vertical="center" wrapText="1"/>
      <protection locked="0"/>
    </xf>
    <xf numFmtId="0" fontId="14" fillId="15" borderId="17" xfId="0" applyFont="1" applyFill="1" applyBorder="1" applyAlignment="1" applyProtection="1">
      <alignment vertical="center"/>
      <protection locked="0"/>
    </xf>
    <xf numFmtId="0" fontId="40" fillId="21" borderId="17" xfId="37" applyFont="1" applyFill="1" applyBorder="1" applyAlignment="1">
      <alignment horizontal="center"/>
    </xf>
    <xf numFmtId="0" fontId="40" fillId="21" borderId="5" xfId="37" applyFont="1" applyFill="1" applyBorder="1" applyAlignment="1">
      <alignment horizontal="center"/>
    </xf>
    <xf numFmtId="0" fontId="21" fillId="0" borderId="0" xfId="37" applyFont="1" applyAlignment="1">
      <alignment horizontal="left" vertical="center" indent="1"/>
    </xf>
    <xf numFmtId="164" fontId="41" fillId="16" borderId="7" xfId="0" applyNumberFormat="1" applyFont="1" applyFill="1" applyBorder="1" applyAlignment="1">
      <alignment horizontal="center" vertical="center"/>
    </xf>
    <xf numFmtId="0" fontId="19" fillId="0" borderId="0" xfId="0" applyFont="1" applyAlignment="1">
      <alignment vertical="top"/>
    </xf>
    <xf numFmtId="164" fontId="41" fillId="16" borderId="12" xfId="0" applyNumberFormat="1" applyFont="1" applyFill="1" applyBorder="1" applyAlignment="1">
      <alignment horizontal="center" vertical="center"/>
    </xf>
    <xf numFmtId="0" fontId="21" fillId="0" borderId="14" xfId="37" applyFont="1" applyBorder="1" applyAlignment="1">
      <alignment horizontal="left" vertical="center" wrapText="1"/>
    </xf>
    <xf numFmtId="0" fontId="21" fillId="0" borderId="14" xfId="37" applyFont="1" applyBorder="1" applyAlignment="1">
      <alignment horizontal="center"/>
    </xf>
    <xf numFmtId="0" fontId="21" fillId="0" borderId="14" xfId="37" applyFont="1" applyBorder="1"/>
    <xf numFmtId="0" fontId="21" fillId="0" borderId="8" xfId="37" applyFont="1" applyBorder="1"/>
    <xf numFmtId="0" fontId="40" fillId="21" borderId="0" xfId="37" applyFont="1" applyFill="1" applyAlignment="1">
      <alignment horizontal="left" vertical="center" indent="1"/>
    </xf>
    <xf numFmtId="0" fontId="21" fillId="21" borderId="0" xfId="37" applyFont="1" applyFill="1" applyAlignment="1">
      <alignment horizontal="left" vertical="center" indent="1"/>
    </xf>
    <xf numFmtId="2" fontId="21" fillId="0" borderId="0" xfId="37" applyNumberFormat="1" applyFont="1" applyAlignment="1">
      <alignment horizontal="center"/>
    </xf>
    <xf numFmtId="1" fontId="21" fillId="0" borderId="0" xfId="37" applyNumberFormat="1" applyFont="1" applyAlignment="1">
      <alignment vertical="center"/>
    </xf>
    <xf numFmtId="164" fontId="19" fillId="0" borderId="0" xfId="0" applyNumberFormat="1" applyFont="1" applyAlignment="1">
      <alignment vertical="center"/>
    </xf>
    <xf numFmtId="164" fontId="21" fillId="0" borderId="0" xfId="37" applyNumberFormat="1" applyFont="1" applyAlignment="1">
      <alignment horizontal="left" vertical="center" indent="1"/>
    </xf>
    <xf numFmtId="164" fontId="23" fillId="0" borderId="0" xfId="37" applyNumberFormat="1" applyFont="1" applyAlignment="1">
      <alignment horizontal="center" vertical="center"/>
    </xf>
    <xf numFmtId="170" fontId="23" fillId="0" borderId="0" xfId="37" applyNumberFormat="1" applyFont="1" applyAlignment="1">
      <alignment horizontal="center"/>
    </xf>
    <xf numFmtId="164" fontId="46" fillId="16" borderId="28" xfId="1" applyFont="1" applyFill="1" applyBorder="1" applyAlignment="1" applyProtection="1">
      <alignment horizontal="center" vertical="center"/>
    </xf>
    <xf numFmtId="170" fontId="14" fillId="0" borderId="0" xfId="1" applyNumberFormat="1" applyFont="1" applyAlignment="1" applyProtection="1">
      <alignment vertical="center"/>
    </xf>
    <xf numFmtId="175" fontId="23" fillId="0" borderId="0" xfId="37" applyNumberFormat="1" applyFont="1" applyAlignment="1">
      <alignment horizontal="center"/>
    </xf>
    <xf numFmtId="0" fontId="42" fillId="0" borderId="0" xfId="37" applyFont="1" applyAlignment="1">
      <alignment horizontal="center" vertical="center" wrapText="1"/>
    </xf>
    <xf numFmtId="0" fontId="53" fillId="0" borderId="0" xfId="37" applyFont="1" applyAlignment="1">
      <alignment horizontal="left" vertical="center" indent="1"/>
    </xf>
    <xf numFmtId="0" fontId="65" fillId="0" borderId="0" xfId="37" applyFont="1" applyAlignment="1">
      <alignment horizontal="center" vertical="center"/>
    </xf>
    <xf numFmtId="165" fontId="21" fillId="0" borderId="12" xfId="37" applyNumberFormat="1" applyFont="1" applyBorder="1" applyAlignment="1">
      <alignment horizontal="center" vertical="center"/>
    </xf>
    <xf numFmtId="164" fontId="21" fillId="0" borderId="0" xfId="37" applyNumberFormat="1" applyFont="1" applyAlignment="1">
      <alignment horizontal="left" vertical="center"/>
    </xf>
    <xf numFmtId="171" fontId="51" fillId="3" borderId="28" xfId="101" applyNumberFormat="1" applyAlignment="1" applyProtection="1">
      <alignment horizontal="center" vertical="center"/>
    </xf>
    <xf numFmtId="173" fontId="23" fillId="0" borderId="0" xfId="37" applyNumberFormat="1" applyFont="1" applyAlignment="1">
      <alignment horizontal="center"/>
    </xf>
    <xf numFmtId="0" fontId="23" fillId="15" borderId="12" xfId="37" applyFont="1" applyFill="1" applyBorder="1" applyAlignment="1" applyProtection="1">
      <alignment horizontal="center" vertical="center" wrapText="1"/>
      <protection locked="0"/>
    </xf>
    <xf numFmtId="165" fontId="21" fillId="15" borderId="12" xfId="1" applyNumberFormat="1" applyFont="1" applyFill="1" applyBorder="1" applyAlignment="1" applyProtection="1">
      <alignment horizontal="center" vertical="center"/>
      <protection locked="0"/>
    </xf>
    <xf numFmtId="2" fontId="21" fillId="15" borderId="17" xfId="45" applyNumberFormat="1" applyFont="1" applyFill="1" applyBorder="1" applyAlignment="1" applyProtection="1">
      <alignment horizontal="center" vertical="center"/>
      <protection locked="0"/>
    </xf>
    <xf numFmtId="164" fontId="41" fillId="16" borderId="10" xfId="0" applyNumberFormat="1" applyFont="1" applyFill="1" applyBorder="1" applyAlignment="1">
      <alignment horizontal="center" vertical="center"/>
    </xf>
    <xf numFmtId="0" fontId="21" fillId="0" borderId="9" xfId="37" applyFont="1" applyBorder="1" applyAlignment="1">
      <alignment horizontal="left" vertical="center"/>
    </xf>
    <xf numFmtId="0" fontId="21" fillId="0" borderId="13" xfId="37" applyFont="1" applyBorder="1" applyAlignment="1">
      <alignment horizontal="center"/>
    </xf>
    <xf numFmtId="164" fontId="41" fillId="16" borderId="15" xfId="0" applyNumberFormat="1" applyFont="1" applyFill="1" applyBorder="1" applyAlignment="1">
      <alignment horizontal="center" vertical="center"/>
    </xf>
    <xf numFmtId="0" fontId="21" fillId="0" borderId="11" xfId="37" applyFont="1" applyBorder="1" applyAlignment="1">
      <alignment horizontal="left" vertical="center"/>
    </xf>
    <xf numFmtId="0" fontId="68" fillId="0" borderId="0" xfId="37" applyFont="1" applyAlignment="1">
      <alignment horizontal="right"/>
    </xf>
    <xf numFmtId="0" fontId="14" fillId="0" borderId="8" xfId="37" applyBorder="1" applyAlignment="1">
      <alignment horizontal="center"/>
    </xf>
    <xf numFmtId="0" fontId="14" fillId="0" borderId="17" xfId="37" applyBorder="1" applyAlignment="1">
      <alignment horizontal="center"/>
    </xf>
    <xf numFmtId="0" fontId="14" fillId="0" borderId="0" xfId="37" applyAlignment="1">
      <alignment horizontal="center"/>
    </xf>
    <xf numFmtId="0" fontId="41" fillId="0" borderId="0" xfId="37" applyFont="1"/>
    <xf numFmtId="0" fontId="40" fillId="21" borderId="13" xfId="37" applyFont="1" applyFill="1" applyBorder="1" applyAlignment="1">
      <alignment horizontal="left" vertical="center" indent="1"/>
    </xf>
    <xf numFmtId="0" fontId="21" fillId="21" borderId="0" xfId="37" applyFont="1" applyFill="1"/>
    <xf numFmtId="0" fontId="41" fillId="0" borderId="0" xfId="37" applyFont="1" applyAlignment="1">
      <alignment vertical="center"/>
    </xf>
    <xf numFmtId="164" fontId="45" fillId="16" borderId="12" xfId="1" applyFont="1" applyFill="1" applyBorder="1" applyAlignment="1" applyProtection="1">
      <alignment vertical="center"/>
    </xf>
    <xf numFmtId="0" fontId="21" fillId="0" borderId="42" xfId="37" applyFont="1" applyBorder="1"/>
    <xf numFmtId="0" fontId="21" fillId="0" borderId="42" xfId="37" applyFont="1" applyBorder="1" applyAlignment="1">
      <alignment horizontal="center"/>
    </xf>
    <xf numFmtId="0" fontId="36" fillId="0" borderId="0" xfId="37" applyFont="1" applyAlignment="1">
      <alignment horizontal="center" vertical="center"/>
    </xf>
    <xf numFmtId="0" fontId="86" fillId="5" borderId="0" xfId="0" applyFont="1" applyFill="1" applyAlignment="1">
      <alignment vertical="center"/>
    </xf>
    <xf numFmtId="0" fontId="86" fillId="5" borderId="0" xfId="0" applyFont="1" applyFill="1" applyAlignment="1">
      <alignment horizontal="center" vertical="center"/>
    </xf>
    <xf numFmtId="0" fontId="23" fillId="19" borderId="16" xfId="37" applyFont="1" applyFill="1" applyBorder="1" applyAlignment="1">
      <alignment horizontal="left" vertical="center" indent="1"/>
    </xf>
    <xf numFmtId="0" fontId="23" fillId="19" borderId="17" xfId="37" applyFont="1" applyFill="1" applyBorder="1" applyAlignment="1">
      <alignment horizontal="left" vertical="center" indent="1"/>
    </xf>
    <xf numFmtId="0" fontId="63" fillId="0" borderId="4" xfId="37" applyFont="1" applyBorder="1" applyAlignment="1">
      <alignment horizontal="center" vertical="center" wrapText="1"/>
    </xf>
    <xf numFmtId="0" fontId="63" fillId="0" borderId="6" xfId="37" applyFont="1" applyBorder="1" applyAlignment="1">
      <alignment horizontal="center" vertical="center" wrapText="1"/>
    </xf>
    <xf numFmtId="0" fontId="63" fillId="0" borderId="10" xfId="37" applyFont="1" applyBorder="1" applyAlignment="1">
      <alignment horizontal="center" vertical="center" wrapText="1"/>
    </xf>
    <xf numFmtId="0" fontId="63" fillId="0" borderId="13" xfId="37" applyFont="1" applyBorder="1" applyAlignment="1">
      <alignment horizontal="center" vertical="center" wrapText="1"/>
    </xf>
    <xf numFmtId="0" fontId="63" fillId="0" borderId="30" xfId="37" applyFont="1" applyBorder="1" applyAlignment="1">
      <alignment horizontal="center" vertical="center" wrapText="1"/>
    </xf>
    <xf numFmtId="0" fontId="63" fillId="0" borderId="9" xfId="37" applyFont="1" applyBorder="1" applyAlignment="1">
      <alignment horizontal="center" vertical="center" wrapText="1"/>
    </xf>
    <xf numFmtId="0" fontId="63" fillId="0" borderId="0" xfId="37" applyFont="1" applyAlignment="1">
      <alignment horizontal="center" vertical="center" wrapText="1"/>
    </xf>
    <xf numFmtId="0" fontId="40" fillId="16" borderId="4" xfId="37" applyFont="1" applyFill="1" applyBorder="1" applyAlignment="1">
      <alignment horizontal="center" vertical="center" wrapText="1"/>
    </xf>
    <xf numFmtId="0" fontId="64" fillId="0" borderId="0" xfId="37" applyFont="1"/>
    <xf numFmtId="0" fontId="23" fillId="0" borderId="16" xfId="37" applyFont="1" applyBorder="1" applyAlignment="1">
      <alignment horizontal="left" vertical="center" wrapText="1"/>
    </xf>
    <xf numFmtId="167" fontId="23" fillId="0" borderId="16" xfId="45" applyFont="1" applyFill="1" applyBorder="1" applyAlignment="1" applyProtection="1">
      <alignment horizontal="left" vertical="center" wrapText="1"/>
    </xf>
    <xf numFmtId="2" fontId="23" fillId="0" borderId="16" xfId="37" applyNumberFormat="1" applyFont="1" applyBorder="1" applyAlignment="1">
      <alignment horizontal="left" vertical="center" wrapText="1"/>
    </xf>
    <xf numFmtId="0" fontId="14" fillId="0" borderId="7" xfId="0" applyFont="1" applyBorder="1" applyAlignment="1">
      <alignment horizontal="center" vertical="center"/>
    </xf>
    <xf numFmtId="2" fontId="21" fillId="0" borderId="7" xfId="37" applyNumberFormat="1" applyFont="1" applyBorder="1" applyAlignment="1">
      <alignment horizontal="center" vertical="center"/>
    </xf>
    <xf numFmtId="164" fontId="21" fillId="0" borderId="8" xfId="1" applyFont="1" applyFill="1" applyBorder="1" applyAlignment="1" applyProtection="1">
      <alignment horizontal="center" vertical="center"/>
    </xf>
    <xf numFmtId="164" fontId="21" fillId="0" borderId="7" xfId="37" applyNumberFormat="1" applyFont="1" applyBorder="1" applyAlignment="1">
      <alignment vertical="center"/>
    </xf>
    <xf numFmtId="164" fontId="21" fillId="0" borderId="17" xfId="1" applyFont="1" applyFill="1" applyBorder="1" applyAlignment="1" applyProtection="1">
      <alignment horizontal="center" vertical="center"/>
    </xf>
    <xf numFmtId="164" fontId="21" fillId="0" borderId="12" xfId="37" applyNumberFormat="1" applyFont="1" applyBorder="1" applyAlignment="1">
      <alignment vertical="center"/>
    </xf>
    <xf numFmtId="175" fontId="14" fillId="0" borderId="0" xfId="0" applyNumberFormat="1" applyFont="1" applyAlignment="1">
      <alignment vertical="center"/>
    </xf>
    <xf numFmtId="164" fontId="14" fillId="0" borderId="0" xfId="0" applyNumberFormat="1" applyFont="1" applyAlignment="1">
      <alignment vertical="center"/>
    </xf>
    <xf numFmtId="2" fontId="23" fillId="0" borderId="0" xfId="37" applyNumberFormat="1" applyFont="1" applyAlignment="1">
      <alignment horizontal="center" vertical="center"/>
    </xf>
    <xf numFmtId="172" fontId="23" fillId="0" borderId="0" xfId="37" applyNumberFormat="1" applyFont="1" applyAlignment="1">
      <alignment horizontal="center" vertical="center"/>
    </xf>
    <xf numFmtId="0" fontId="21" fillId="0" borderId="42" xfId="37" applyFont="1" applyBorder="1" applyAlignment="1">
      <alignment vertical="center"/>
    </xf>
    <xf numFmtId="0" fontId="86" fillId="5" borderId="0" xfId="0" applyFont="1" applyFill="1" applyAlignment="1">
      <alignment vertical="top"/>
    </xf>
    <xf numFmtId="0" fontId="86" fillId="5" borderId="0" xfId="0" applyFont="1" applyFill="1" applyAlignment="1">
      <alignment horizontal="center" vertical="top"/>
    </xf>
    <xf numFmtId="164" fontId="21" fillId="0" borderId="0" xfId="37" applyNumberFormat="1" applyFont="1"/>
    <xf numFmtId="164" fontId="21" fillId="0" borderId="12" xfId="1" applyFont="1" applyBorder="1" applyAlignment="1" applyProtection="1">
      <alignment horizontal="center" vertical="center"/>
    </xf>
    <xf numFmtId="164" fontId="23" fillId="19" borderId="16" xfId="37" applyNumberFormat="1" applyFont="1" applyFill="1" applyBorder="1" applyAlignment="1">
      <alignment horizontal="left" vertical="center" indent="1"/>
    </xf>
    <xf numFmtId="164" fontId="23" fillId="19" borderId="15" xfId="37" applyNumberFormat="1" applyFont="1" applyFill="1" applyBorder="1" applyAlignment="1">
      <alignment horizontal="left" vertical="center" indent="1"/>
    </xf>
    <xf numFmtId="0" fontId="63" fillId="0" borderId="7" xfId="37" applyFont="1" applyBorder="1" applyAlignment="1">
      <alignment horizontal="center" vertical="center" wrapText="1"/>
    </xf>
    <xf numFmtId="0" fontId="63" fillId="0" borderId="11" xfId="37" applyFont="1" applyBorder="1" applyAlignment="1">
      <alignment horizontal="center" vertical="center" wrapText="1"/>
    </xf>
    <xf numFmtId="0" fontId="63" fillId="0" borderId="16" xfId="37" applyFont="1" applyBorder="1" applyAlignment="1">
      <alignment horizontal="center" vertical="center" wrapText="1"/>
    </xf>
    <xf numFmtId="0" fontId="63" fillId="0" borderId="8" xfId="37" applyFont="1" applyBorder="1" applyAlignment="1">
      <alignment horizontal="center" vertical="center" wrapText="1"/>
    </xf>
    <xf numFmtId="164" fontId="63" fillId="0" borderId="7" xfId="37" applyNumberFormat="1" applyFont="1" applyBorder="1" applyAlignment="1">
      <alignment horizontal="center" vertical="center" wrapText="1"/>
    </xf>
    <xf numFmtId="0" fontId="63" fillId="7" borderId="12" xfId="37" applyFont="1" applyFill="1" applyBorder="1" applyAlignment="1">
      <alignment horizontal="center" vertical="center" wrapText="1"/>
    </xf>
    <xf numFmtId="167" fontId="23" fillId="0" borderId="0" xfId="45" applyFont="1" applyAlignment="1" applyProtection="1">
      <alignment horizontal="left" vertical="center"/>
    </xf>
    <xf numFmtId="0" fontId="23" fillId="0" borderId="0" xfId="37" applyFont="1" applyAlignment="1">
      <alignment horizontal="left" vertical="center" wrapText="1"/>
    </xf>
    <xf numFmtId="164" fontId="23" fillId="0" borderId="0" xfId="37" applyNumberFormat="1" applyFont="1" applyAlignment="1">
      <alignment horizontal="left" vertical="center"/>
    </xf>
    <xf numFmtId="167" fontId="21" fillId="0" borderId="42" xfId="45" applyFont="1" applyBorder="1" applyAlignment="1" applyProtection="1">
      <alignment horizontal="center"/>
    </xf>
    <xf numFmtId="0" fontId="14" fillId="0" borderId="42" xfId="0" applyFont="1" applyBorder="1"/>
    <xf numFmtId="167" fontId="21" fillId="0" borderId="42" xfId="45" applyFont="1" applyBorder="1" applyProtection="1"/>
    <xf numFmtId="0" fontId="41" fillId="0" borderId="42" xfId="37" applyFont="1" applyBorder="1"/>
    <xf numFmtId="164" fontId="21" fillId="0" borderId="42" xfId="37" applyNumberFormat="1" applyFont="1" applyBorder="1"/>
    <xf numFmtId="167" fontId="21" fillId="0" borderId="0" xfId="45" applyFont="1" applyProtection="1"/>
    <xf numFmtId="0" fontId="21" fillId="0" borderId="12" xfId="37" applyFont="1" applyBorder="1" applyAlignment="1">
      <alignment horizontal="center"/>
    </xf>
    <xf numFmtId="0" fontId="23" fillId="0" borderId="0" xfId="37" applyFont="1" applyAlignment="1">
      <alignment horizontal="left"/>
    </xf>
    <xf numFmtId="169" fontId="21" fillId="0" borderId="12" xfId="37" applyNumberFormat="1" applyFont="1" applyBorder="1"/>
    <xf numFmtId="170" fontId="42" fillId="0" borderId="0" xfId="1" applyNumberFormat="1" applyFont="1" applyProtection="1"/>
    <xf numFmtId="0" fontId="14" fillId="0" borderId="0" xfId="0" applyFont="1" applyAlignment="1">
      <alignment horizontal="left" wrapText="1"/>
    </xf>
    <xf numFmtId="0" fontId="21" fillId="0" borderId="0" xfId="37" applyFont="1" applyAlignment="1">
      <alignment horizontal="left" indent="1"/>
    </xf>
    <xf numFmtId="175" fontId="14" fillId="0" borderId="0" xfId="0" applyNumberFormat="1" applyFont="1"/>
    <xf numFmtId="169" fontId="21" fillId="0" borderId="0" xfId="37" applyNumberFormat="1" applyFont="1"/>
    <xf numFmtId="172" fontId="23" fillId="0" borderId="0" xfId="37" applyNumberFormat="1" applyFont="1" applyAlignment="1">
      <alignment horizontal="center"/>
    </xf>
    <xf numFmtId="1" fontId="23" fillId="0" borderId="0" xfId="37" applyNumberFormat="1" applyFont="1" applyAlignment="1">
      <alignment horizontal="center"/>
    </xf>
    <xf numFmtId="0" fontId="21" fillId="15" borderId="7" xfId="37" applyFont="1" applyFill="1" applyBorder="1" applyAlignment="1" applyProtection="1">
      <alignment vertical="center"/>
      <protection locked="0"/>
    </xf>
    <xf numFmtId="167" fontId="91" fillId="15" borderId="33" xfId="45" applyFont="1" applyFill="1" applyBorder="1" applyAlignment="1" applyProtection="1">
      <alignment horizontal="center" vertical="center"/>
      <protection locked="0"/>
    </xf>
    <xf numFmtId="1" fontId="91" fillId="15" borderId="33" xfId="101" applyNumberFormat="1" applyFont="1" applyFill="1" applyBorder="1" applyAlignment="1" applyProtection="1">
      <alignment horizontal="center" vertical="center"/>
      <protection locked="0"/>
    </xf>
    <xf numFmtId="167" fontId="91" fillId="15" borderId="28" xfId="45" applyFont="1" applyFill="1" applyBorder="1" applyAlignment="1" applyProtection="1">
      <alignment horizontal="center" vertical="center"/>
      <protection locked="0"/>
    </xf>
    <xf numFmtId="1" fontId="91" fillId="15" borderId="28" xfId="101" applyNumberFormat="1" applyFont="1" applyFill="1" applyAlignment="1" applyProtection="1">
      <alignment horizontal="center" vertical="center"/>
      <protection locked="0"/>
    </xf>
    <xf numFmtId="164" fontId="51" fillId="15" borderId="28" xfId="101" applyNumberFormat="1" applyFill="1" applyAlignment="1" applyProtection="1">
      <alignment horizontal="center" vertical="center"/>
      <protection locked="0"/>
    </xf>
    <xf numFmtId="164" fontId="21" fillId="15" borderId="12" xfId="1" applyFont="1" applyFill="1" applyBorder="1" applyAlignment="1" applyProtection="1">
      <alignment vertical="center"/>
      <protection locked="0"/>
    </xf>
    <xf numFmtId="0" fontId="63" fillId="15" borderId="7" xfId="37" applyFont="1" applyFill="1" applyBorder="1" applyAlignment="1" applyProtection="1">
      <alignment horizontal="center" vertical="center" wrapText="1"/>
      <protection locked="0"/>
    </xf>
    <xf numFmtId="0" fontId="21" fillId="15" borderId="12" xfId="37" applyFont="1" applyFill="1" applyBorder="1" applyProtection="1">
      <protection locked="0"/>
    </xf>
    <xf numFmtId="164" fontId="21" fillId="15" borderId="12" xfId="1" applyFont="1" applyFill="1" applyBorder="1" applyProtection="1">
      <protection locked="0"/>
    </xf>
    <xf numFmtId="0" fontId="21" fillId="15" borderId="0" xfId="37" applyFont="1" applyFill="1" applyAlignment="1" applyProtection="1">
      <alignment horizontal="left" vertical="center" wrapText="1"/>
      <protection locked="0"/>
    </xf>
    <xf numFmtId="0" fontId="19" fillId="0" borderId="15" xfId="37" applyFont="1" applyBorder="1" applyAlignment="1">
      <alignment horizontal="center" vertical="center" wrapText="1"/>
    </xf>
    <xf numFmtId="169" fontId="19" fillId="0" borderId="0" xfId="0" applyNumberFormat="1" applyFont="1" applyAlignment="1">
      <alignment vertical="center"/>
    </xf>
    <xf numFmtId="0" fontId="21" fillId="0" borderId="42" xfId="37" applyFont="1" applyBorder="1" applyAlignment="1">
      <alignment horizontal="right" vertical="center"/>
    </xf>
    <xf numFmtId="0" fontId="14" fillId="0" borderId="0" xfId="37"/>
    <xf numFmtId="0" fontId="43" fillId="0" borderId="0" xfId="37" applyFont="1"/>
    <xf numFmtId="0" fontId="63" fillId="0" borderId="14" xfId="37" applyFont="1" applyBorder="1" applyAlignment="1">
      <alignment horizontal="center" vertical="center" wrapText="1"/>
    </xf>
    <xf numFmtId="164" fontId="23" fillId="0" borderId="0" xfId="37" applyNumberFormat="1" applyFont="1" applyAlignment="1">
      <alignment horizontal="left" vertical="center" wrapText="1"/>
    </xf>
    <xf numFmtId="2" fontId="23" fillId="0" borderId="0" xfId="37" applyNumberFormat="1" applyFont="1" applyAlignment="1">
      <alignment horizontal="left" vertical="center" wrapText="1"/>
    </xf>
    <xf numFmtId="167" fontId="23" fillId="0" borderId="0" xfId="45" applyFont="1" applyAlignment="1" applyProtection="1">
      <alignment horizontal="center" vertical="center"/>
    </xf>
    <xf numFmtId="167" fontId="94" fillId="15" borderId="28" xfId="45" applyFont="1" applyFill="1" applyBorder="1" applyAlignment="1" applyProtection="1">
      <alignment horizontal="center" vertical="center"/>
      <protection locked="0"/>
    </xf>
    <xf numFmtId="164" fontId="41" fillId="16" borderId="11" xfId="1" applyFont="1" applyFill="1" applyBorder="1" applyAlignment="1" applyProtection="1">
      <alignment horizontal="center" vertical="center"/>
    </xf>
    <xf numFmtId="164" fontId="41" fillId="16" borderId="17" xfId="0" applyNumberFormat="1" applyFont="1" applyFill="1" applyBorder="1" applyAlignment="1">
      <alignment horizontal="center" vertical="center"/>
    </xf>
    <xf numFmtId="0" fontId="21" fillId="0" borderId="14" xfId="37" applyFont="1" applyBorder="1" applyAlignment="1">
      <alignment horizontal="left" vertical="center"/>
    </xf>
    <xf numFmtId="0" fontId="21" fillId="0" borderId="8" xfId="37" applyFont="1" applyBorder="1" applyAlignment="1">
      <alignment horizontal="center"/>
    </xf>
    <xf numFmtId="0" fontId="21" fillId="0" borderId="41" xfId="37" applyFont="1" applyBorder="1"/>
    <xf numFmtId="0" fontId="21" fillId="0" borderId="41" xfId="37" applyFont="1" applyBorder="1" applyAlignment="1">
      <alignment horizontal="center"/>
    </xf>
    <xf numFmtId="0" fontId="41" fillId="0" borderId="41" xfId="37" applyFont="1" applyBorder="1"/>
    <xf numFmtId="0" fontId="21" fillId="0" borderId="0" xfId="37" applyFont="1" applyAlignment="1">
      <alignment horizontal="right"/>
    </xf>
    <xf numFmtId="167" fontId="23" fillId="0" borderId="0" xfId="45" applyFont="1" applyAlignment="1" applyProtection="1">
      <alignment horizontal="left" vertical="center" wrapText="1"/>
    </xf>
    <xf numFmtId="0" fontId="14" fillId="0" borderId="17" xfId="0" applyFont="1" applyBorder="1" applyAlignment="1">
      <alignment horizontal="center" vertical="center"/>
    </xf>
    <xf numFmtId="2" fontId="14" fillId="0" borderId="12" xfId="37" applyNumberFormat="1" applyBorder="1" applyAlignment="1">
      <alignment horizontal="center" vertical="center"/>
    </xf>
    <xf numFmtId="164" fontId="14" fillId="0" borderId="17" xfId="1" applyFont="1" applyFill="1" applyBorder="1" applyAlignment="1" applyProtection="1">
      <alignment horizontal="center" vertical="center"/>
    </xf>
    <xf numFmtId="164" fontId="14" fillId="0" borderId="12" xfId="37" applyNumberFormat="1" applyBorder="1" applyAlignment="1">
      <alignment vertical="center"/>
    </xf>
    <xf numFmtId="164" fontId="36" fillId="0" borderId="0" xfId="1" applyFont="1" applyAlignment="1" applyProtection="1">
      <alignment vertical="center"/>
    </xf>
    <xf numFmtId="0" fontId="14" fillId="0" borderId="41" xfId="0" applyFont="1" applyBorder="1"/>
    <xf numFmtId="0" fontId="14" fillId="15" borderId="12" xfId="37" applyFill="1" applyBorder="1" applyAlignment="1" applyProtection="1">
      <alignment vertical="center"/>
      <protection locked="0"/>
    </xf>
    <xf numFmtId="0" fontId="14" fillId="15" borderId="17" xfId="37" applyFill="1" applyBorder="1" applyAlignment="1" applyProtection="1">
      <alignment vertical="center"/>
      <protection locked="0"/>
    </xf>
    <xf numFmtId="1" fontId="94" fillId="15" borderId="28" xfId="101" applyNumberFormat="1" applyFont="1" applyFill="1" applyAlignment="1" applyProtection="1">
      <alignment horizontal="center" vertical="center"/>
      <protection locked="0"/>
    </xf>
    <xf numFmtId="164" fontId="14" fillId="28" borderId="12" xfId="1" applyFont="1" applyFill="1" applyBorder="1" applyAlignment="1" applyProtection="1">
      <alignment vertical="center"/>
      <protection locked="0"/>
    </xf>
    <xf numFmtId="175" fontId="21" fillId="7" borderId="14" xfId="37" applyNumberFormat="1" applyFont="1" applyFill="1" applyBorder="1" applyAlignment="1">
      <alignment horizontal="right"/>
    </xf>
    <xf numFmtId="0" fontId="40" fillId="21" borderId="13" xfId="37" applyFont="1" applyFill="1" applyBorder="1" applyAlignment="1">
      <alignment horizontal="left" indent="1"/>
    </xf>
    <xf numFmtId="0" fontId="23" fillId="12" borderId="15" xfId="37" applyFont="1" applyFill="1" applyBorder="1" applyAlignment="1">
      <alignment horizontal="left" vertical="center" indent="1"/>
    </xf>
    <xf numFmtId="0" fontId="23" fillId="12" borderId="16" xfId="37" applyFont="1" applyFill="1" applyBorder="1" applyAlignment="1">
      <alignment horizontal="left" vertical="center" indent="1"/>
    </xf>
    <xf numFmtId="0" fontId="23" fillId="12" borderId="17" xfId="37" applyFont="1" applyFill="1" applyBorder="1" applyAlignment="1">
      <alignment horizontal="left" vertical="center" indent="1"/>
    </xf>
    <xf numFmtId="0" fontId="55" fillId="0" borderId="0" xfId="37" applyFont="1" applyAlignment="1">
      <alignment horizontal="left" vertical="center" indent="1"/>
    </xf>
    <xf numFmtId="0" fontId="23" fillId="0" borderId="0" xfId="37" applyFont="1" applyAlignment="1">
      <alignment horizontal="left" vertical="center" indent="1"/>
    </xf>
    <xf numFmtId="0" fontId="23" fillId="12" borderId="7" xfId="37" applyFont="1" applyFill="1" applyBorder="1" applyAlignment="1">
      <alignment horizontal="center" vertical="center" wrapText="1"/>
    </xf>
    <xf numFmtId="0" fontId="21" fillId="0" borderId="16" xfId="37" applyFont="1" applyBorder="1"/>
    <xf numFmtId="0" fontId="51" fillId="3" borderId="28" xfId="101" applyAlignment="1" applyProtection="1">
      <alignment vertical="center"/>
    </xf>
    <xf numFmtId="164" fontId="79" fillId="12" borderId="28" xfId="1" applyFont="1" applyFill="1" applyBorder="1" applyAlignment="1" applyProtection="1">
      <alignment horizontal="center" vertical="center"/>
    </xf>
    <xf numFmtId="164" fontId="31" fillId="12" borderId="28" xfId="1" applyFont="1" applyFill="1" applyBorder="1" applyAlignment="1" applyProtection="1">
      <alignment horizontal="center" vertical="center"/>
    </xf>
    <xf numFmtId="181" fontId="46" fillId="16" borderId="31" xfId="1" applyNumberFormat="1" applyFont="1" applyFill="1" applyBorder="1" applyAlignment="1" applyProtection="1">
      <alignment horizontal="center" vertical="center"/>
    </xf>
    <xf numFmtId="164" fontId="23" fillId="0" borderId="12" xfId="1" applyFont="1" applyFill="1" applyBorder="1" applyAlignment="1" applyProtection="1">
      <alignment horizontal="center" vertical="center"/>
    </xf>
    <xf numFmtId="176" fontId="14" fillId="0" borderId="0" xfId="0" applyNumberFormat="1" applyFont="1" applyAlignment="1">
      <alignment horizontal="center" vertical="center"/>
    </xf>
    <xf numFmtId="9" fontId="21" fillId="0" borderId="12" xfId="31" applyFont="1" applyBorder="1" applyAlignment="1" applyProtection="1">
      <alignment horizontal="center" vertical="center"/>
    </xf>
    <xf numFmtId="0" fontId="81" fillId="0" borderId="0" xfId="37" applyFont="1" applyAlignment="1">
      <alignment vertical="center"/>
    </xf>
    <xf numFmtId="176" fontId="23" fillId="0" borderId="0" xfId="37" applyNumberFormat="1" applyFont="1" applyAlignment="1">
      <alignment horizontal="center" vertical="center"/>
    </xf>
    <xf numFmtId="164" fontId="21" fillId="0" borderId="0" xfId="1" applyFont="1" applyProtection="1"/>
    <xf numFmtId="1" fontId="21" fillId="0" borderId="12" xfId="37" applyNumberFormat="1" applyFont="1" applyBorder="1" applyAlignment="1">
      <alignment horizontal="center" vertical="center"/>
    </xf>
    <xf numFmtId="0" fontId="23" fillId="12" borderId="13" xfId="37" applyFont="1" applyFill="1" applyBorder="1" applyAlignment="1">
      <alignment horizontal="left" vertical="center" indent="1"/>
    </xf>
    <xf numFmtId="170" fontId="40" fillId="16" borderId="28" xfId="1" applyNumberFormat="1" applyFont="1" applyFill="1" applyBorder="1" applyAlignment="1" applyProtection="1">
      <alignment horizontal="center" vertical="center" wrapText="1"/>
    </xf>
    <xf numFmtId="0" fontId="53" fillId="0" borderId="0" xfId="37" applyFont="1" applyAlignment="1">
      <alignment vertical="center"/>
    </xf>
    <xf numFmtId="164" fontId="21" fillId="7" borderId="12" xfId="37" applyNumberFormat="1" applyFont="1" applyFill="1" applyBorder="1" applyAlignment="1">
      <alignment horizontal="center" vertical="center"/>
    </xf>
    <xf numFmtId="170" fontId="42" fillId="0" borderId="0" xfId="1" applyNumberFormat="1" applyFont="1" applyAlignment="1" applyProtection="1">
      <alignment vertical="center"/>
    </xf>
    <xf numFmtId="170" fontId="23" fillId="0" borderId="0" xfId="37" applyNumberFormat="1" applyFont="1" applyAlignment="1">
      <alignment horizontal="left" vertical="center" indent="1"/>
    </xf>
    <xf numFmtId="170" fontId="23" fillId="0" borderId="0" xfId="37" applyNumberFormat="1" applyFont="1" applyAlignment="1">
      <alignment vertical="center"/>
    </xf>
    <xf numFmtId="2" fontId="53" fillId="0" borderId="0" xfId="37" applyNumberFormat="1" applyFont="1" applyAlignment="1">
      <alignment horizontal="center" vertical="center"/>
    </xf>
    <xf numFmtId="1" fontId="21" fillId="0" borderId="0" xfId="37" applyNumberFormat="1" applyFont="1" applyAlignment="1">
      <alignment horizontal="center"/>
    </xf>
    <xf numFmtId="170" fontId="21" fillId="0" borderId="0" xfId="1" applyNumberFormat="1" applyFont="1" applyAlignment="1" applyProtection="1">
      <alignment horizontal="center"/>
    </xf>
    <xf numFmtId="0" fontId="21" fillId="0" borderId="0" xfId="37" applyFont="1" applyAlignment="1">
      <alignment horizontal="right" vertical="center" wrapText="1"/>
    </xf>
    <xf numFmtId="0" fontId="23" fillId="12" borderId="24" xfId="37" applyFont="1" applyFill="1" applyBorder="1" applyAlignment="1">
      <alignment horizontal="left" vertical="center" indent="1"/>
    </xf>
    <xf numFmtId="0" fontId="21" fillId="12" borderId="16" xfId="37" applyFont="1" applyFill="1" applyBorder="1" applyAlignment="1">
      <alignment horizontal="left" vertical="center" indent="1"/>
    </xf>
    <xf numFmtId="2" fontId="21" fillId="0" borderId="0" xfId="37" applyNumberFormat="1" applyFont="1"/>
    <xf numFmtId="0" fontId="51" fillId="3" borderId="28" xfId="101" applyProtection="1"/>
    <xf numFmtId="0" fontId="21" fillId="15" borderId="16" xfId="37" applyFont="1" applyFill="1" applyBorder="1" applyAlignment="1" applyProtection="1">
      <alignment horizontal="center" vertical="center"/>
      <protection locked="0"/>
    </xf>
    <xf numFmtId="0" fontId="21" fillId="15" borderId="16" xfId="37" applyFont="1" applyFill="1" applyBorder="1" applyAlignment="1" applyProtection="1">
      <alignment vertical="center"/>
      <protection locked="0"/>
    </xf>
    <xf numFmtId="165" fontId="21" fillId="24" borderId="12" xfId="1" applyNumberFormat="1" applyFont="1" applyFill="1" applyBorder="1" applyAlignment="1" applyProtection="1">
      <alignment horizontal="center" vertical="center"/>
    </xf>
    <xf numFmtId="170" fontId="21" fillId="0" borderId="12" xfId="1" applyNumberFormat="1" applyFont="1" applyBorder="1" applyAlignment="1" applyProtection="1">
      <alignment horizontal="center" vertical="center"/>
    </xf>
    <xf numFmtId="164" fontId="34" fillId="0" borderId="0" xfId="37" applyNumberFormat="1" applyFont="1"/>
    <xf numFmtId="164" fontId="34" fillId="0" borderId="0" xfId="1" applyFont="1" applyProtection="1"/>
    <xf numFmtId="164" fontId="31" fillId="0" borderId="0" xfId="1" applyFont="1" applyAlignment="1" applyProtection="1">
      <alignment vertical="top"/>
    </xf>
    <xf numFmtId="164" fontId="87" fillId="3" borderId="28" xfId="1" applyFont="1" applyFill="1" applyBorder="1" applyAlignment="1" applyProtection="1">
      <alignment horizontal="center" vertical="center"/>
    </xf>
    <xf numFmtId="0" fontId="23" fillId="0" borderId="0" xfId="37" applyFont="1" applyAlignment="1">
      <alignment horizontal="right" vertical="center"/>
    </xf>
    <xf numFmtId="0" fontId="45" fillId="21" borderId="17" xfId="37" applyFont="1" applyFill="1" applyBorder="1" applyAlignment="1">
      <alignment horizontal="left" vertical="center" indent="1"/>
    </xf>
    <xf numFmtId="0" fontId="48" fillId="21" borderId="12" xfId="37" applyFont="1" applyFill="1" applyBorder="1" applyAlignment="1">
      <alignment horizontal="left" vertical="center" indent="1"/>
    </xf>
    <xf numFmtId="0" fontId="90" fillId="0" borderId="0" xfId="37" applyFont="1" applyAlignment="1">
      <alignment horizontal="center"/>
    </xf>
    <xf numFmtId="168" fontId="14" fillId="0" borderId="0" xfId="0" applyNumberFormat="1" applyFont="1" applyAlignment="1">
      <alignment vertical="center"/>
    </xf>
    <xf numFmtId="168" fontId="45" fillId="16" borderId="12" xfId="0" applyNumberFormat="1" applyFont="1" applyFill="1" applyBorder="1" applyAlignment="1">
      <alignment vertical="center"/>
    </xf>
    <xf numFmtId="168" fontId="21" fillId="0" borderId="0" xfId="37" applyNumberFormat="1" applyFont="1" applyAlignment="1">
      <alignment horizontal="center" vertical="center"/>
    </xf>
    <xf numFmtId="170" fontId="21" fillId="0" borderId="0" xfId="1" applyNumberFormat="1" applyFont="1" applyAlignment="1" applyProtection="1">
      <alignment horizontal="center" vertical="center"/>
    </xf>
    <xf numFmtId="0" fontId="40" fillId="21" borderId="17" xfId="37" applyFont="1" applyFill="1" applyBorder="1" applyAlignment="1">
      <alignment horizontal="left" indent="2"/>
    </xf>
    <xf numFmtId="0" fontId="23" fillId="19" borderId="16" xfId="37" applyFont="1" applyFill="1" applyBorder="1" applyAlignment="1">
      <alignment horizontal="center" vertical="center"/>
    </xf>
    <xf numFmtId="164" fontId="40" fillId="16" borderId="31" xfId="101" applyNumberFormat="1" applyFont="1" applyFill="1" applyBorder="1" applyAlignment="1" applyProtection="1">
      <alignment horizontal="center" vertical="center"/>
    </xf>
    <xf numFmtId="167" fontId="21" fillId="0" borderId="0" xfId="45" applyFont="1" applyAlignment="1" applyProtection="1">
      <alignment horizontal="left" vertical="center"/>
    </xf>
    <xf numFmtId="167" fontId="92" fillId="3" borderId="28" xfId="101" applyNumberFormat="1" applyFont="1" applyAlignment="1" applyProtection="1">
      <alignment horizontal="center" vertical="center"/>
    </xf>
    <xf numFmtId="0" fontId="92" fillId="3" borderId="28" xfId="101" applyFont="1" applyAlignment="1" applyProtection="1">
      <alignment horizontal="center" vertical="center"/>
    </xf>
    <xf numFmtId="167" fontId="92" fillId="3" borderId="28" xfId="45" applyFont="1" applyFill="1" applyBorder="1" applyAlignment="1" applyProtection="1">
      <alignment horizontal="center" vertical="center"/>
    </xf>
    <xf numFmtId="171" fontId="92" fillId="3" borderId="28" xfId="45" applyNumberFormat="1" applyFont="1" applyFill="1" applyBorder="1" applyAlignment="1" applyProtection="1">
      <alignment horizontal="center" vertical="center"/>
    </xf>
    <xf numFmtId="164" fontId="92" fillId="3" borderId="28" xfId="1" applyFont="1" applyFill="1" applyBorder="1" applyAlignment="1" applyProtection="1">
      <alignment horizontal="center" vertical="center"/>
    </xf>
    <xf numFmtId="2" fontId="21" fillId="0" borderId="0" xfId="37" applyNumberFormat="1" applyFont="1" applyAlignment="1">
      <alignment horizontal="right" vertical="center"/>
    </xf>
    <xf numFmtId="173" fontId="21" fillId="15" borderId="12" xfId="45" applyNumberFormat="1" applyFont="1" applyFill="1" applyBorder="1" applyAlignment="1" applyProtection="1">
      <alignment horizontal="center" vertical="center"/>
      <protection locked="0"/>
    </xf>
    <xf numFmtId="173" fontId="21" fillId="15" borderId="12" xfId="45" applyNumberFormat="1" applyFont="1" applyFill="1" applyBorder="1" applyAlignment="1" applyProtection="1">
      <alignment horizontal="left" vertical="center"/>
      <protection locked="0"/>
    </xf>
    <xf numFmtId="173" fontId="21" fillId="15" borderId="15" xfId="45" applyNumberFormat="1" applyFont="1" applyFill="1" applyBorder="1" applyAlignment="1" applyProtection="1">
      <alignment horizontal="left" vertical="center"/>
      <protection locked="0"/>
    </xf>
    <xf numFmtId="168" fontId="21" fillId="15" borderId="12" xfId="1" applyNumberFormat="1" applyFont="1" applyFill="1" applyBorder="1" applyAlignment="1" applyProtection="1">
      <alignment horizontal="center" vertical="center"/>
      <protection locked="0"/>
    </xf>
    <xf numFmtId="0" fontId="14" fillId="15" borderId="12" xfId="0" applyFont="1" applyFill="1" applyBorder="1" applyProtection="1">
      <protection locked="0"/>
    </xf>
    <xf numFmtId="168" fontId="21" fillId="28" borderId="12" xfId="1" applyNumberFormat="1" applyFont="1" applyFill="1" applyBorder="1" applyAlignment="1" applyProtection="1">
      <alignment vertical="center"/>
      <protection locked="0"/>
    </xf>
    <xf numFmtId="0" fontId="48" fillId="21" borderId="12" xfId="37" applyFont="1" applyFill="1" applyBorder="1" applyAlignment="1">
      <alignment horizontal="left" vertical="center"/>
    </xf>
    <xf numFmtId="166" fontId="21" fillId="0" borderId="12" xfId="1" applyNumberFormat="1" applyFont="1" applyBorder="1" applyAlignment="1" applyProtection="1">
      <alignment horizontal="center" vertical="center"/>
    </xf>
    <xf numFmtId="166" fontId="23" fillId="0" borderId="12" xfId="37" applyNumberFormat="1" applyFont="1" applyBorder="1" applyAlignment="1">
      <alignment horizontal="center" vertical="center" wrapText="1"/>
    </xf>
    <xf numFmtId="2" fontId="21" fillId="0" borderId="12" xfId="1" applyNumberFormat="1" applyFont="1" applyBorder="1" applyAlignment="1" applyProtection="1">
      <alignment horizontal="center" vertical="center"/>
    </xf>
    <xf numFmtId="166" fontId="21" fillId="0" borderId="0" xfId="37" applyNumberFormat="1" applyFont="1"/>
    <xf numFmtId="167" fontId="21" fillId="0" borderId="17" xfId="45" applyFont="1" applyBorder="1" applyAlignment="1" applyProtection="1">
      <alignment horizontal="center" vertical="center"/>
    </xf>
    <xf numFmtId="2" fontId="14" fillId="0" borderId="0" xfId="0" applyNumberFormat="1" applyFont="1" applyAlignment="1">
      <alignment vertical="center"/>
    </xf>
    <xf numFmtId="164" fontId="40" fillId="16" borderId="12" xfId="37" applyNumberFormat="1" applyFont="1" applyFill="1" applyBorder="1" applyAlignment="1">
      <alignment vertical="center"/>
    </xf>
    <xf numFmtId="0" fontId="14" fillId="21" borderId="16" xfId="0" applyFont="1" applyFill="1" applyBorder="1"/>
    <xf numFmtId="166" fontId="21" fillId="24" borderId="7" xfId="1" applyNumberFormat="1" applyFont="1" applyFill="1" applyBorder="1" applyAlignment="1" applyProtection="1">
      <alignment horizontal="center" vertical="center"/>
    </xf>
    <xf numFmtId="170" fontId="41" fillId="16" borderId="12" xfId="1" applyNumberFormat="1" applyFont="1" applyFill="1" applyBorder="1" applyAlignment="1" applyProtection="1">
      <alignment horizontal="center" vertical="center"/>
    </xf>
    <xf numFmtId="164" fontId="30" fillId="0" borderId="12" xfId="1" applyFont="1" applyFill="1" applyBorder="1" applyAlignment="1" applyProtection="1">
      <alignment horizontal="center" vertical="center"/>
    </xf>
    <xf numFmtId="0" fontId="23" fillId="21" borderId="0" xfId="37" applyFont="1" applyFill="1" applyAlignment="1">
      <alignment horizontal="left"/>
    </xf>
    <xf numFmtId="0" fontId="21" fillId="0" borderId="12" xfId="0" applyFont="1" applyBorder="1" applyAlignment="1">
      <alignment horizontal="center" wrapText="1"/>
    </xf>
    <xf numFmtId="0" fontId="60" fillId="0" borderId="29" xfId="0" applyFont="1" applyBorder="1" applyAlignment="1">
      <alignment horizontal="center" vertical="center"/>
    </xf>
    <xf numFmtId="2" fontId="21" fillId="0" borderId="15" xfId="37" applyNumberFormat="1" applyFont="1" applyBorder="1" applyAlignment="1">
      <alignment horizontal="left" vertical="center"/>
    </xf>
    <xf numFmtId="2" fontId="15" fillId="0" borderId="12" xfId="0" applyNumberFormat="1" applyFont="1" applyBorder="1" applyAlignment="1">
      <alignment horizontal="center" vertical="center" wrapText="1"/>
    </xf>
    <xf numFmtId="166" fontId="21" fillId="0" borderId="0" xfId="37" applyNumberFormat="1" applyFont="1" applyAlignment="1">
      <alignment horizontal="center"/>
    </xf>
    <xf numFmtId="166" fontId="41" fillId="16" borderId="12" xfId="1" applyNumberFormat="1" applyFont="1" applyFill="1" applyBorder="1" applyAlignment="1" applyProtection="1">
      <alignment horizontal="center" vertical="center"/>
    </xf>
    <xf numFmtId="0" fontId="15" fillId="0" borderId="15" xfId="37" applyFont="1" applyBorder="1" applyAlignment="1">
      <alignment horizontal="left" vertical="center"/>
    </xf>
    <xf numFmtId="164" fontId="55" fillId="0" borderId="0" xfId="37" applyNumberFormat="1" applyFont="1" applyAlignment="1">
      <alignment horizontal="right" vertical="center"/>
    </xf>
    <xf numFmtId="164" fontId="79" fillId="15" borderId="28" xfId="101" applyNumberFormat="1" applyFont="1" applyFill="1" applyAlignment="1" applyProtection="1">
      <alignment horizontal="center" vertical="center"/>
      <protection locked="0"/>
    </xf>
    <xf numFmtId="0" fontId="42" fillId="0" borderId="0" xfId="37" applyFont="1" applyAlignment="1">
      <alignment horizontal="center" wrapText="1"/>
    </xf>
    <xf numFmtId="0" fontId="24" fillId="0" borderId="0" xfId="10" applyFill="1" applyBorder="1" applyAlignment="1" applyProtection="1">
      <alignment horizontal="center" vertical="center"/>
    </xf>
    <xf numFmtId="0" fontId="23" fillId="21" borderId="0" xfId="37" applyFont="1" applyFill="1" applyAlignment="1">
      <alignment horizontal="left" vertical="center" indent="1"/>
    </xf>
    <xf numFmtId="0" fontId="21" fillId="0" borderId="12" xfId="37" applyFont="1" applyBorder="1" applyAlignment="1">
      <alignment horizontal="center" vertical="center" wrapText="1"/>
    </xf>
    <xf numFmtId="0" fontId="21" fillId="0" borderId="0" xfId="37" applyFont="1" applyAlignment="1">
      <alignment horizontal="right" indent="1"/>
    </xf>
    <xf numFmtId="164" fontId="23" fillId="7" borderId="12" xfId="37" applyNumberFormat="1" applyFont="1" applyFill="1" applyBorder="1" applyAlignment="1">
      <alignment vertical="center"/>
    </xf>
    <xf numFmtId="49" fontId="21" fillId="0" borderId="0" xfId="37" applyNumberFormat="1" applyFont="1" applyAlignment="1">
      <alignment horizontal="center" vertical="center"/>
    </xf>
    <xf numFmtId="164" fontId="42" fillId="0" borderId="0" xfId="37" applyNumberFormat="1" applyFont="1" applyAlignment="1">
      <alignment horizontal="left" vertical="center"/>
    </xf>
    <xf numFmtId="1" fontId="21" fillId="0" borderId="0" xfId="37" applyNumberFormat="1" applyFont="1"/>
    <xf numFmtId="175" fontId="51" fillId="3" borderId="28" xfId="101" applyNumberFormat="1" applyAlignment="1" applyProtection="1">
      <alignment horizontal="center" vertical="center"/>
    </xf>
    <xf numFmtId="170" fontId="21" fillId="0" borderId="0" xfId="1" applyNumberFormat="1" applyFont="1" applyFill="1" applyBorder="1" applyAlignment="1" applyProtection="1">
      <alignment horizontal="left" vertical="center"/>
    </xf>
    <xf numFmtId="0" fontId="23" fillId="0" borderId="4" xfId="37" applyFont="1" applyBorder="1" applyAlignment="1">
      <alignment horizontal="center" vertical="center" wrapText="1"/>
    </xf>
    <xf numFmtId="0" fontId="23" fillId="0" borderId="9" xfId="37" applyFont="1" applyBorder="1" applyAlignment="1">
      <alignment horizontal="left" vertical="center" indent="1"/>
    </xf>
    <xf numFmtId="0" fontId="21" fillId="0" borderId="5" xfId="37" applyFont="1" applyBorder="1" applyAlignment="1">
      <alignment horizontal="center"/>
    </xf>
    <xf numFmtId="0" fontId="23" fillId="0" borderId="9" xfId="37" applyFont="1" applyBorder="1" applyAlignment="1">
      <alignment horizontal="left" vertical="center" wrapText="1" indent="1"/>
    </xf>
    <xf numFmtId="2" fontId="21" fillId="0" borderId="12" xfId="37" applyNumberFormat="1" applyFont="1" applyBorder="1" applyAlignment="1">
      <alignment horizontal="left" vertical="center"/>
    </xf>
    <xf numFmtId="168" fontId="51" fillId="3" borderId="28" xfId="101" applyNumberFormat="1" applyAlignment="1" applyProtection="1">
      <alignment horizontal="center" vertical="center" wrapText="1"/>
    </xf>
    <xf numFmtId="171" fontId="21" fillId="0" borderId="12" xfId="45" applyNumberFormat="1" applyFont="1" applyFill="1" applyBorder="1" applyAlignment="1" applyProtection="1">
      <alignment horizontal="center" vertical="center"/>
    </xf>
    <xf numFmtId="171" fontId="79" fillId="3" borderId="28" xfId="45" applyNumberFormat="1" applyFont="1" applyFill="1" applyBorder="1" applyAlignment="1" applyProtection="1">
      <alignment horizontal="center" vertical="center"/>
    </xf>
    <xf numFmtId="49" fontId="21" fillId="15" borderId="12" xfId="37" applyNumberFormat="1" applyFont="1" applyFill="1" applyBorder="1" applyProtection="1">
      <protection locked="0"/>
    </xf>
    <xf numFmtId="164" fontId="79" fillId="15" borderId="33" xfId="101" applyNumberFormat="1" applyFont="1" applyFill="1" applyBorder="1" applyAlignment="1" applyProtection="1">
      <alignment horizontal="center" vertical="center"/>
      <protection locked="0"/>
    </xf>
    <xf numFmtId="170" fontId="79" fillId="15" borderId="32" xfId="101" applyNumberFormat="1" applyFont="1" applyFill="1" applyBorder="1" applyAlignment="1" applyProtection="1">
      <alignment horizontal="center" vertical="center"/>
      <protection locked="0"/>
    </xf>
    <xf numFmtId="0" fontId="45" fillId="21" borderId="16" xfId="37" applyFont="1" applyFill="1" applyBorder="1" applyAlignment="1">
      <alignment horizontal="left" vertical="center" indent="1"/>
    </xf>
    <xf numFmtId="0" fontId="48" fillId="21" borderId="16" xfId="37" applyFont="1" applyFill="1" applyBorder="1" applyAlignment="1">
      <alignment vertical="center"/>
    </xf>
    <xf numFmtId="0" fontId="40" fillId="21" borderId="27" xfId="37" applyFont="1" applyFill="1" applyBorder="1" applyAlignment="1">
      <alignment horizontal="left" vertical="center" indent="1"/>
    </xf>
    <xf numFmtId="0" fontId="40" fillId="21" borderId="27" xfId="37" applyFont="1" applyFill="1" applyBorder="1" applyAlignment="1">
      <alignment horizontal="left"/>
    </xf>
    <xf numFmtId="2" fontId="21" fillId="0" borderId="0" xfId="37" applyNumberFormat="1" applyFont="1" applyAlignment="1">
      <alignment horizontal="center" wrapText="1"/>
    </xf>
    <xf numFmtId="0" fontId="23" fillId="0" borderId="15" xfId="37" applyFont="1" applyBorder="1" applyAlignment="1">
      <alignment horizontal="left" vertical="center"/>
    </xf>
    <xf numFmtId="164" fontId="21" fillId="0" borderId="0" xfId="37" applyNumberFormat="1" applyFont="1" applyAlignment="1">
      <alignment horizontal="left"/>
    </xf>
    <xf numFmtId="164" fontId="21" fillId="0" borderId="0" xfId="1" applyFont="1" applyAlignment="1" applyProtection="1">
      <alignment horizontal="left"/>
    </xf>
    <xf numFmtId="169" fontId="21" fillId="0" borderId="0" xfId="37" applyNumberFormat="1" applyFont="1" applyAlignment="1">
      <alignment horizontal="center"/>
    </xf>
    <xf numFmtId="1" fontId="21" fillId="0" borderId="12" xfId="37" applyNumberFormat="1" applyFont="1" applyBorder="1" applyAlignment="1">
      <alignment horizontal="center" vertical="center" wrapText="1"/>
    </xf>
    <xf numFmtId="168" fontId="21" fillId="0" borderId="0" xfId="37" applyNumberFormat="1" applyFont="1"/>
    <xf numFmtId="0" fontId="19" fillId="0" borderId="0" xfId="0" applyFont="1" applyAlignment="1">
      <alignment horizontal="right" vertical="top"/>
    </xf>
    <xf numFmtId="0" fontId="23" fillId="0" borderId="0" xfId="0" applyFont="1" applyAlignment="1">
      <alignment horizontal="left" vertical="center" indent="1"/>
    </xf>
    <xf numFmtId="0" fontId="86" fillId="0" borderId="0" xfId="0" applyFont="1" applyAlignment="1">
      <alignment vertical="top"/>
    </xf>
    <xf numFmtId="0" fontId="88" fillId="5" borderId="0" xfId="11" applyFont="1" applyFill="1" applyAlignment="1">
      <alignment horizontal="center" vertical="center"/>
    </xf>
    <xf numFmtId="164" fontId="45" fillId="16" borderId="7" xfId="1" applyFont="1" applyFill="1" applyBorder="1" applyAlignment="1" applyProtection="1">
      <alignment horizontal="center" vertical="center" wrapText="1"/>
    </xf>
    <xf numFmtId="0" fontId="58" fillId="0" borderId="0" xfId="0" applyFont="1" applyAlignment="1">
      <alignment horizontal="center"/>
    </xf>
    <xf numFmtId="0" fontId="23" fillId="0" borderId="15" xfId="37" applyFont="1" applyBorder="1" applyAlignment="1">
      <alignment horizontal="center" vertical="center"/>
    </xf>
    <xf numFmtId="0" fontId="23" fillId="0" borderId="17" xfId="37" applyFont="1" applyBorder="1" applyAlignment="1">
      <alignment horizontal="center" vertical="center"/>
    </xf>
    <xf numFmtId="0" fontId="23" fillId="0" borderId="12" xfId="37" applyFont="1" applyBorder="1" applyAlignment="1">
      <alignment horizontal="center" vertical="center"/>
    </xf>
    <xf numFmtId="0" fontId="23" fillId="9" borderId="15" xfId="37" applyFont="1" applyFill="1" applyBorder="1" applyAlignment="1">
      <alignment horizontal="left" vertical="center"/>
    </xf>
    <xf numFmtId="0" fontId="23" fillId="9" borderId="17" xfId="37" applyFont="1" applyFill="1" applyBorder="1" applyAlignment="1">
      <alignment horizontal="left" vertical="center"/>
    </xf>
    <xf numFmtId="0" fontId="23" fillId="9" borderId="16" xfId="37" applyFont="1" applyFill="1" applyBorder="1" applyAlignment="1">
      <alignment horizontal="left" vertical="center" wrapText="1" indent="1"/>
    </xf>
    <xf numFmtId="0" fontId="23" fillId="9" borderId="17" xfId="37" applyFont="1" applyFill="1" applyBorder="1" applyAlignment="1">
      <alignment horizontal="left" vertical="center" indent="1"/>
    </xf>
    <xf numFmtId="0" fontId="15" fillId="0" borderId="17" xfId="0" applyFont="1" applyBorder="1" applyAlignment="1">
      <alignment horizontal="left" vertical="center"/>
    </xf>
    <xf numFmtId="2" fontId="15" fillId="0" borderId="12" xfId="0" applyNumberFormat="1" applyFont="1" applyBorder="1" applyAlignment="1">
      <alignment horizontal="left" vertical="center" wrapText="1"/>
    </xf>
    <xf numFmtId="0" fontId="15" fillId="0" borderId="15" xfId="0" applyFont="1" applyBorder="1" applyAlignment="1">
      <alignment horizontal="left" vertical="center" indent="1"/>
    </xf>
    <xf numFmtId="171" fontId="15" fillId="0" borderId="17" xfId="45" applyNumberFormat="1" applyFont="1" applyBorder="1" applyAlignment="1" applyProtection="1">
      <alignment horizontal="left" vertical="center" wrapText="1"/>
    </xf>
    <xf numFmtId="171" fontId="15" fillId="0" borderId="17" xfId="0" applyNumberFormat="1" applyFont="1" applyBorder="1" applyAlignment="1">
      <alignment horizontal="left" vertical="center" wrapText="1"/>
    </xf>
    <xf numFmtId="171" fontId="15" fillId="0" borderId="8" xfId="0" applyNumberFormat="1" applyFont="1" applyBorder="1" applyAlignment="1">
      <alignment horizontal="left" vertical="center" wrapText="1"/>
    </xf>
    <xf numFmtId="0" fontId="15" fillId="0" borderId="17" xfId="0" applyFont="1" applyBorder="1" applyAlignment="1">
      <alignment horizontal="left" vertical="center" indent="1"/>
    </xf>
    <xf numFmtId="175" fontId="15" fillId="0" borderId="17" xfId="0" applyNumberFormat="1" applyFont="1" applyBorder="1" applyAlignment="1">
      <alignment horizontal="left" vertical="center" wrapText="1"/>
    </xf>
    <xf numFmtId="0" fontId="15" fillId="0" borderId="5" xfId="0" applyFont="1" applyBorder="1" applyAlignment="1">
      <alignment horizontal="left" vertical="center"/>
    </xf>
    <xf numFmtId="1" fontId="15" fillId="0" borderId="12" xfId="0" applyNumberFormat="1" applyFont="1" applyBorder="1" applyAlignment="1">
      <alignment horizontal="left" vertical="center" wrapText="1"/>
    </xf>
    <xf numFmtId="0" fontId="15" fillId="0" borderId="11" xfId="0" applyFont="1" applyBorder="1" applyAlignment="1">
      <alignment horizontal="left" vertical="center" indent="1"/>
    </xf>
    <xf numFmtId="0" fontId="15" fillId="0" borderId="8" xfId="0" applyFont="1" applyBorder="1" applyAlignment="1">
      <alignment horizontal="left" vertical="center"/>
    </xf>
    <xf numFmtId="1" fontId="15" fillId="0" borderId="8" xfId="0" applyNumberFormat="1" applyFont="1" applyBorder="1" applyAlignment="1">
      <alignment horizontal="left" vertical="center" wrapText="1"/>
    </xf>
    <xf numFmtId="0" fontId="23" fillId="9" borderId="16" xfId="37" applyFont="1" applyFill="1" applyBorder="1" applyAlignment="1">
      <alignment horizontal="left" vertical="center" indent="1"/>
    </xf>
    <xf numFmtId="2" fontId="15" fillId="0" borderId="17" xfId="0" applyNumberFormat="1" applyFont="1" applyBorder="1" applyAlignment="1">
      <alignment horizontal="left" vertical="center"/>
    </xf>
    <xf numFmtId="0" fontId="23" fillId="0" borderId="16" xfId="37" applyFont="1" applyBorder="1" applyAlignment="1">
      <alignment horizontal="center" vertical="center"/>
    </xf>
    <xf numFmtId="2" fontId="15" fillId="5" borderId="12" xfId="0" applyNumberFormat="1" applyFont="1" applyFill="1" applyBorder="1" applyAlignment="1">
      <alignment horizontal="left" vertical="center" wrapText="1"/>
    </xf>
    <xf numFmtId="1" fontId="15" fillId="0" borderId="12" xfId="0" applyNumberFormat="1" applyFont="1" applyBorder="1" applyAlignment="1">
      <alignment horizontal="center" vertical="center" wrapText="1"/>
    </xf>
    <xf numFmtId="1" fontId="15" fillId="0" borderId="12" xfId="1" applyNumberFormat="1" applyFont="1" applyFill="1" applyBorder="1" applyAlignment="1" applyProtection="1">
      <alignment horizontal="center" vertical="center" wrapText="1"/>
    </xf>
    <xf numFmtId="175" fontId="15" fillId="0" borderId="12" xfId="0" applyNumberFormat="1" applyFont="1" applyBorder="1" applyAlignment="1">
      <alignment horizontal="center" vertical="center" wrapText="1"/>
    </xf>
    <xf numFmtId="2" fontId="15" fillId="5" borderId="0" xfId="0" applyNumberFormat="1" applyFont="1" applyFill="1" applyAlignment="1">
      <alignment horizontal="left" vertical="center" wrapText="1"/>
    </xf>
    <xf numFmtId="175" fontId="15" fillId="0" borderId="0" xfId="0" applyNumberFormat="1" applyFont="1" applyAlignment="1">
      <alignment horizontal="center" vertical="center" wrapText="1"/>
    </xf>
    <xf numFmtId="1" fontId="15" fillId="0" borderId="0" xfId="1" applyNumberFormat="1" applyFont="1" applyFill="1" applyBorder="1" applyAlignment="1" applyProtection="1">
      <alignment horizontal="center" vertical="center" wrapText="1"/>
    </xf>
    <xf numFmtId="0" fontId="60" fillId="0" borderId="29" xfId="0" applyFont="1" applyBorder="1"/>
    <xf numFmtId="0" fontId="78" fillId="0" borderId="0" xfId="37" applyFont="1" applyAlignment="1">
      <alignment horizontal="left"/>
    </xf>
    <xf numFmtId="0" fontId="48" fillId="21" borderId="15" xfId="37" applyFont="1" applyFill="1" applyBorder="1" applyAlignment="1">
      <alignment horizontal="left" vertical="center" indent="1"/>
    </xf>
    <xf numFmtId="0" fontId="19" fillId="0" borderId="12" xfId="37" applyFont="1" applyBorder="1" applyAlignment="1">
      <alignment horizontal="left" vertical="center" indent="1"/>
    </xf>
    <xf numFmtId="0" fontId="19" fillId="0" borderId="7" xfId="37" applyFont="1" applyBorder="1" applyAlignment="1">
      <alignment horizontal="left" vertical="center" indent="1"/>
    </xf>
    <xf numFmtId="0" fontId="19" fillId="0" borderId="12" xfId="0" applyFont="1" applyBorder="1" applyAlignment="1">
      <alignment horizontal="center" vertical="center" wrapText="1"/>
    </xf>
    <xf numFmtId="0" fontId="19" fillId="0" borderId="15" xfId="0" applyFont="1" applyBorder="1" applyAlignment="1">
      <alignment horizontal="left" vertical="center" indent="1"/>
    </xf>
    <xf numFmtId="0" fontId="72" fillId="0" borderId="12" xfId="0" applyFont="1" applyBorder="1" applyAlignment="1">
      <alignment horizontal="center" vertical="center" wrapText="1"/>
    </xf>
    <xf numFmtId="0" fontId="73" fillId="0" borderId="0" xfId="0" applyFont="1" applyAlignment="1">
      <alignment vertical="center"/>
    </xf>
    <xf numFmtId="0" fontId="14" fillId="0" borderId="12" xfId="0" applyFont="1" applyBorder="1" applyAlignment="1">
      <alignment horizontal="left" vertical="center" wrapText="1" indent="1"/>
    </xf>
    <xf numFmtId="0" fontId="19" fillId="0" borderId="0" xfId="0" applyFont="1" applyAlignment="1">
      <alignment horizontal="center" vertical="center" wrapText="1"/>
    </xf>
    <xf numFmtId="0" fontId="19" fillId="0" borderId="0" xfId="37" applyFont="1" applyAlignment="1">
      <alignment vertical="center"/>
    </xf>
    <xf numFmtId="0" fontId="19" fillId="0" borderId="12" xfId="0" applyFont="1" applyBorder="1" applyAlignment="1">
      <alignment horizontal="left" vertical="center" indent="1"/>
    </xf>
    <xf numFmtId="0" fontId="14" fillId="0" borderId="8" xfId="0" applyFont="1" applyBorder="1" applyAlignment="1">
      <alignment vertical="center"/>
    </xf>
    <xf numFmtId="0" fontId="14" fillId="0" borderId="14" xfId="0" applyFont="1" applyBorder="1" applyAlignment="1">
      <alignment vertical="center"/>
    </xf>
    <xf numFmtId="0" fontId="14" fillId="15" borderId="17" xfId="0" applyFont="1" applyFill="1" applyBorder="1" applyAlignment="1" applyProtection="1">
      <alignment vertical="center" wrapText="1"/>
      <protection locked="0"/>
    </xf>
    <xf numFmtId="0" fontId="60" fillId="0" borderId="40" xfId="0" applyFont="1" applyBorder="1" applyAlignment="1">
      <alignment horizontal="center"/>
    </xf>
    <xf numFmtId="0" fontId="37" fillId="0" borderId="0" xfId="0" applyFont="1"/>
    <xf numFmtId="2" fontId="14" fillId="0" borderId="0" xfId="0" applyNumberFormat="1" applyFont="1"/>
    <xf numFmtId="0" fontId="37" fillId="0" borderId="0" xfId="0" applyFont="1" applyAlignment="1">
      <alignment horizontal="center" vertical="center" wrapText="1"/>
    </xf>
    <xf numFmtId="0" fontId="15" fillId="0" borderId="0" xfId="0" applyFont="1" applyAlignment="1">
      <alignment horizontal="center" vertical="center" wrapText="1"/>
    </xf>
    <xf numFmtId="2" fontId="14" fillId="0" borderId="0" xfId="0" applyNumberFormat="1" applyFont="1" applyAlignment="1">
      <alignment horizontal="center"/>
    </xf>
    <xf numFmtId="0" fontId="15" fillId="0" borderId="0" xfId="0" applyFont="1" applyAlignment="1">
      <alignment horizontal="left" vertical="center"/>
    </xf>
    <xf numFmtId="166" fontId="15" fillId="0" borderId="0" xfId="1" applyNumberFormat="1" applyFont="1" applyFill="1" applyBorder="1" applyAlignment="1" applyProtection="1">
      <alignment horizontal="center" vertical="center"/>
    </xf>
    <xf numFmtId="0" fontId="14" fillId="0" borderId="0" xfId="32" applyAlignment="1">
      <alignment horizontal="left" vertical="center" wrapText="1"/>
    </xf>
    <xf numFmtId="170" fontId="15" fillId="0" borderId="0" xfId="1" applyNumberFormat="1" applyFont="1" applyBorder="1" applyProtection="1"/>
    <xf numFmtId="170" fontId="14" fillId="0" borderId="0" xfId="1" applyNumberFormat="1" applyFont="1" applyBorder="1" applyProtection="1"/>
    <xf numFmtId="2" fontId="15" fillId="0" borderId="0" xfId="0" applyNumberFormat="1" applyFont="1"/>
    <xf numFmtId="15" fontId="14" fillId="0" borderId="10" xfId="0" applyNumberFormat="1" applyFont="1" applyBorder="1" applyAlignment="1">
      <alignment horizontal="center"/>
    </xf>
  </cellXfs>
  <cellStyles count="103">
    <cellStyle name="20% - Accent1 2" xfId="14" xr:uid="{00000000-0005-0000-0000-000000000000}"/>
    <cellStyle name="20% - Accent1 2 2" xfId="69" xr:uid="{00000000-0005-0000-0000-000001000000}"/>
    <cellStyle name="Comma" xfId="45" builtinId="3"/>
    <cellStyle name="Comma 2" xfId="15" xr:uid="{00000000-0005-0000-0000-000005000000}"/>
    <cellStyle name="Comma 2 2" xfId="27" xr:uid="{00000000-0005-0000-0000-000006000000}"/>
    <cellStyle name="Comma 2 2 2" xfId="60" xr:uid="{00000000-0005-0000-0000-000007000000}"/>
    <cellStyle name="Comma 2 2 2 2" xfId="98" xr:uid="{00000000-0005-0000-0000-000008000000}"/>
    <cellStyle name="Comma 2 2 3" xfId="77" xr:uid="{00000000-0005-0000-0000-000009000000}"/>
    <cellStyle name="Comma 2 3" xfId="70" xr:uid="{00000000-0005-0000-0000-00000A000000}"/>
    <cellStyle name="Comma 3" xfId="28" xr:uid="{00000000-0005-0000-0000-00000B000000}"/>
    <cellStyle name="Comma 3 2" xfId="78" xr:uid="{00000000-0005-0000-0000-00000C000000}"/>
    <cellStyle name="Comma 4" xfId="40" xr:uid="{00000000-0005-0000-0000-00000D000000}"/>
    <cellStyle name="Comma 4 2" xfId="84" xr:uid="{00000000-0005-0000-0000-00000E000000}"/>
    <cellStyle name="Comma 5" xfId="88" xr:uid="{00000000-0005-0000-0000-00000F000000}"/>
    <cellStyle name="Currency" xfId="1" builtinId="4"/>
    <cellStyle name="Currency 2" xfId="12" xr:uid="{00000000-0005-0000-0000-000011000000}"/>
    <cellStyle name="Currency 2 2" xfId="5" xr:uid="{00000000-0005-0000-0000-000012000000}"/>
    <cellStyle name="Currency 2 2 2" xfId="33" xr:uid="{00000000-0005-0000-0000-000013000000}"/>
    <cellStyle name="Currency 2 2 2 2" xfId="80" xr:uid="{00000000-0005-0000-0000-000014000000}"/>
    <cellStyle name="Currency 2 2 3" xfId="49" xr:uid="{00000000-0005-0000-0000-000015000000}"/>
    <cellStyle name="Currency 2 2 3 2" xfId="91" xr:uid="{00000000-0005-0000-0000-000016000000}"/>
    <cellStyle name="Currency 2 3" xfId="25" xr:uid="{00000000-0005-0000-0000-000017000000}"/>
    <cellStyle name="Currency 2 3 2" xfId="58" xr:uid="{00000000-0005-0000-0000-000018000000}"/>
    <cellStyle name="Currency 2 3 2 2" xfId="96" xr:uid="{00000000-0005-0000-0000-000019000000}"/>
    <cellStyle name="Currency 2 3 3" xfId="75" xr:uid="{00000000-0005-0000-0000-00001A000000}"/>
    <cellStyle name="Currency 2 4" xfId="48" xr:uid="{00000000-0005-0000-0000-00001B000000}"/>
    <cellStyle name="Currency 2 4 2" xfId="90" xr:uid="{00000000-0005-0000-0000-00001C000000}"/>
    <cellStyle name="Currency 2 5" xfId="67" xr:uid="{00000000-0005-0000-0000-00001D000000}"/>
    <cellStyle name="Currency 3" xfId="4" xr:uid="{00000000-0005-0000-0000-00001E000000}"/>
    <cellStyle name="Currency 3 2" xfId="35" xr:uid="{00000000-0005-0000-0000-00001F000000}"/>
    <cellStyle name="Currency 3 2 2" xfId="81" xr:uid="{00000000-0005-0000-0000-000020000000}"/>
    <cellStyle name="Currency 3 3" xfId="50" xr:uid="{00000000-0005-0000-0000-000021000000}"/>
    <cellStyle name="Currency 3 3 2" xfId="92" xr:uid="{00000000-0005-0000-0000-000022000000}"/>
    <cellStyle name="Currency 4" xfId="21" xr:uid="{00000000-0005-0000-0000-000023000000}"/>
    <cellStyle name="Currency 4 2" xfId="51" xr:uid="{00000000-0005-0000-0000-000024000000}"/>
    <cellStyle name="Currency 4 2 2" xfId="93" xr:uid="{00000000-0005-0000-0000-000025000000}"/>
    <cellStyle name="Currency 4 3" xfId="59" xr:uid="{00000000-0005-0000-0000-000026000000}"/>
    <cellStyle name="Currency 4 3 2" xfId="97" xr:uid="{00000000-0005-0000-0000-000027000000}"/>
    <cellStyle name="Currency 4 4" xfId="74" xr:uid="{00000000-0005-0000-0000-000028000000}"/>
    <cellStyle name="Currency 5" xfId="43" xr:uid="{00000000-0005-0000-0000-000029000000}"/>
    <cellStyle name="Currency 5 2" xfId="86" xr:uid="{00000000-0005-0000-0000-00002A000000}"/>
    <cellStyle name="Currency_COLLATED TOOL_V3" xfId="9" xr:uid="{00000000-0005-0000-0000-00002B000000}"/>
    <cellStyle name="Explanatory Text" xfId="102" builtinId="53"/>
    <cellStyle name="Heading 2" xfId="2" builtinId="17"/>
    <cellStyle name="Hyperlink" xfId="10" builtinId="8"/>
    <cellStyle name="Hyperlink 2" xfId="23" xr:uid="{00000000-0005-0000-0000-000030000000}"/>
    <cellStyle name="Hyperlink 2 2" xfId="53" xr:uid="{00000000-0005-0000-0000-000031000000}"/>
    <cellStyle name="Hyperlink 2 3" xfId="52" xr:uid="{00000000-0005-0000-0000-000032000000}"/>
    <cellStyle name="Input" xfId="3" builtinId="20"/>
    <cellStyle name="Normal" xfId="0" builtinId="0"/>
    <cellStyle name="Normal 2" xfId="11" xr:uid="{00000000-0005-0000-0000-000036000000}"/>
    <cellStyle name="Normal 2 2" xfId="30" xr:uid="{00000000-0005-0000-0000-000037000000}"/>
    <cellStyle name="Normal 2 2 2" xfId="55" xr:uid="{00000000-0005-0000-0000-000038000000}"/>
    <cellStyle name="Normal 2 2 2 2" xfId="94" xr:uid="{00000000-0005-0000-0000-000039000000}"/>
    <cellStyle name="Normal 2 3" xfId="38" xr:uid="{00000000-0005-0000-0000-00003A000000}"/>
    <cellStyle name="Normal 2 3 2" xfId="83" xr:uid="{00000000-0005-0000-0000-00003B000000}"/>
    <cellStyle name="Normal 2 4" xfId="7" xr:uid="{00000000-0005-0000-0000-00003C000000}"/>
    <cellStyle name="Normal 2 4 2" xfId="37" xr:uid="{00000000-0005-0000-0000-00003D000000}"/>
    <cellStyle name="Normal 2 5" xfId="46" xr:uid="{00000000-0005-0000-0000-00003E000000}"/>
    <cellStyle name="Normal 2 5 2" xfId="89" xr:uid="{00000000-0005-0000-0000-00003F000000}"/>
    <cellStyle name="Normal 2 6" xfId="8" xr:uid="{00000000-0005-0000-0000-000040000000}"/>
    <cellStyle name="Normal 2 6 2" xfId="65" xr:uid="{00000000-0005-0000-0000-000041000000}"/>
    <cellStyle name="Normal 2 7" xfId="57" xr:uid="{00000000-0005-0000-0000-000042000000}"/>
    <cellStyle name="Normal 2 7 2" xfId="95" xr:uid="{00000000-0005-0000-0000-000043000000}"/>
    <cellStyle name="Normal 2 8" xfId="62" xr:uid="{00000000-0005-0000-0000-000044000000}"/>
    <cellStyle name="Normal 2 8 2" xfId="99" xr:uid="{00000000-0005-0000-0000-000045000000}"/>
    <cellStyle name="Normal 2 9" xfId="66" xr:uid="{00000000-0005-0000-0000-000046000000}"/>
    <cellStyle name="Normal 3" xfId="6" xr:uid="{00000000-0005-0000-0000-000047000000}"/>
    <cellStyle name="Normal 3 2" xfId="24" xr:uid="{00000000-0005-0000-0000-000048000000}"/>
    <cellStyle name="Normal 3 2 2" xfId="61" xr:uid="{00000000-0005-0000-0000-000049000000}"/>
    <cellStyle name="Normal 3 3" xfId="34" xr:uid="{00000000-0005-0000-0000-00004A000000}"/>
    <cellStyle name="Normal 4" xfId="22" xr:uid="{00000000-0005-0000-0000-00004B000000}"/>
    <cellStyle name="Normal 4 2" xfId="54" xr:uid="{00000000-0005-0000-0000-00004C000000}"/>
    <cellStyle name="Normal 4 3" xfId="56" xr:uid="{00000000-0005-0000-0000-00004D000000}"/>
    <cellStyle name="Normal 5" xfId="32" xr:uid="{00000000-0005-0000-0000-00004E000000}"/>
    <cellStyle name="Normal 6" xfId="36" xr:uid="{00000000-0005-0000-0000-00004F000000}"/>
    <cellStyle name="Normal 6 2" xfId="29" xr:uid="{00000000-0005-0000-0000-000050000000}"/>
    <cellStyle name="Normal 6 2 2" xfId="79" xr:uid="{00000000-0005-0000-0000-000051000000}"/>
    <cellStyle name="Normal 6 3" xfId="82" xr:uid="{00000000-0005-0000-0000-000052000000}"/>
    <cellStyle name="Normal 7" xfId="42" xr:uid="{00000000-0005-0000-0000-000053000000}"/>
    <cellStyle name="Normal 7 2" xfId="85" xr:uid="{00000000-0005-0000-0000-000054000000}"/>
    <cellStyle name="Normal 8" xfId="47" xr:uid="{00000000-0005-0000-0000-000055000000}"/>
    <cellStyle name="Normal 9" xfId="26" xr:uid="{00000000-0005-0000-0000-000056000000}"/>
    <cellStyle name="Normal 9 2" xfId="76" xr:uid="{00000000-0005-0000-0000-000057000000}"/>
    <cellStyle name="NormalBB" xfId="64" xr:uid="{00000000-0005-0000-0000-00005A000000}"/>
    <cellStyle name="NormalBorderedCentered" xfId="17" xr:uid="{00000000-0005-0000-0000-00005B000000}"/>
    <cellStyle name="NormalBorderedCentered 2" xfId="41" xr:uid="{00000000-0005-0000-0000-00005C000000}"/>
    <cellStyle name="NormalBorderedCenteredCommaRB" xfId="20" xr:uid="{00000000-0005-0000-0000-00005D000000}"/>
    <cellStyle name="NormalBorderedCenteredCommaRB 2" xfId="73" xr:uid="{00000000-0005-0000-0000-00005E000000}"/>
    <cellStyle name="NormalBorderedCenteredRB" xfId="18" xr:uid="{00000000-0005-0000-0000-00005F000000}"/>
    <cellStyle name="NormalBorderedCenteredRB 2" xfId="71" xr:uid="{00000000-0005-0000-0000-000060000000}"/>
    <cellStyle name="NormalLB" xfId="19" xr:uid="{00000000-0005-0000-0000-000061000000}"/>
    <cellStyle name="NormalLB 2" xfId="72" xr:uid="{00000000-0005-0000-0000-000062000000}"/>
    <cellStyle name="Output" xfId="101" builtinId="21"/>
    <cellStyle name="Percent" xfId="31" builtinId="5"/>
    <cellStyle name="Percent 2" xfId="13" xr:uid="{00000000-0005-0000-0000-000064000000}"/>
    <cellStyle name="Percent 2 2" xfId="63" xr:uid="{00000000-0005-0000-0000-000065000000}"/>
    <cellStyle name="Percent 2 2 2" xfId="100" xr:uid="{00000000-0005-0000-0000-000066000000}"/>
    <cellStyle name="Percent 2 3" xfId="68" xr:uid="{00000000-0005-0000-0000-000067000000}"/>
    <cellStyle name="Percent 3" xfId="39" xr:uid="{00000000-0005-0000-0000-000068000000}"/>
    <cellStyle name="Percent 4" xfId="44" xr:uid="{00000000-0005-0000-0000-000069000000}"/>
    <cellStyle name="Percent 4 2" xfId="87" xr:uid="{00000000-0005-0000-0000-00006A000000}"/>
    <cellStyle name="TableSubTitleTB" xfId="16" xr:uid="{00000000-0005-0000-0000-00006B000000}"/>
  </cellStyles>
  <dxfs count="4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ill>
        <patternFill>
          <bgColor indexed="42"/>
        </patternFill>
      </fill>
    </dxf>
    <dxf>
      <fill>
        <patternFill>
          <bgColor indexe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theme="9" tint="-0.24994659260841701"/>
      </font>
    </dxf>
    <dxf>
      <font>
        <color rgb="FF9C0006"/>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theme="9" tint="-0.24994659260841701"/>
      </font>
    </dxf>
    <dxf>
      <font>
        <color rgb="FF9C0006"/>
      </font>
    </dxf>
    <dxf>
      <font>
        <color theme="9" tint="-0.24994659260841701"/>
      </font>
    </dxf>
    <dxf>
      <font>
        <color rgb="FF9C0006"/>
      </font>
      <fill>
        <patternFill>
          <bgColor rgb="FFFFC7CE"/>
        </patternFill>
      </fill>
    </dxf>
    <dxf>
      <font>
        <color rgb="FFFF0000"/>
      </font>
    </dxf>
    <dxf>
      <font>
        <color theme="9" tint="-0.24994659260841701"/>
      </font>
    </dxf>
    <dxf>
      <font>
        <color rgb="FF9C0006"/>
      </font>
      <fill>
        <patternFill>
          <bgColor rgb="FFFFC7CE"/>
        </patternFill>
      </fill>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rgb="FFFF0000"/>
      </font>
    </dxf>
    <dxf>
      <font>
        <color theme="9" tint="-0.24994659260841701"/>
      </font>
    </dxf>
    <dxf>
      <font>
        <color theme="9" tint="-0.24994659260841701"/>
      </font>
    </dxf>
    <dxf>
      <font>
        <color rgb="FFFF0000"/>
      </font>
    </dxf>
    <dxf>
      <font>
        <color theme="9" tint="-0.24994659260841701"/>
      </font>
    </dxf>
    <dxf>
      <font>
        <color rgb="FFFF0000"/>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FF0000"/>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FF0000"/>
      </font>
      <fill>
        <patternFill patternType="none">
          <bgColor auto="1"/>
        </patternFill>
      </fill>
    </dxf>
    <dxf>
      <font>
        <color rgb="FF9C0006"/>
      </font>
      <fill>
        <patternFill>
          <bgColor rgb="FFFFC7CE"/>
        </patternFill>
      </fill>
    </dxf>
    <dxf>
      <font>
        <color rgb="FF9C0006"/>
      </font>
    </dxf>
    <dxf>
      <font>
        <color theme="9" tint="-0.24994659260841701"/>
      </font>
    </dxf>
    <dxf>
      <font>
        <color rgb="FFFF0000"/>
      </font>
    </dxf>
    <dxf>
      <font>
        <color theme="9" tint="-0.24994659260841701"/>
      </font>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theme="9" tint="-0.24994659260841701"/>
      </font>
    </dxf>
    <dxf>
      <font>
        <color rgb="FF9C0006"/>
      </font>
    </dxf>
    <dxf>
      <font>
        <color rgb="FF9C0006"/>
      </font>
      <fill>
        <patternFill>
          <bgColor rgb="FFFFC7CE"/>
        </patternFill>
      </fill>
    </dxf>
    <dxf>
      <font>
        <color rgb="FFFF0000"/>
      </font>
    </dxf>
    <dxf>
      <font>
        <color theme="9" tint="-0.24994659260841701"/>
      </font>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theme="9" tint="-0.24994659260841701"/>
      </font>
    </dxf>
    <dxf>
      <font>
        <color rgb="FF9C0006"/>
      </font>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theme="9" tint="-0.24994659260841701"/>
      </font>
    </dxf>
    <dxf>
      <font>
        <color rgb="FFFF0000"/>
      </font>
    </dxf>
    <dxf>
      <font>
        <color theme="9" tint="-0.24994659260841701"/>
      </font>
    </dxf>
    <dxf>
      <font>
        <color rgb="FF9C0006"/>
      </font>
    </dxf>
    <dxf>
      <font>
        <color rgb="FF9C0006"/>
      </font>
    </dxf>
    <dxf>
      <font>
        <color theme="9" tint="-0.24994659260841701"/>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theme="9" tint="-0.24994659260841701"/>
      </font>
    </dxf>
    <dxf>
      <font>
        <color rgb="FF9C0006"/>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theme="9" tint="-0.24994659260841701"/>
      </font>
    </dxf>
    <dxf>
      <font>
        <color rgb="FF9C0006"/>
      </font>
    </dxf>
    <dxf>
      <font>
        <color rgb="FF9C0006"/>
      </font>
    </dxf>
    <dxf>
      <font>
        <color theme="9" tint="-0.24994659260841701"/>
      </font>
    </dxf>
    <dxf>
      <font>
        <color theme="9" tint="-0.24994659260841701"/>
      </font>
    </dxf>
    <dxf>
      <font>
        <color rgb="FF9C0006"/>
      </font>
    </dxf>
    <dxf>
      <font>
        <color rgb="FF9C0006"/>
      </font>
    </dxf>
    <dxf>
      <font>
        <color theme="9" tint="-0.24994659260841701"/>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theme="9" tint="-0.24994659260841701"/>
      </font>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FF0000"/>
      </font>
    </dxf>
    <dxf>
      <font>
        <color theme="9" tint="-0.24994659260841701"/>
      </font>
    </dxf>
    <dxf>
      <font>
        <color rgb="FF9C0006"/>
      </font>
      <fill>
        <patternFill>
          <bgColor rgb="FFFFC7CE"/>
        </patternFill>
      </fill>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dxf>
    <dxf>
      <font>
        <color theme="9" tint="-0.24994659260841701"/>
      </font>
    </dxf>
    <dxf>
      <font>
        <color rgb="FF9C0006"/>
      </font>
    </dxf>
    <dxf>
      <font>
        <color theme="9" tint="-0.24994659260841701"/>
      </font>
    </dxf>
    <dxf>
      <font>
        <color theme="9" tint="-0.24994659260841701"/>
      </font>
    </dxf>
    <dxf>
      <font>
        <color rgb="FF9C0006"/>
      </font>
    </dxf>
    <dxf>
      <font>
        <color theme="9" tint="-0.24994659260841701"/>
      </font>
    </dxf>
    <dxf>
      <font>
        <color rgb="FFFF0000"/>
      </font>
    </dxf>
    <dxf>
      <font>
        <color theme="9" tint="-0.24994659260841701"/>
      </font>
    </dxf>
    <dxf>
      <font>
        <color rgb="FF9C0006"/>
      </font>
    </dxf>
    <dxf>
      <font>
        <color theme="9" tint="-0.24994659260841701"/>
      </font>
    </dxf>
    <dxf>
      <font>
        <color rgb="FF9C0006"/>
      </font>
    </dxf>
    <dxf>
      <font>
        <color rgb="FFFF0000"/>
      </font>
      <fill>
        <patternFill patternType="none">
          <bgColor auto="1"/>
        </patternFill>
      </fill>
    </dxf>
    <dxf>
      <font>
        <color rgb="FF9C0006"/>
      </font>
      <fill>
        <patternFill>
          <bgColor rgb="FFFFC7CE"/>
        </patternFill>
      </fill>
    </dxf>
    <dxf>
      <font>
        <color rgb="FF9C0006"/>
      </font>
      <fill>
        <patternFill>
          <bgColor rgb="FFFFC7CE"/>
        </patternFill>
      </fill>
    </dxf>
    <dxf>
      <font>
        <color theme="9" tint="-0.24994659260841701"/>
      </font>
    </dxf>
    <dxf>
      <font>
        <color rgb="FF9C0006"/>
      </font>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rgb="FF9C0006"/>
      </font>
    </dxf>
    <dxf>
      <font>
        <color theme="9" tint="-0.24994659260841701"/>
      </font>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theme="9" tint="-0.24994659260841701"/>
      </font>
    </dxf>
    <dxf>
      <font>
        <color rgb="FF9C0006"/>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dxf>
    <dxf>
      <font>
        <color theme="9" tint="-0.24994659260841701"/>
      </font>
    </dxf>
    <dxf>
      <font>
        <color rgb="FF006100"/>
      </font>
      <fill>
        <patternFill patternType="none">
          <bgColor auto="1"/>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9" tint="-0.24994659260841701"/>
      </font>
    </dxf>
    <dxf>
      <font>
        <color rgb="FF9C0006"/>
      </font>
      <fill>
        <patternFill>
          <bgColor rgb="FFFFC7CE"/>
        </patternFill>
      </fill>
    </dxf>
    <dxf>
      <font>
        <color rgb="FF9C0006"/>
      </font>
      <fill>
        <patternFill>
          <bgColor rgb="FFFFC7CE"/>
        </patternFill>
      </fill>
    </dxf>
    <dxf>
      <font>
        <color theme="9" tint="-0.24994659260841701"/>
      </font>
    </dxf>
    <dxf>
      <font>
        <color rgb="FFFF0000"/>
      </font>
    </dxf>
    <dxf>
      <font>
        <color rgb="FF006100"/>
      </font>
    </dxf>
    <dxf>
      <font>
        <color rgb="FF9C0006"/>
      </font>
      <fill>
        <patternFill>
          <bgColor rgb="FFFFC7CE"/>
        </patternFill>
      </fill>
    </dxf>
    <dxf>
      <font>
        <color rgb="FF006100"/>
      </font>
    </dxf>
    <dxf>
      <font>
        <color rgb="FFFF0000"/>
      </font>
    </dxf>
    <dxf>
      <font>
        <color rgb="FFFF0000"/>
      </font>
    </dxf>
    <dxf>
      <font>
        <color rgb="FF006100"/>
      </font>
    </dxf>
    <dxf>
      <font>
        <color rgb="FF0061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rgb="FFFF0000"/>
      </font>
    </dxf>
    <dxf>
      <font>
        <color rgb="FF9C0006"/>
      </font>
    </dxf>
    <dxf>
      <font>
        <color theme="9" tint="-0.24994659260841701"/>
      </font>
    </dxf>
    <dxf>
      <font>
        <color theme="9" tint="-0.24994659260841701"/>
      </font>
    </dxf>
    <dxf>
      <font>
        <color rgb="FF9C0006"/>
      </font>
    </dxf>
    <dxf>
      <font>
        <color rgb="FF9C0006"/>
      </font>
      <fill>
        <patternFill>
          <bgColor rgb="FFFFC7CE"/>
        </patternFill>
      </fill>
    </dxf>
    <dxf>
      <font>
        <color theme="9" tint="-0.24994659260841701"/>
      </font>
    </dxf>
    <dxf>
      <font>
        <color rgb="FFFF0000"/>
      </font>
    </dxf>
    <dxf>
      <font>
        <color rgb="FF9C0006"/>
      </font>
      <fill>
        <patternFill>
          <bgColor rgb="FFFFC7CE"/>
        </patternFill>
      </fill>
    </dxf>
    <dxf>
      <font>
        <color theme="9" tint="-0.24994659260841701"/>
      </font>
    </dxf>
    <dxf>
      <font>
        <color rgb="FFFF0000"/>
      </font>
    </dxf>
    <dxf>
      <font>
        <color theme="9" tint="-0.24994659260841701"/>
      </font>
    </dxf>
    <dxf>
      <font>
        <color rgb="FF9C0006"/>
      </font>
    </dxf>
    <dxf>
      <font>
        <color rgb="FF9C0006"/>
      </font>
    </dxf>
    <dxf>
      <font>
        <color theme="9" tint="-0.24994659260841701"/>
      </font>
    </dxf>
    <dxf>
      <font>
        <color theme="9" tint="-0.24994659260841701"/>
      </font>
    </dxf>
    <dxf>
      <font>
        <color rgb="FF9C0006"/>
      </font>
    </dxf>
    <dxf>
      <font>
        <color rgb="FF9C0006"/>
      </font>
      <fill>
        <patternFill>
          <bgColor rgb="FFFFC7CE"/>
        </patternFill>
      </fill>
    </dxf>
    <dxf>
      <font>
        <color theme="9" tint="-0.24994659260841701"/>
      </font>
    </dxf>
    <dxf>
      <font>
        <color rgb="FFFF0000"/>
      </font>
    </dxf>
    <dxf>
      <font>
        <color theme="9" tint="-0.24994659260841701"/>
      </font>
    </dxf>
    <dxf>
      <font>
        <color rgb="FF9C0006"/>
      </font>
    </dxf>
    <dxf>
      <font>
        <color theme="9" tint="-0.24994659260841701"/>
      </font>
    </dxf>
    <dxf>
      <font>
        <color rgb="FF9C0006"/>
      </font>
    </dxf>
    <dxf>
      <font>
        <color rgb="FF006100"/>
      </font>
    </dxf>
    <dxf>
      <font>
        <color rgb="FFFF0000"/>
      </font>
    </dxf>
    <dxf>
      <font>
        <color rgb="FF9C0006"/>
      </font>
      <fill>
        <patternFill>
          <bgColor rgb="FFFFC7CE"/>
        </patternFill>
      </fill>
    </dxf>
    <dxf>
      <font>
        <color rgb="FF006100"/>
      </font>
    </dxf>
    <dxf>
      <font>
        <color rgb="FFFF0000"/>
      </font>
    </dxf>
    <dxf>
      <font>
        <color rgb="FF9C0006"/>
      </font>
      <fill>
        <patternFill>
          <bgColor rgb="FFFFC7CE"/>
        </patternFill>
      </fill>
    </dxf>
    <dxf>
      <font>
        <color rgb="FF9C0006"/>
      </font>
      <fill>
        <patternFill>
          <bgColor rgb="FFFFC7CE"/>
        </patternFill>
      </fill>
    </dxf>
    <dxf>
      <font>
        <color rgb="FFFF0000"/>
      </font>
    </dxf>
    <dxf>
      <font>
        <color theme="9" tint="-0.24994659260841701"/>
      </font>
    </dxf>
    <dxf>
      <font>
        <color rgb="FF9C0006"/>
      </font>
    </dxf>
    <dxf>
      <font>
        <color theme="9" tint="-0.24994659260841701"/>
      </font>
    </dxf>
    <dxf>
      <font>
        <color rgb="FF9C0006"/>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rgb="FF9C0006"/>
      </font>
      <fill>
        <patternFill>
          <bgColor rgb="FFFFC7CE"/>
        </patternFill>
      </fill>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9" tint="-0.24994659260841701"/>
      </font>
    </dxf>
    <dxf>
      <font>
        <color theme="9" tint="-0.24994659260841701"/>
      </font>
    </dxf>
    <dxf>
      <font>
        <color rgb="FF9C0006"/>
      </font>
      <fill>
        <patternFill>
          <bgColor rgb="FFFFC7CE"/>
        </patternFill>
      </fill>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9" tint="-0.24994659260841701"/>
      </font>
    </dxf>
    <dxf>
      <font>
        <color theme="9" tint="-0.24994659260841701"/>
      </font>
    </dxf>
    <dxf>
      <font>
        <color theme="9" tint="-0.24994659260841701"/>
      </font>
    </dxf>
    <dxf>
      <font>
        <color rgb="FF9C0006"/>
      </font>
      <fill>
        <patternFill>
          <bgColor rgb="FFFFC7CE"/>
        </patternFill>
      </fill>
    </dxf>
    <dxf>
      <fill>
        <patternFill>
          <bgColor indexed="42"/>
        </patternFill>
      </fill>
    </dxf>
    <dxf>
      <fill>
        <patternFill>
          <bgColor indexed="9"/>
        </patternFill>
      </fill>
    </dxf>
    <dxf>
      <font>
        <color rgb="FF9C0006"/>
      </font>
      <fill>
        <patternFill>
          <bgColor rgb="FFFFC7CE"/>
        </patternFill>
      </fill>
    </dxf>
    <dxf>
      <font>
        <color rgb="FF9C0006"/>
      </font>
      <fill>
        <patternFill>
          <bgColor rgb="FFFFC7CE"/>
        </patternFill>
      </fill>
    </dxf>
    <dxf>
      <font>
        <color theme="9" tint="-0.24994659260841701"/>
      </font>
    </dxf>
    <dxf>
      <font>
        <color rgb="FFFF0000"/>
      </font>
    </dxf>
    <dxf>
      <font>
        <color rgb="FFFF0000"/>
      </font>
      <fill>
        <patternFill patternType="none">
          <bgColor auto="1"/>
        </patternFill>
      </fill>
    </dxf>
    <dxf>
      <font>
        <color theme="9" tint="-0.24994659260841701"/>
      </font>
      <fill>
        <patternFill patternType="none">
          <bgColor auto="1"/>
        </patternFill>
      </fill>
    </dxf>
    <dxf>
      <font>
        <color rgb="FFFF0000"/>
      </font>
      <fill>
        <patternFill patternType="none">
          <bgColor auto="1"/>
        </patternFill>
      </fill>
    </dxf>
    <dxf>
      <font>
        <color theme="9" tint="-0.24994659260841701"/>
      </font>
      <fill>
        <patternFill patternType="none">
          <bgColor auto="1"/>
        </patternFill>
      </fill>
    </dxf>
    <dxf>
      <font>
        <color rgb="FFFF0000"/>
      </font>
    </dxf>
    <dxf>
      <font>
        <color rgb="FFFF0000"/>
      </font>
    </dxf>
    <dxf>
      <fill>
        <patternFill>
          <bgColor indexed="42"/>
        </patternFill>
      </fill>
    </dxf>
    <dxf>
      <fill>
        <patternFill>
          <bgColor indexed="9"/>
        </patternFill>
      </fill>
    </dxf>
    <dxf>
      <fill>
        <patternFill>
          <bgColor indexed="42"/>
        </patternFill>
      </fill>
    </dxf>
    <dxf>
      <fill>
        <patternFill>
          <bgColor indexed="9"/>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9C0006"/>
      <color rgb="FF006100"/>
      <color rgb="FFFFC7CE"/>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135255</xdr:colOff>
      <xdr:row>7</xdr:row>
      <xdr:rowOff>118110</xdr:rowOff>
    </xdr:from>
    <xdr:to>
      <xdr:col>11</xdr:col>
      <xdr:colOff>18418</xdr:colOff>
      <xdr:row>47</xdr:row>
      <xdr:rowOff>72390</xdr:rowOff>
    </xdr:to>
    <xdr:sp macro="" textlink="">
      <xdr:nvSpPr>
        <xdr:cNvPr id="13"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455295" y="1748790"/>
          <a:ext cx="5689603" cy="671322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a:effectLst/>
              <a:latin typeface="Arial" panose="020B0604020202020204" pitchFamily="34" charset="0"/>
              <a:ea typeface="+mn-ea"/>
              <a:cs typeface="Arial" panose="020B0604020202020204" pitchFamily="34" charset="0"/>
            </a:rPr>
            <a:t>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Estimated Rehabilitation Cost (ERC) calculator (the "Calculator") is copyright and the Licensee may only use the</a:t>
          </a:r>
          <a:r>
            <a:rPr lang="en-AU" sz="1000" baseline="0">
              <a:effectLst/>
              <a:latin typeface="Arial" panose="020B0604020202020204" pitchFamily="34" charset="0"/>
              <a:ea typeface="+mn-ea"/>
              <a:cs typeface="Arial" panose="020B0604020202020204" pitchFamily="34" charset="0"/>
            </a:rPr>
            <a:t> Ca</a:t>
          </a:r>
          <a:r>
            <a:rPr lang="en-AU" sz="1000">
              <a:effectLst/>
              <a:latin typeface="Arial" panose="020B0604020202020204" pitchFamily="34" charset="0"/>
              <a:ea typeface="+mn-ea"/>
              <a:cs typeface="Arial" panose="020B0604020202020204" pitchFamily="34" charset="0"/>
            </a:rPr>
            <a:t>lculator subject to these terms and conditions of use. In using the Calculator, the Licensee agrees to be bound by the terms and conditions of use.</a:t>
          </a: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100"/>
            </a:lnSpc>
          </a:pPr>
          <a:r>
            <a:rPr lang="en-AU" sz="1000">
              <a:effectLst/>
              <a:latin typeface="Arial" panose="020B0604020202020204" pitchFamily="34" charset="0"/>
              <a:ea typeface="+mn-ea"/>
              <a:cs typeface="Arial" panose="020B0604020202020204" pitchFamily="34" charset="0"/>
            </a:rPr>
            <a:t>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Calculator is a general tool which identifies a range of work processes relating to rehabilitation. The Calculator is made available by the Licensor to assist the Licensees in the calculation of a ERC. ERC assessments are used in the determination of rehabilitation bonds required to be lodged pursuant to the </a:t>
          </a:r>
          <a:r>
            <a:rPr lang="en-AU" sz="1000" i="1">
              <a:effectLst/>
              <a:latin typeface="Arial" panose="020B0604020202020204" pitchFamily="34" charset="0"/>
              <a:ea typeface="+mn-ea"/>
              <a:cs typeface="Arial" panose="020B0604020202020204" pitchFamily="34" charset="0"/>
            </a:rPr>
            <a:t>Environmental Protection Act </a:t>
          </a:r>
          <a:r>
            <a:rPr lang="en-AU" sz="1000">
              <a:effectLst/>
              <a:latin typeface="Arial" panose="020B0604020202020204" pitchFamily="34" charset="0"/>
              <a:ea typeface="+mn-ea"/>
              <a:cs typeface="Arial" panose="020B0604020202020204" pitchFamily="34" charset="0"/>
            </a:rPr>
            <a:t>1994 (Qld).  The Calculator</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does not purport to contain all the information  a Licensee will require to calculate any rehabilitation liability.</a:t>
          </a:r>
        </a:p>
        <a:p>
          <a:pPr>
            <a:lnSpc>
              <a:spcPts val="1100"/>
            </a:lnSpc>
          </a:pPr>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General Licence</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3. The Licensor grants to the Licensee a non-exclusive, non-transferable licence to:</a:t>
          </a:r>
        </a:p>
        <a:p>
          <a:r>
            <a:rPr lang="en-AU" sz="1000">
              <a:effectLst/>
              <a:latin typeface="Arial" panose="020B0604020202020204" pitchFamily="34" charset="0"/>
              <a:ea typeface="+mn-ea"/>
              <a:cs typeface="Arial" panose="020B0604020202020204" pitchFamily="34" charset="0"/>
            </a:rPr>
            <a:t> </a:t>
          </a:r>
        </a:p>
        <a:p>
          <a:pPr lvl="2"/>
          <a:r>
            <a:rPr lang="en-AU" sz="1000">
              <a:effectLst/>
              <a:latin typeface="Arial" panose="020B0604020202020204" pitchFamily="34" charset="0"/>
              <a:ea typeface="+mn-ea"/>
              <a:cs typeface="Arial" panose="020B0604020202020204" pitchFamily="34" charset="0"/>
            </a:rPr>
            <a:t>3.1 load a single copy of the Calculator onto a hard disk or other 	storage device of any computer on a single network;</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3.2 display, print or reproduce that copy of the Calculator; and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3.3 solely for the Permitted Use:</a:t>
          </a:r>
        </a:p>
        <a:p>
          <a:r>
            <a:rPr lang="en-AU" sz="1000">
              <a:effectLst/>
              <a:latin typeface="Arial" panose="020B0604020202020204" pitchFamily="34" charset="0"/>
              <a:ea typeface="+mn-ea"/>
              <a:cs typeface="Arial" panose="020B0604020202020204" pitchFamily="34" charset="0"/>
            </a:rPr>
            <a:t> </a:t>
          </a:r>
        </a:p>
        <a:p>
          <a:pPr lvl="3"/>
          <a:r>
            <a:rPr lang="en-AU" sz="1000">
              <a:effectLst/>
              <a:latin typeface="Arial" panose="020B0604020202020204" pitchFamily="34" charset="0"/>
              <a:ea typeface="+mn-ea"/>
              <a:cs typeface="Arial" panose="020B0604020202020204" pitchFamily="34" charset="0"/>
            </a:rPr>
            <a:t>(a)</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develop any Derivative Work from the Calculator;</a:t>
          </a:r>
        </a:p>
        <a:p>
          <a:pPr lvl="3"/>
          <a:endParaRPr lang="en-AU" sz="1000">
            <a:effectLst/>
            <a:latin typeface="Arial" panose="020B0604020202020204" pitchFamily="34" charset="0"/>
            <a:ea typeface="+mn-ea"/>
            <a:cs typeface="Arial" panose="020B0604020202020204" pitchFamily="34" charset="0"/>
          </a:endParaRPr>
        </a:p>
        <a:p>
          <a:pPr lvl="3"/>
          <a:r>
            <a:rPr lang="en-AU" sz="1000">
              <a:effectLst/>
              <a:latin typeface="Arial" panose="020B0604020202020204" pitchFamily="34" charset="0"/>
              <a:ea typeface="+mn-ea"/>
              <a:cs typeface="Arial" panose="020B0604020202020204" pitchFamily="34" charset="0"/>
            </a:rPr>
            <a:t>(b) distribute any Derivative Work to third parties; and</a:t>
          </a:r>
        </a:p>
        <a:p>
          <a:pPr lvl="3"/>
          <a:endParaRPr lang="en-AU" sz="1000">
            <a:effectLst/>
            <a:latin typeface="Arial" panose="020B0604020202020204" pitchFamily="34" charset="0"/>
            <a:ea typeface="+mn-ea"/>
            <a:cs typeface="Arial" panose="020B0604020202020204" pitchFamily="34" charset="0"/>
          </a:endParaRPr>
        </a:p>
        <a:p>
          <a:pPr lvl="3"/>
          <a:r>
            <a:rPr lang="en-AU" sz="1000">
              <a:effectLst/>
              <a:latin typeface="Arial" panose="020B0604020202020204" pitchFamily="34" charset="0"/>
              <a:ea typeface="+mn-ea"/>
              <a:cs typeface="Arial" panose="020B0604020202020204" pitchFamily="34" charset="0"/>
            </a:rPr>
            <a:t>(c) authorise its consultants, contractors or sub-contractors to do the acts referred to in this paragraph 3.3, and that its consultants, contractors or sub-contractors agree to the terms of this licence and are directed to the page on the Department’s website containing these terms and conditions.</a:t>
          </a:r>
        </a:p>
        <a:p>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Derivative work</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4.</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Where the Licensee uses the Calculator to produce any Derivative Work, the Licensee must ensure that all copies of that Derivative Work include the following notice:</a:t>
          </a:r>
        </a:p>
        <a:p>
          <a:r>
            <a:rPr lang="en-AU" sz="1000">
              <a:effectLst/>
              <a:latin typeface="Arial" panose="020B0604020202020204" pitchFamily="34" charset="0"/>
              <a:ea typeface="+mn-ea"/>
              <a:cs typeface="Arial" panose="020B0604020202020204" pitchFamily="34" charset="0"/>
            </a:rPr>
            <a:t> </a:t>
          </a:r>
        </a:p>
        <a:p>
          <a:r>
            <a:rPr lang="en-AU" sz="1000" i="1">
              <a:effectLst/>
              <a:latin typeface="Arial" panose="020B0604020202020204" pitchFamily="34" charset="0"/>
              <a:ea typeface="+mn-ea"/>
              <a:cs typeface="Arial" panose="020B0604020202020204" pitchFamily="34" charset="0"/>
            </a:rPr>
            <a:t>This material has been derived with a software tool used with the permission of the State of Queensland. The State of Queensland</a:t>
          </a:r>
          <a:r>
            <a:rPr lang="en-AU" sz="1000" i="1" baseline="0">
              <a:effectLst/>
              <a:latin typeface="Arial" panose="020B0604020202020204" pitchFamily="34" charset="0"/>
              <a:ea typeface="+mn-ea"/>
              <a:cs typeface="Arial" panose="020B0604020202020204" pitchFamily="34" charset="0"/>
            </a:rPr>
            <a:t> </a:t>
          </a:r>
          <a:r>
            <a:rPr lang="en-AU" sz="1000" i="1">
              <a:effectLst/>
              <a:latin typeface="Arial" panose="020B0604020202020204" pitchFamily="34" charset="0"/>
              <a:ea typeface="+mn-ea"/>
              <a:cs typeface="Arial" panose="020B0604020202020204" pitchFamily="34" charset="0"/>
            </a:rPr>
            <a:t>has not</a:t>
          </a:r>
          <a:r>
            <a:rPr lang="en-AU" sz="1000" i="1" baseline="0">
              <a:effectLst/>
              <a:latin typeface="Arial" panose="020B0604020202020204" pitchFamily="34" charset="0"/>
              <a:ea typeface="+mn-ea"/>
              <a:cs typeface="Arial" panose="020B0604020202020204" pitchFamily="34" charset="0"/>
            </a:rPr>
            <a:t> </a:t>
          </a:r>
          <a:r>
            <a:rPr lang="en-AU" sz="1000" i="1">
              <a:effectLst/>
              <a:latin typeface="Arial" panose="020B0604020202020204" pitchFamily="34" charset="0"/>
              <a:ea typeface="+mn-ea"/>
              <a:cs typeface="Arial" panose="020B0604020202020204" pitchFamily="34" charset="0"/>
            </a:rPr>
            <a:t>evaluated the manner of use of the software tool nor the validity of the original data treated by the software tool and therefore give no warranty as to its accuracy, completeness, currency or suitability for any particular purpose. </a:t>
          </a:r>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pPr algn="ctr">
            <a:lnSpc>
              <a:spcPts val="1100"/>
            </a:lnSpc>
          </a:pPr>
          <a:endParaRPr lang="en-AU" sz="1000">
            <a:effectLst/>
            <a:latin typeface="Arial" panose="020B0604020202020204" pitchFamily="34" charset="0"/>
            <a:ea typeface="+mn-ea"/>
            <a:cs typeface="Arial" panose="020B0604020202020204" pitchFamily="34" charset="0"/>
          </a:endParaRPr>
        </a:p>
      </xdr:txBody>
    </xdr:sp>
    <xdr:clientData/>
  </xdr:twoCellAnchor>
  <xdr:twoCellAnchor>
    <xdr:from>
      <xdr:col>16</xdr:col>
      <xdr:colOff>125730</xdr:colOff>
      <xdr:row>3</xdr:row>
      <xdr:rowOff>85725</xdr:rowOff>
    </xdr:from>
    <xdr:to>
      <xdr:col>25</xdr:col>
      <xdr:colOff>360999</xdr:colOff>
      <xdr:row>45</xdr:row>
      <xdr:rowOff>87630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7231380" y="1009650"/>
          <a:ext cx="5855019" cy="728853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b="1" i="0">
              <a:effectLst/>
              <a:latin typeface="Arial" panose="020B0604020202020204" pitchFamily="34" charset="0"/>
              <a:ea typeface="+mn-ea"/>
              <a:cs typeface="Arial" panose="020B0604020202020204" pitchFamily="34" charset="0"/>
            </a:rPr>
            <a:t>Third parties</a:t>
          </a:r>
          <a:endParaRPr lang="en-AU" sz="1000" i="0">
            <a:effectLst/>
            <a:latin typeface="Arial" panose="020B0604020202020204" pitchFamily="34" charset="0"/>
            <a:ea typeface="+mn-ea"/>
            <a:cs typeface="Arial" panose="020B0604020202020204" pitchFamily="34" charset="0"/>
          </a:endParaRP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100"/>
            </a:lnSpc>
          </a:pPr>
          <a:r>
            <a:rPr lang="en-AU" sz="1000">
              <a:effectLst/>
              <a:latin typeface="Arial" panose="020B0604020202020204" pitchFamily="34" charset="0"/>
              <a:ea typeface="+mn-ea"/>
              <a:cs typeface="Arial" panose="020B0604020202020204" pitchFamily="34" charset="0"/>
            </a:rPr>
            <a:t>5.</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Except as permitted by the terms and conditions of use or the </a:t>
          </a:r>
          <a:r>
            <a:rPr lang="en-AU" sz="1000" i="1">
              <a:effectLst/>
              <a:latin typeface="Arial" panose="020B0604020202020204" pitchFamily="34" charset="0"/>
              <a:ea typeface="+mn-ea"/>
              <a:cs typeface="Arial" panose="020B0604020202020204" pitchFamily="34" charset="0"/>
            </a:rPr>
            <a:t>Copyright Act 1968</a:t>
          </a:r>
          <a:r>
            <a:rPr lang="en-AU" sz="1000">
              <a:effectLst/>
              <a:latin typeface="Arial" panose="020B0604020202020204" pitchFamily="34" charset="0"/>
              <a:ea typeface="+mn-ea"/>
              <a:cs typeface="Arial" panose="020B0604020202020204" pitchFamily="34" charset="0"/>
            </a:rPr>
            <a:t>, the Licensee must not, and must not permit a third party to:</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(a) decompile, disassemble, reverse engineer or otherwise attempt to derive the 	source code of the Calculator ;</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(b) modify or make any adaptation or other derivative work from the Calculator; or</a:t>
          </a:r>
        </a:p>
        <a:p>
          <a:pPr>
            <a:lnSpc>
              <a:spcPts val="1100"/>
            </a:lnSpc>
          </a:pPr>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(c) use, copy, reproduce, publish, store in a retrieval system or transmit the 	calculator or any Derivative Work) to any third party; or</a:t>
          </a:r>
        </a:p>
        <a:p>
          <a:r>
            <a:rPr lang="en-AU" sz="1000">
              <a:effectLst/>
              <a:latin typeface="Arial" panose="020B0604020202020204" pitchFamily="34" charset="0"/>
              <a:ea typeface="+mn-ea"/>
              <a:cs typeface="Arial" panose="020B0604020202020204" pitchFamily="34" charset="0"/>
            </a:rPr>
            <a:t> </a:t>
          </a:r>
        </a:p>
        <a:p>
          <a:pPr lvl="0"/>
          <a:r>
            <a:rPr lang="en-AU" sz="1000">
              <a:effectLst/>
              <a:latin typeface="Arial" panose="020B0604020202020204" pitchFamily="34" charset="0"/>
              <a:ea typeface="+mn-ea"/>
              <a:cs typeface="Arial" panose="020B0604020202020204" pitchFamily="34" charset="0"/>
            </a:rPr>
            <a:t>	(d) sell, rent, lease, licence, sub-licence, display, publish or communicate the 	Calculator  (or any Derivative Work) to any third party without the prior written consent of the </a:t>
          </a:r>
          <a:r>
            <a:rPr lang="en-AU" sz="1000" i="1">
              <a:effectLst/>
              <a:latin typeface="Arial" panose="020B0604020202020204" pitchFamily="34" charset="0"/>
              <a:ea typeface="+mn-ea"/>
              <a:cs typeface="Arial" panose="020B0604020202020204" pitchFamily="34" charset="0"/>
            </a:rPr>
            <a:t>State of</a:t>
          </a:r>
          <a:r>
            <a:rPr lang="en-AU" sz="1000" i="1" baseline="0">
              <a:effectLst/>
              <a:latin typeface="Arial" panose="020B0604020202020204" pitchFamily="34" charset="0"/>
              <a:ea typeface="+mn-ea"/>
              <a:cs typeface="Arial" panose="020B0604020202020204" pitchFamily="34" charset="0"/>
            </a:rPr>
            <a:t> Queensland</a:t>
          </a:r>
          <a:r>
            <a:rPr lang="en-AU" sz="1000" i="1">
              <a:effectLst/>
              <a:latin typeface="Arial" panose="020B0604020202020204" pitchFamily="34" charset="0"/>
              <a:ea typeface="+mn-ea"/>
              <a:cs typeface="Arial" panose="020B0604020202020204" pitchFamily="34" charset="0"/>
            </a:rPr>
            <a:t>.</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b="1" i="0">
              <a:effectLst/>
              <a:latin typeface="Arial" panose="020B0604020202020204" pitchFamily="34" charset="0"/>
              <a:ea typeface="+mn-ea"/>
              <a:cs typeface="Arial" panose="020B0604020202020204" pitchFamily="34" charset="0"/>
            </a:rPr>
            <a:t>Accuracy of information</a:t>
          </a:r>
          <a:endParaRPr lang="en-AU" sz="1000" i="0">
            <a:effectLst/>
            <a:latin typeface="Arial" panose="020B0604020202020204" pitchFamily="34" charset="0"/>
            <a:ea typeface="+mn-ea"/>
            <a:cs typeface="Arial" panose="020B0604020202020204" pitchFamily="34" charset="0"/>
          </a:endParaRPr>
        </a:p>
        <a:p>
          <a:r>
            <a:rPr lang="en-AU" sz="1000" b="1" i="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6.</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Department may revise the rates and formulae used in the Calculator at any time without notice but is not under any obligation to do so. </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7.</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Licensee should rely on their own independent investigations, review and analysis in using the Calculator.  </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8.</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output of the Calculator will depend on the accuracy of the information entered by the Licensee concerning the relevant work plan and rehabilitation plan and current and future site conditions.</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9.</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default third party rates included in the Calculator are for general information only and use typical market ‘third party’ contract rates current as at December 2021. As a result, the default third party rates may not be applicable to some mining or extractive operations. For the purposes of a rehabilitation liability assessment, the Department or an auditor appointed under the </a:t>
          </a:r>
          <a:r>
            <a:rPr lang="en-AU" sz="1000" i="1">
              <a:effectLst/>
              <a:latin typeface="Arial" panose="020B0604020202020204" pitchFamily="34" charset="0"/>
              <a:ea typeface="+mn-ea"/>
              <a:cs typeface="Arial" panose="020B0604020202020204" pitchFamily="34" charset="0"/>
            </a:rPr>
            <a:t>Environmental Protection Act 1994</a:t>
          </a:r>
          <a:r>
            <a:rPr lang="en-AU" sz="1000">
              <a:effectLst/>
              <a:latin typeface="Arial" panose="020B0604020202020204" pitchFamily="34" charset="0"/>
              <a:ea typeface="+mn-ea"/>
              <a:cs typeface="Arial" panose="020B0604020202020204" pitchFamily="34" charset="0"/>
            </a:rPr>
            <a:t> may set different rates for specific sites. These rates may be higher for specific sites.</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10.</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Licensee must review default rates included in the Calculator and ensure they are applicable to their site conditions. If not, they should specify an alternative rate and insert this rate into the Calculator. Any alternative rate must be substantiated in a form acceptable to the Department and must be determined using current market ‘third party’ contract rates.  </a:t>
          </a:r>
        </a:p>
        <a:p>
          <a:r>
            <a:rPr lang="en-AU" sz="1000" b="1" i="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r>
            <a:rPr lang="en-AU" sz="1000" b="1" i="0">
              <a:effectLst/>
              <a:latin typeface="Arial" panose="020B0604020202020204" pitchFamily="34" charset="0"/>
              <a:ea typeface="+mn-ea"/>
              <a:cs typeface="Arial" panose="020B0604020202020204" pitchFamily="34" charset="0"/>
            </a:rPr>
            <a:t>Review of rehabilitation bonds</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Rehabilitation bonds are determined and may be reviewed by the Chief Executive under the relevant legislation. In undertaking these responsibilities the Chief Executive or the Department may refer to any ERC assessment undertaken by the Licensee but is not bound to do so, and may take other matters into account including those specified in DES </a:t>
          </a:r>
          <a:r>
            <a:rPr lang="en-AU" sz="1000" i="1">
              <a:effectLst/>
              <a:latin typeface="Arial" panose="020B0604020202020204" pitchFamily="34" charset="0"/>
              <a:ea typeface="+mn-ea"/>
              <a:cs typeface="Arial" panose="020B0604020202020204" pitchFamily="34" charset="0"/>
            </a:rPr>
            <a:t>Guidelines </a:t>
          </a:r>
          <a:r>
            <a:rPr lang="en-AU" sz="1000">
              <a:effectLst/>
              <a:latin typeface="Arial" panose="020B0604020202020204" pitchFamily="34" charset="0"/>
              <a:ea typeface="+mn-ea"/>
              <a:cs typeface="Arial" panose="020B0604020202020204" pitchFamily="34" charset="0"/>
            </a:rPr>
            <a:t>from time to time.</a:t>
          </a:r>
          <a:r>
            <a:rPr lang="en-AU" sz="1000" i="1">
              <a:effectLst/>
              <a:latin typeface="Arial" panose="020B0604020202020204" pitchFamily="34" charset="0"/>
              <a:ea typeface="+mn-ea"/>
              <a:cs typeface="Arial" panose="020B0604020202020204" pitchFamily="34" charset="0"/>
            </a:rPr>
            <a:t> </a:t>
          </a:r>
        </a:p>
        <a:p>
          <a:endParaRPr lang="en-AU" sz="1000" i="1">
            <a:effectLst/>
            <a:latin typeface="Arial" panose="020B0604020202020204" pitchFamily="34" charset="0"/>
            <a:ea typeface="+mn-ea"/>
            <a:cs typeface="Arial" panose="020B0604020202020204" pitchFamily="34" charset="0"/>
          </a:endParaRPr>
        </a:p>
        <a:p>
          <a:pPr algn="ctr"/>
          <a:endParaRPr lang="en-AU" sz="1000">
            <a:effectLst/>
            <a:latin typeface="Arial" panose="020B0604020202020204" pitchFamily="34" charset="0"/>
            <a:ea typeface="+mn-ea"/>
            <a:cs typeface="Arial" panose="020B0604020202020204" pitchFamily="34" charset="0"/>
          </a:endParaRPr>
        </a:p>
      </xdr:txBody>
    </xdr:sp>
    <xdr:clientData/>
  </xdr:twoCellAnchor>
  <xdr:twoCellAnchor>
    <xdr:from>
      <xdr:col>44</xdr:col>
      <xdr:colOff>124778</xdr:colOff>
      <xdr:row>3</xdr:row>
      <xdr:rowOff>57150</xdr:rowOff>
    </xdr:from>
    <xdr:to>
      <xdr:col>53</xdr:col>
      <xdr:colOff>370526</xdr:colOff>
      <xdr:row>44</xdr:row>
      <xdr:rowOff>148590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20851178" y="1019175"/>
          <a:ext cx="5865498" cy="720661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900"/>
            </a:lnSpc>
          </a:pPr>
          <a:r>
            <a:rPr lang="en-AU" sz="1000" b="1" i="0">
              <a:effectLst/>
              <a:latin typeface="Arial" panose="020B0604020202020204" pitchFamily="34" charset="0"/>
              <a:ea typeface="+mn-ea"/>
              <a:cs typeface="Arial" panose="020B0604020202020204" pitchFamily="34" charset="0"/>
            </a:rPr>
            <a:t>Actual costs of rehabilitation</a:t>
          </a:r>
          <a:endParaRPr lang="en-AU" sz="1000" i="0">
            <a:effectLst/>
            <a:latin typeface="Arial" panose="020B0604020202020204" pitchFamily="34" charset="0"/>
            <a:ea typeface="+mn-ea"/>
            <a:cs typeface="Arial" panose="020B0604020202020204" pitchFamily="34" charset="0"/>
          </a:endParaRP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900"/>
            </a:lnSpc>
          </a:pPr>
          <a:r>
            <a:rPr lang="en-AU" sz="1000">
              <a:effectLst/>
              <a:latin typeface="Arial" panose="020B0604020202020204" pitchFamily="34" charset="0"/>
              <a:ea typeface="+mn-ea"/>
              <a:cs typeface="Arial" panose="020B0604020202020204" pitchFamily="34" charset="0"/>
            </a:rPr>
            <a:t>12.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actual costs of current and future rehabilitation required to be undertaken by a Licensee may be more or less than any calculation derived by use of the Calculator or the amount of any rehabilitation bond determined by the Chief Executive or the Department. The Licensee must make their own independent investigations, review and analysis and obtain independent advice before taking any action on the basis of any calculation derived by use of the Calculator.</a:t>
          </a: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1000"/>
            </a:lnSpc>
          </a:pPr>
          <a:r>
            <a:rPr lang="en-AU" sz="1000" b="1" i="0">
              <a:effectLst/>
              <a:latin typeface="Arial" panose="020B0604020202020204" pitchFamily="34" charset="0"/>
              <a:ea typeface="+mn-ea"/>
              <a:cs typeface="Arial" panose="020B0604020202020204" pitchFamily="34" charset="0"/>
            </a:rPr>
            <a:t>Warranties, representations and liability</a:t>
          </a:r>
          <a:endParaRPr lang="en-AU" sz="1000" i="0">
            <a:effectLst/>
            <a:latin typeface="Arial" panose="020B0604020202020204" pitchFamily="34" charset="0"/>
            <a:ea typeface="+mn-ea"/>
            <a:cs typeface="Arial" panose="020B0604020202020204" pitchFamily="34" charset="0"/>
          </a:endParaRPr>
        </a:p>
        <a:p>
          <a:pPr>
            <a:lnSpc>
              <a:spcPts val="1100"/>
            </a:lnSpc>
          </a:pPr>
          <a:r>
            <a:rPr lang="en-AU" sz="1000">
              <a:effectLst/>
              <a:latin typeface="Arial" panose="020B0604020202020204" pitchFamily="34" charset="0"/>
              <a:ea typeface="+mn-ea"/>
              <a:cs typeface="Arial" panose="020B0604020202020204" pitchFamily="34" charset="0"/>
            </a:rPr>
            <a:t> </a:t>
          </a:r>
        </a:p>
        <a:p>
          <a:pPr>
            <a:lnSpc>
              <a:spcPts val="1000"/>
            </a:lnSpc>
          </a:pPr>
          <a:r>
            <a:rPr lang="en-AU" sz="1000">
              <a:effectLst/>
              <a:latin typeface="Arial" panose="020B0604020202020204" pitchFamily="34" charset="0"/>
              <a:ea typeface="+mn-ea"/>
              <a:cs typeface="Arial" panose="020B0604020202020204" pitchFamily="34" charset="0"/>
            </a:rPr>
            <a:t>13.</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 Licensors do not warrant or represent that the Calculator or the information it contains is free from errors or omissions or is suitable for a Licensee’s intended use. To the maximum extent permitted by law, the Licensors:</a:t>
          </a:r>
        </a:p>
        <a:p>
          <a:pPr>
            <a:lnSpc>
              <a:spcPts val="1100"/>
            </a:lnSpc>
          </a:pPr>
          <a:r>
            <a:rPr lang="en-AU" sz="1000">
              <a:effectLst/>
              <a:latin typeface="Arial" panose="020B0604020202020204" pitchFamily="34" charset="0"/>
              <a:ea typeface="+mn-ea"/>
              <a:cs typeface="Arial" panose="020B0604020202020204" pitchFamily="34" charset="0"/>
            </a:rPr>
            <a:t> </a:t>
          </a:r>
        </a:p>
        <a:p>
          <a:pPr lvl="1">
            <a:lnSpc>
              <a:spcPts val="1100"/>
            </a:lnSpc>
          </a:pPr>
          <a:r>
            <a:rPr lang="en-AU" sz="1000">
              <a:effectLst/>
              <a:latin typeface="Arial" panose="020B0604020202020204" pitchFamily="34" charset="0"/>
              <a:ea typeface="+mn-ea"/>
              <a:cs typeface="Arial" panose="020B0604020202020204" pitchFamily="34" charset="0"/>
            </a:rPr>
            <a:t>13.1</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exclude any representation or warranty (express or implied) as to the accuracy,</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reliability, completeness, quality, performance or fitness for any purpose of the Calculator or any information it contains, or any calculation derived by use of the Calculator; and</a:t>
          </a:r>
        </a:p>
        <a:p>
          <a:pPr lvl="1">
            <a:lnSpc>
              <a:spcPts val="1000"/>
            </a:lnSpc>
          </a:pPr>
          <a:r>
            <a:rPr lang="en-AU" sz="1000">
              <a:effectLst/>
              <a:latin typeface="Arial" panose="020B0604020202020204" pitchFamily="34" charset="0"/>
              <a:ea typeface="+mn-ea"/>
              <a:cs typeface="Arial" panose="020B0604020202020204" pitchFamily="34" charset="0"/>
            </a:rPr>
            <a:t> </a:t>
          </a:r>
        </a:p>
        <a:p>
          <a:pPr lvl="1">
            <a:lnSpc>
              <a:spcPts val="1000"/>
            </a:lnSpc>
          </a:pPr>
          <a:r>
            <a:rPr lang="en-AU" sz="1000">
              <a:effectLst/>
              <a:latin typeface="Arial" panose="020B0604020202020204" pitchFamily="34" charset="0"/>
              <a:ea typeface="+mn-ea"/>
              <a:cs typeface="Arial" panose="020B0604020202020204" pitchFamily="34" charset="0"/>
            </a:rPr>
            <a:t>13.2</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exclude any liability (whether arising from negligence or otherwise) for any</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claims, expenses, losses, damages and costs, including direct, indirect or consequential loss, legal costs and including loss of revenue, contracts, profit or opportunity which the Licensee (including their respective employees, contractors, consultants, agents or assigns) may directly or indirectly suffer in connection with:</a:t>
          </a:r>
        </a:p>
        <a:p>
          <a:pPr>
            <a:lnSpc>
              <a:spcPts val="1100"/>
            </a:lnSpc>
          </a:pPr>
          <a:r>
            <a:rPr lang="en-AU" sz="1000">
              <a:effectLst/>
              <a:latin typeface="Arial" panose="020B0604020202020204" pitchFamily="34" charset="0"/>
              <a:ea typeface="+mn-ea"/>
              <a:cs typeface="Arial" panose="020B0604020202020204" pitchFamily="34" charset="0"/>
            </a:rPr>
            <a:t> </a:t>
          </a:r>
        </a:p>
        <a:p>
          <a:pPr lvl="2">
            <a:lnSpc>
              <a:spcPts val="1100"/>
            </a:lnSpc>
          </a:pPr>
          <a:r>
            <a:rPr lang="en-AU" sz="1000">
              <a:effectLst/>
              <a:latin typeface="Arial" panose="020B0604020202020204" pitchFamily="34" charset="0"/>
              <a:ea typeface="+mn-ea"/>
              <a:cs typeface="Arial" panose="020B0604020202020204" pitchFamily="34" charset="0"/>
            </a:rPr>
            <a:t>(a) the Licensee’s use of or access to (or inability to use or access) any part of the</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Calculator, or any information contained in the Calculator or any calculation derived by use of the Calculator;</a:t>
          </a:r>
        </a:p>
        <a:p>
          <a:pPr lvl="2">
            <a:lnSpc>
              <a:spcPts val="1000"/>
            </a:lnSpc>
          </a:pPr>
          <a:r>
            <a:rPr lang="en-AU" sz="1000">
              <a:effectLst/>
              <a:latin typeface="Arial" panose="020B0604020202020204" pitchFamily="34" charset="0"/>
              <a:ea typeface="+mn-ea"/>
              <a:cs typeface="Arial" panose="020B0604020202020204" pitchFamily="34" charset="0"/>
            </a:rPr>
            <a:t> </a:t>
          </a:r>
        </a:p>
        <a:p>
          <a:pPr lvl="2">
            <a:lnSpc>
              <a:spcPts val="1000"/>
            </a:lnSpc>
          </a:pPr>
          <a:r>
            <a:rPr lang="en-AU" sz="1000">
              <a:effectLst/>
              <a:latin typeface="Arial" panose="020B0604020202020204" pitchFamily="34" charset="0"/>
              <a:ea typeface="+mn-ea"/>
              <a:cs typeface="Arial" panose="020B0604020202020204" pitchFamily="34" charset="0"/>
            </a:rPr>
            <a:t>(b) the Licensee’s reliance on any part of the Calculator, any information contained in the calculator or any calculation derived by use of the Calculator;</a:t>
          </a:r>
        </a:p>
        <a:p>
          <a:pPr lvl="2">
            <a:lnSpc>
              <a:spcPts val="900"/>
            </a:lnSpc>
          </a:pPr>
          <a:br>
            <a:rPr lang="en-AU" sz="1000">
              <a:effectLst/>
              <a:latin typeface="Arial" panose="020B0604020202020204" pitchFamily="34" charset="0"/>
              <a:ea typeface="+mn-ea"/>
              <a:cs typeface="Arial" panose="020B0604020202020204" pitchFamily="34" charset="0"/>
            </a:rPr>
          </a:br>
          <a:r>
            <a:rPr lang="en-AU" sz="1000">
              <a:effectLst/>
              <a:latin typeface="Arial" panose="020B0604020202020204" pitchFamily="34" charset="0"/>
              <a:ea typeface="+mn-ea"/>
              <a:cs typeface="Arial" panose="020B0604020202020204" pitchFamily="34" charset="0"/>
            </a:rPr>
            <a:t>(c) any part of the Calculator or any information contained in the Calculator or any calculation derived from the</a:t>
          </a:r>
          <a:r>
            <a:rPr lang="en-AU" sz="1000" baseline="0">
              <a:effectLst/>
              <a:latin typeface="Arial" panose="020B0604020202020204" pitchFamily="34" charset="0"/>
              <a:ea typeface="+mn-ea"/>
              <a:cs typeface="Arial" panose="020B0604020202020204" pitchFamily="34" charset="0"/>
            </a:rPr>
            <a:t> C</a:t>
          </a:r>
          <a:r>
            <a:rPr lang="en-AU" sz="1000">
              <a:effectLst/>
              <a:latin typeface="Arial" panose="020B0604020202020204" pitchFamily="34" charset="0"/>
              <a:ea typeface="+mn-ea"/>
              <a:cs typeface="Arial" panose="020B0604020202020204" pitchFamily="34" charset="0"/>
            </a:rPr>
            <a:t>alculator:</a:t>
          </a:r>
        </a:p>
        <a:p>
          <a:pPr>
            <a:lnSpc>
              <a:spcPts val="900"/>
            </a:lnSpc>
          </a:pPr>
          <a:r>
            <a:rPr lang="en-AU" sz="1000">
              <a:effectLst/>
              <a:latin typeface="Arial" panose="020B0604020202020204" pitchFamily="34" charset="0"/>
              <a:ea typeface="+mn-ea"/>
              <a:cs typeface="Arial" panose="020B0604020202020204" pitchFamily="34" charset="0"/>
            </a:rPr>
            <a:t> </a:t>
          </a:r>
        </a:p>
        <a:p>
          <a:pPr lvl="1">
            <a:lnSpc>
              <a:spcPts val="900"/>
            </a:lnSpc>
          </a:pPr>
          <a:r>
            <a:rPr lang="en-AU" sz="1000">
              <a:effectLst/>
              <a:latin typeface="Arial" panose="020B0604020202020204" pitchFamily="34" charset="0"/>
              <a:ea typeface="+mn-ea"/>
              <a:cs typeface="Arial" panose="020B0604020202020204" pitchFamily="34" charset="0"/>
            </a:rPr>
            <a:t>		(i) being inaccurate, incomplete or unfit for any particular purpose; 		or</a:t>
          </a:r>
        </a:p>
        <a:p>
          <a:pPr lvl="1">
            <a:lnSpc>
              <a:spcPts val="900"/>
            </a:lnSpc>
          </a:pPr>
          <a:r>
            <a:rPr lang="en-AU" sz="1000">
              <a:effectLst/>
              <a:latin typeface="Arial" panose="020B0604020202020204" pitchFamily="34" charset="0"/>
              <a:ea typeface="+mn-ea"/>
              <a:cs typeface="Arial" panose="020B0604020202020204" pitchFamily="34" charset="0"/>
            </a:rPr>
            <a:t>		(ii) incapable of being processed on your equipment or systems; or</a:t>
          </a:r>
        </a:p>
        <a:p>
          <a:pPr>
            <a:lnSpc>
              <a:spcPts val="1000"/>
            </a:lnSpc>
          </a:pPr>
          <a:r>
            <a:rPr lang="en-AU" sz="1000">
              <a:effectLst/>
              <a:latin typeface="Arial" panose="020B0604020202020204" pitchFamily="34" charset="0"/>
              <a:ea typeface="+mn-ea"/>
              <a:cs typeface="Arial" panose="020B0604020202020204" pitchFamily="34" charset="0"/>
            </a:rPr>
            <a:t> </a:t>
          </a:r>
        </a:p>
        <a:p>
          <a:pPr lvl="0">
            <a:lnSpc>
              <a:spcPts val="1000"/>
            </a:lnSpc>
          </a:pPr>
          <a:r>
            <a:rPr lang="en-AU" sz="1000">
              <a:effectLst/>
              <a:latin typeface="Arial" panose="020B0604020202020204" pitchFamily="34" charset="0"/>
              <a:ea typeface="+mn-ea"/>
              <a:cs typeface="Arial" panose="020B0604020202020204" pitchFamily="34" charset="0"/>
            </a:rPr>
            <a:t>	(d) any computer virus or other harmful code contained in or arising from access to 	or use of the rehabilitation liability calculator, or any damage to or interference with 	any data, software or hardware arising from access to or use of the Calculator.</a:t>
          </a:r>
        </a:p>
        <a:p>
          <a:pPr lvl="0">
            <a:lnSpc>
              <a:spcPts val="8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8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lvl="0">
            <a:lnSpc>
              <a:spcPts val="900"/>
            </a:lnSpc>
          </a:pPr>
          <a:endParaRPr lang="en-AU" sz="1000">
            <a:effectLst/>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ts val="900"/>
            </a:lnSpc>
            <a:spcBef>
              <a:spcPts val="0"/>
            </a:spcBef>
            <a:spcAft>
              <a:spcPts val="0"/>
            </a:spcAft>
            <a:buClrTx/>
            <a:buSzTx/>
            <a:buFontTx/>
            <a:buNone/>
            <a:tabLst/>
            <a:defRPr/>
          </a:pPr>
          <a:endParaRPr lang="en-AU" sz="1100" b="1" i="0">
            <a:effectLst/>
            <a:latin typeface="+mn-lt"/>
            <a:ea typeface="+mn-ea"/>
            <a:cs typeface="+mn-cs"/>
          </a:endParaRPr>
        </a:p>
        <a:p>
          <a:pPr marL="0" marR="0" lvl="0" indent="0" algn="ctr" defTabSz="914400" eaLnBrk="1" fontAlgn="auto" latinLnBrk="0" hangingPunct="1">
            <a:lnSpc>
              <a:spcPts val="900"/>
            </a:lnSpc>
            <a:spcBef>
              <a:spcPts val="0"/>
            </a:spcBef>
            <a:spcAft>
              <a:spcPts val="0"/>
            </a:spcAft>
            <a:buClrTx/>
            <a:buSzTx/>
            <a:buFontTx/>
            <a:buNone/>
            <a:tabLst/>
            <a:defRPr/>
          </a:pPr>
          <a:endParaRPr lang="en-AU" sz="1000">
            <a:effectLst/>
            <a:latin typeface="Arial" panose="020B0604020202020204" pitchFamily="34" charset="0"/>
            <a:ea typeface="+mn-ea"/>
            <a:cs typeface="Arial" panose="020B0604020202020204" pitchFamily="34" charset="0"/>
          </a:endParaRPr>
        </a:p>
        <a:p>
          <a:pPr>
            <a:lnSpc>
              <a:spcPts val="1000"/>
            </a:lnSpc>
          </a:pPr>
          <a:r>
            <a:rPr lang="en-AU" sz="1000">
              <a:effectLst/>
              <a:latin typeface="Arial" panose="020B0604020202020204" pitchFamily="34" charset="0"/>
              <a:ea typeface="+mn-ea"/>
              <a:cs typeface="Arial" panose="020B0604020202020204" pitchFamily="34" charset="0"/>
            </a:rPr>
            <a:t> </a:t>
          </a:r>
        </a:p>
        <a:p>
          <a:pPr>
            <a:lnSpc>
              <a:spcPts val="1000"/>
            </a:lnSpc>
          </a:pPr>
          <a:endParaRPr lang="en-AU" sz="1000">
            <a:effectLst/>
            <a:latin typeface="Arial" panose="020B0604020202020204" pitchFamily="34" charset="0"/>
            <a:ea typeface="+mn-ea"/>
            <a:cs typeface="Arial" panose="020B0604020202020204" pitchFamily="34" charset="0"/>
          </a:endParaRPr>
        </a:p>
        <a:p>
          <a:pPr algn="l" rtl="0">
            <a:lnSpc>
              <a:spcPts val="1100"/>
            </a:lnSpc>
            <a:defRPr sz="1000"/>
          </a:pPr>
          <a:endParaRPr lang="en-AU" sz="1000">
            <a:latin typeface="Arial" pitchFamily="34" charset="0"/>
            <a:cs typeface="Arial" pitchFamily="34" charset="0"/>
          </a:endParaRPr>
        </a:p>
      </xdr:txBody>
    </xdr:sp>
    <xdr:clientData/>
  </xdr:twoCellAnchor>
  <xdr:twoCellAnchor>
    <xdr:from>
      <xdr:col>30</xdr:col>
      <xdr:colOff>143828</xdr:colOff>
      <xdr:row>2</xdr:row>
      <xdr:rowOff>525781</xdr:rowOff>
    </xdr:from>
    <xdr:to>
      <xdr:col>39</xdr:col>
      <xdr:colOff>520068</xdr:colOff>
      <xdr:row>46</xdr:row>
      <xdr:rowOff>20956</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4059853" y="916306"/>
          <a:ext cx="5995990" cy="7524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nSpc>
              <a:spcPts val="1100"/>
            </a:lnSpc>
          </a:pPr>
          <a:r>
            <a:rPr lang="en-AU" sz="1000">
              <a:effectLst/>
              <a:latin typeface="Arial" panose="020B0604020202020204" pitchFamily="34" charset="0"/>
              <a:ea typeface="+mn-ea"/>
              <a:cs typeface="Arial" panose="020B0604020202020204" pitchFamily="34" charset="0"/>
            </a:rPr>
            <a:t>14.</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Where any law implies a condition or warranty into this Licence which may not lawfully be excluded then to the maximum extent permitted by law, liability of the Licensors for breach of the condition or warranty will be limited at its election to:</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(a) replacement of the goods or supply of equivalent goods</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(b) payment of the costs of replacing the goods or of acquiring equivalent goods</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(c) supplying the services again; or</a:t>
          </a:r>
        </a:p>
        <a:p>
          <a:pPr>
            <a:lnSpc>
              <a:spcPts val="1100"/>
            </a:lnSpc>
          </a:pPr>
          <a:r>
            <a:rPr lang="en-AU" sz="1000">
              <a:effectLst/>
              <a:latin typeface="Arial" panose="020B0604020202020204" pitchFamily="34" charset="0"/>
              <a:ea typeface="+mn-ea"/>
              <a:cs typeface="Arial" panose="020B0604020202020204" pitchFamily="34" charset="0"/>
            </a:rPr>
            <a:t> </a:t>
          </a:r>
        </a:p>
        <a:p>
          <a:pPr lvl="0">
            <a:lnSpc>
              <a:spcPts val="1100"/>
            </a:lnSpc>
          </a:pPr>
          <a:r>
            <a:rPr lang="en-AU" sz="1000">
              <a:effectLst/>
              <a:latin typeface="Arial" panose="020B0604020202020204" pitchFamily="34" charset="0"/>
              <a:ea typeface="+mn-ea"/>
              <a:cs typeface="Arial" panose="020B0604020202020204" pitchFamily="34" charset="0"/>
            </a:rPr>
            <a:t>	(d) payment of the costs of having the services supplied again.</a:t>
          </a:r>
        </a:p>
        <a:p>
          <a:pPr>
            <a:lnSpc>
              <a:spcPts val="1100"/>
            </a:lnSpc>
          </a:pPr>
          <a:endParaRPr lang="en-AU" sz="1000" b="1">
            <a:effectLst/>
            <a:latin typeface="Arial" pitchFamily="34" charset="0"/>
            <a:ea typeface="+mn-ea"/>
            <a:cs typeface="Arial" pitchFamily="34" charset="0"/>
          </a:endParaRPr>
        </a:p>
        <a:p>
          <a:pPr>
            <a:lnSpc>
              <a:spcPts val="1100"/>
            </a:lnSpc>
          </a:pPr>
          <a:endParaRPr lang="en-AU" sz="1000" b="1">
            <a:effectLst/>
            <a:latin typeface="Arial" pitchFamily="34" charset="0"/>
            <a:ea typeface="+mn-ea"/>
            <a:cs typeface="Arial"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lang="en-AU" sz="1000" b="1">
              <a:effectLst/>
              <a:latin typeface="Arial" pitchFamily="34" charset="0"/>
              <a:ea typeface="+mn-ea"/>
              <a:cs typeface="Arial" pitchFamily="34" charset="0"/>
            </a:rPr>
            <a:t>Calculator</a:t>
          </a:r>
          <a:r>
            <a:rPr lang="en-AU" sz="1000">
              <a:effectLst/>
              <a:latin typeface="Arial" panose="020B0604020202020204" pitchFamily="34" charset="0"/>
              <a:ea typeface="+mn-ea"/>
              <a:cs typeface="Arial" panose="020B0604020202020204" pitchFamily="34" charset="0"/>
            </a:rPr>
            <a:t> means the rehabilitation bond calculator developed by EHS Support</a:t>
          </a:r>
          <a:r>
            <a:rPr lang="en-AU" sz="1000" baseline="0">
              <a:effectLst/>
              <a:latin typeface="Arial" panose="020B0604020202020204" pitchFamily="34" charset="0"/>
              <a:ea typeface="+mn-ea"/>
              <a:cs typeface="Arial" panose="020B0604020202020204" pitchFamily="34" charset="0"/>
            </a:rPr>
            <a:t> Pty Ltd and Mike Slight and Associates </a:t>
          </a:r>
          <a:r>
            <a:rPr lang="en-AU" sz="1000">
              <a:effectLst/>
              <a:latin typeface="Arial" panose="020B0604020202020204" pitchFamily="34" charset="0"/>
              <a:ea typeface="+mn-ea"/>
              <a:cs typeface="Arial" panose="020B0604020202020204" pitchFamily="34" charset="0"/>
            </a:rPr>
            <a:t>and owned by the State of Queensland for use in calculating rehabilitation liabilities under the </a:t>
          </a:r>
          <a:r>
            <a:rPr lang="en-AU" sz="1000" i="1">
              <a:effectLst/>
              <a:latin typeface="Arial" panose="020B0604020202020204" pitchFamily="34" charset="0"/>
              <a:ea typeface="+mn-ea"/>
              <a:cs typeface="Arial" panose="020B0604020202020204" pitchFamily="34" charset="0"/>
            </a:rPr>
            <a:t>Environmental Protection Act 1994</a:t>
          </a:r>
          <a:r>
            <a:rPr lang="en-AU" sz="1000">
              <a:effectLst/>
              <a:latin typeface="Arial" panose="020B0604020202020204" pitchFamily="34" charset="0"/>
              <a:ea typeface="+mn-ea"/>
              <a:cs typeface="Arial" panose="020B0604020202020204" pitchFamily="34" charset="0"/>
            </a:rPr>
            <a:t>.</a:t>
          </a:r>
          <a:endParaRPr lang="en-AU" sz="1000">
            <a:effectLst/>
            <a:latin typeface="Arial" panose="020B0604020202020204" pitchFamily="34" charset="0"/>
            <a:cs typeface="Arial" panose="020B0604020202020204" pitchFamily="34" charset="0"/>
          </a:endParaRPr>
        </a:p>
        <a:p>
          <a:pPr>
            <a:lnSpc>
              <a:spcPts val="1100"/>
            </a:lnSpc>
          </a:pPr>
          <a:endParaRPr lang="en-AU" sz="1000" b="1" i="0">
            <a:effectLst/>
            <a:latin typeface="Arial" panose="020B0604020202020204" pitchFamily="34" charset="0"/>
            <a:ea typeface="+mn-ea"/>
            <a:cs typeface="Arial" panose="020B0604020202020204" pitchFamily="34" charset="0"/>
          </a:endParaRPr>
        </a:p>
        <a:p>
          <a:pPr>
            <a:lnSpc>
              <a:spcPts val="1100"/>
            </a:lnSpc>
          </a:pPr>
          <a:r>
            <a:rPr lang="en-AU" sz="1000" b="1" i="0">
              <a:effectLst/>
              <a:latin typeface="Arial" panose="020B0604020202020204" pitchFamily="34" charset="0"/>
              <a:ea typeface="+mn-ea"/>
              <a:cs typeface="Arial" panose="020B0604020202020204" pitchFamily="34" charset="0"/>
            </a:rPr>
            <a:t>Definitions and Governing Law </a:t>
          </a:r>
          <a:endParaRPr lang="en-AU" sz="1000" i="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15.</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These terms have the following meaning in these terms and conditions of use:</a:t>
          </a:r>
        </a:p>
        <a:p>
          <a:r>
            <a:rPr lang="en-AU" sz="1000" b="1">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ea typeface="+mn-ea"/>
            <a:cs typeface="Arial" panose="020B0604020202020204" pitchFamily="34" charset="0"/>
          </a:endParaRPr>
        </a:p>
        <a:p>
          <a:r>
            <a:rPr lang="en-AU" sz="1000" b="1">
              <a:effectLst/>
              <a:latin typeface="Arial" panose="020B0604020202020204" pitchFamily="34" charset="0"/>
              <a:ea typeface="+mn-ea"/>
              <a:cs typeface="Arial" panose="020B0604020202020204" pitchFamily="34" charset="0"/>
            </a:rPr>
            <a:t>Chief Executive</a:t>
          </a:r>
          <a:r>
            <a:rPr lang="en-AU" sz="1000">
              <a:effectLst/>
              <a:latin typeface="Arial" panose="020B0604020202020204" pitchFamily="34" charset="0"/>
              <a:ea typeface="+mn-ea"/>
              <a:cs typeface="Arial" panose="020B0604020202020204" pitchFamily="34" charset="0"/>
            </a:rPr>
            <a:t> means the chief executive responsible for administering the </a:t>
          </a:r>
          <a:r>
            <a:rPr lang="en-AU" sz="1000" i="1">
              <a:effectLst/>
              <a:latin typeface="Arial" panose="020B0604020202020204" pitchFamily="34" charset="0"/>
              <a:ea typeface="+mn-ea"/>
              <a:cs typeface="Arial" panose="020B0604020202020204" pitchFamily="34" charset="0"/>
            </a:rPr>
            <a:t>Environmental Protection Act 1994.</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Department </a:t>
          </a:r>
          <a:r>
            <a:rPr lang="en-AU" sz="1000">
              <a:effectLst/>
              <a:latin typeface="Arial" panose="020B0604020202020204" pitchFamily="34" charset="0"/>
              <a:ea typeface="+mn-ea"/>
              <a:cs typeface="Arial" panose="020B0604020202020204" pitchFamily="34" charset="0"/>
            </a:rPr>
            <a:t>means the State of Queensland through the Department of Environment,</a:t>
          </a:r>
          <a:r>
            <a:rPr lang="en-AU" sz="1000" baseline="0">
              <a:effectLst/>
              <a:latin typeface="Arial" panose="020B0604020202020204" pitchFamily="34" charset="0"/>
              <a:ea typeface="+mn-ea"/>
              <a:cs typeface="Arial" panose="020B0604020202020204" pitchFamily="34" charset="0"/>
            </a:rPr>
            <a:t> </a:t>
          </a:r>
          <a:r>
            <a:rPr lang="en-AU" sz="1000">
              <a:effectLst/>
              <a:latin typeface="Arial" panose="020B0604020202020204" pitchFamily="34" charset="0"/>
              <a:ea typeface="+mn-ea"/>
              <a:cs typeface="Arial" panose="020B0604020202020204" pitchFamily="34" charset="0"/>
            </a:rPr>
            <a:t>Science and Innovation including any successor agency or authority.</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Derivative Work</a:t>
          </a:r>
          <a:r>
            <a:rPr lang="en-AU" sz="1000">
              <a:effectLst/>
              <a:latin typeface="Arial" panose="020B0604020202020204" pitchFamily="34" charset="0"/>
              <a:ea typeface="+mn-ea"/>
              <a:cs typeface="Arial" panose="020B0604020202020204" pitchFamily="34" charset="0"/>
            </a:rPr>
            <a:t> includes any assessment of rehabilitation liability undertaken by or on behalf of the Licensee using the Calculator or other information product derived by reference to or use of the Calculator.</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Licensee</a:t>
          </a:r>
          <a:r>
            <a:rPr lang="en-AU" sz="1000">
              <a:effectLst/>
              <a:latin typeface="Arial" panose="020B0604020202020204" pitchFamily="34" charset="0"/>
              <a:ea typeface="+mn-ea"/>
              <a:cs typeface="Arial" panose="020B0604020202020204" pitchFamily="34" charset="0"/>
            </a:rPr>
            <a:t> means any person who uses the Calculator or on whose behalf the licence is taken to use the Calculator.</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Licensors </a:t>
          </a:r>
          <a:r>
            <a:rPr lang="en-AU" sz="1000">
              <a:effectLst/>
              <a:latin typeface="Arial" panose="020B0604020202020204" pitchFamily="34" charset="0"/>
              <a:ea typeface="+mn-ea"/>
              <a:cs typeface="Arial" panose="020B0604020202020204" pitchFamily="34" charset="0"/>
            </a:rPr>
            <a:t>mean the State of Queensland (through the Department of Environment, Science and Innovation).</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Permitted Use</a:t>
          </a:r>
          <a:r>
            <a:rPr lang="en-AU" sz="1000">
              <a:effectLst/>
              <a:latin typeface="Arial" panose="020B0604020202020204" pitchFamily="34" charset="0"/>
              <a:ea typeface="+mn-ea"/>
              <a:cs typeface="Arial" panose="020B0604020202020204" pitchFamily="34" charset="0"/>
            </a:rPr>
            <a:t> means the calculation of a rehabilitation liability assessment for the purposes of the determination of rehabilitation bonds required to be lodged pursuant to the Environmental Protection Act 1994 (Qld).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16. These terms and conditions and the copyright notice are governed by and are to be construed in accordance with the laws of the State of Queensland.</a:t>
          </a: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 </a:t>
          </a:r>
        </a:p>
        <a:p>
          <a:r>
            <a:rPr lang="en-AU" sz="1000" b="1">
              <a:effectLst/>
              <a:latin typeface="Arial" panose="020B0604020202020204" pitchFamily="34" charset="0"/>
              <a:ea typeface="+mn-ea"/>
              <a:cs typeface="Arial" panose="020B0604020202020204" pitchFamily="34" charset="0"/>
            </a:rPr>
            <a:t>ACCEPTANCE </a:t>
          </a:r>
          <a:endParaRPr lang="en-AU" sz="1000">
            <a:effectLst/>
            <a:latin typeface="Arial" panose="020B0604020202020204" pitchFamily="34" charset="0"/>
            <a:ea typeface="+mn-ea"/>
            <a:cs typeface="Arial" panose="020B0604020202020204" pitchFamily="34" charset="0"/>
          </a:endParaRPr>
        </a:p>
        <a:p>
          <a:r>
            <a:rPr lang="en-AU" sz="1000">
              <a:effectLst/>
              <a:latin typeface="Arial" panose="020B0604020202020204" pitchFamily="34" charset="0"/>
              <a:ea typeface="+mn-ea"/>
              <a:cs typeface="Arial" panose="020B0604020202020204" pitchFamily="34" charset="0"/>
            </a:rPr>
            <a:t> </a:t>
          </a:r>
        </a:p>
        <a:p>
          <a:r>
            <a:rPr lang="en-AU" sz="1000">
              <a:effectLst/>
              <a:latin typeface="Arial" panose="020B0604020202020204" pitchFamily="34" charset="0"/>
              <a:ea typeface="+mn-ea"/>
              <a:cs typeface="Arial" panose="020B0604020202020204" pitchFamily="34" charset="0"/>
            </a:rPr>
            <a:t>I accept the terms and conditions of use above.</a:t>
          </a: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a:p>
          <a:endParaRPr lang="en-AU" sz="10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60960</xdr:colOff>
      <xdr:row>2</xdr:row>
      <xdr:rowOff>38100</xdr:rowOff>
    </xdr:from>
    <xdr:to>
      <xdr:col>12</xdr:col>
      <xdr:colOff>91440</xdr:colOff>
      <xdr:row>4</xdr:row>
      <xdr:rowOff>99060</xdr:rowOff>
    </xdr:to>
    <xdr:sp macro="" textlink="">
      <xdr:nvSpPr>
        <xdr:cNvPr id="2" name="TextBox 1">
          <a:extLst>
            <a:ext uri="{FF2B5EF4-FFF2-40B4-BE49-F238E27FC236}">
              <a16:creationId xmlns:a16="http://schemas.microsoft.com/office/drawing/2014/main" id="{FFFABA9D-3951-AF41-B735-9B04494F5C26}"/>
            </a:ext>
          </a:extLst>
        </xdr:cNvPr>
        <xdr:cNvSpPr txBox="1"/>
      </xdr:nvSpPr>
      <xdr:spPr>
        <a:xfrm>
          <a:off x="220980" y="426720"/>
          <a:ext cx="6614160" cy="8001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This document is a guideline made under section 550 of the </a:t>
          </a:r>
          <a:r>
            <a:rPr lang="en-AU" sz="1100" i="1">
              <a:solidFill>
                <a:schemeClr val="dk1"/>
              </a:solidFill>
              <a:effectLst/>
              <a:latin typeface="+mn-lt"/>
              <a:ea typeface="+mn-ea"/>
              <a:cs typeface="+mn-cs"/>
            </a:rPr>
            <a:t>Environmental Protection Act 1994 </a:t>
          </a:r>
          <a:r>
            <a:rPr lang="en-AU" sz="1100">
              <a:solidFill>
                <a:schemeClr val="dk1"/>
              </a:solidFill>
              <a:effectLst/>
              <a:latin typeface="+mn-lt"/>
              <a:ea typeface="+mn-ea"/>
              <a:cs typeface="+mn-cs"/>
            </a:rPr>
            <a:t>(EP Act) to provide guidance relating to the methodology mentioned in section 298(2)(c) of the EP Act and must be used in conjunction with the department’s “Guideline for estimated rehabilitation cost under the </a:t>
          </a:r>
          <a:r>
            <a:rPr lang="en-AU" sz="1100" i="1">
              <a:solidFill>
                <a:schemeClr val="dk1"/>
              </a:solidFill>
              <a:effectLst/>
              <a:latin typeface="+mn-lt"/>
              <a:ea typeface="+mn-ea"/>
              <a:cs typeface="+mn-cs"/>
            </a:rPr>
            <a:t>Environmental Protection Act 1994</a:t>
          </a:r>
          <a:r>
            <a:rPr lang="en-AU" sz="1100">
              <a:solidFill>
                <a:schemeClr val="dk1"/>
              </a:solidFill>
              <a:effectLst/>
              <a:latin typeface="+mn-lt"/>
              <a:ea typeface="+mn-ea"/>
              <a:cs typeface="+mn-cs"/>
            </a:rPr>
            <a:t>” (ESR/2018/4425).</a:t>
          </a:r>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476249</xdr:colOff>
      <xdr:row>4</xdr:row>
      <xdr:rowOff>1</xdr:rowOff>
    </xdr:from>
    <xdr:to>
      <xdr:col>5</xdr:col>
      <xdr:colOff>206474</xdr:colOff>
      <xdr:row>5</xdr:row>
      <xdr:rowOff>9526</xdr:rowOff>
    </xdr:to>
    <xdr:sp macro="" textlink="">
      <xdr:nvSpPr>
        <xdr:cNvPr id="2" name="TextBox 1">
          <a:extLst>
            <a:ext uri="{FF2B5EF4-FFF2-40B4-BE49-F238E27FC236}">
              <a16:creationId xmlns:a16="http://schemas.microsoft.com/office/drawing/2014/main" id="{900D86E4-3D50-498F-9966-24B7FAB2CAD4}"/>
            </a:ext>
          </a:extLst>
        </xdr:cNvPr>
        <xdr:cNvSpPr txBox="1"/>
      </xdr:nvSpPr>
      <xdr:spPr>
        <a:xfrm>
          <a:off x="476249" y="962026"/>
          <a:ext cx="9360000" cy="175260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dams, ponds, weirs and other water storage. There are separate table for number-based entries by category (e.g. 1 x 10 ML dam in pasture), area-based entries (e.g. 2 ha lined dam), and a User build table. The User only enters to one of the tables for each structure. </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Use the water treatment and pumping sheet for removal / treatment of any water remaining.</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Includes removal of sediment, liners (where present), push-in of walls, levelling and grade and seed. There is no allowance for any water / brine that may be present. </a:t>
          </a:r>
        </a:p>
      </xdr:txBody>
    </xdr:sp>
    <xdr:clientData/>
  </xdr:twoCellAnchor>
  <xdr:twoCellAnchor>
    <xdr:from>
      <xdr:col>5</xdr:col>
      <xdr:colOff>200024</xdr:colOff>
      <xdr:row>4</xdr:row>
      <xdr:rowOff>0</xdr:rowOff>
    </xdr:from>
    <xdr:to>
      <xdr:col>11</xdr:col>
      <xdr:colOff>206699</xdr:colOff>
      <xdr:row>5</xdr:row>
      <xdr:rowOff>9525</xdr:rowOff>
    </xdr:to>
    <xdr:sp macro="" textlink="" fLocksText="0">
      <xdr:nvSpPr>
        <xdr:cNvPr id="3" name="TextBox 2">
          <a:extLst>
            <a:ext uri="{FF2B5EF4-FFF2-40B4-BE49-F238E27FC236}">
              <a16:creationId xmlns:a16="http://schemas.microsoft.com/office/drawing/2014/main" id="{3868C0E8-C50F-44E6-AFDA-1072DD619A13}"/>
            </a:ext>
          </a:extLst>
        </xdr:cNvPr>
        <xdr:cNvSpPr txBox="1"/>
      </xdr:nvSpPr>
      <xdr:spPr>
        <a:xfrm>
          <a:off x="9829799" y="962025"/>
          <a:ext cx="7560000" cy="17526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224790</xdr:colOff>
      <xdr:row>4</xdr:row>
      <xdr:rowOff>0</xdr:rowOff>
    </xdr:from>
    <xdr:to>
      <xdr:col>6</xdr:col>
      <xdr:colOff>2060040</xdr:colOff>
      <xdr:row>4</xdr:row>
      <xdr:rowOff>1080000</xdr:rowOff>
    </xdr:to>
    <xdr:sp macro="" textlink="">
      <xdr:nvSpPr>
        <xdr:cNvPr id="2" name="TextBox 1">
          <a:extLst>
            <a:ext uri="{FF2B5EF4-FFF2-40B4-BE49-F238E27FC236}">
              <a16:creationId xmlns:a16="http://schemas.microsoft.com/office/drawing/2014/main" id="{F0E7987B-84C9-4E41-A9BA-EAA9F321AEB6}"/>
            </a:ext>
          </a:extLst>
        </xdr:cNvPr>
        <xdr:cNvSpPr txBox="1"/>
      </xdr:nvSpPr>
      <xdr:spPr>
        <a:xfrm>
          <a:off x="224790" y="876300"/>
          <a:ext cx="10703025" cy="108000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water pumping and treatment. Includes a User Build table for dewatering system whereby the user enters quantities for each item to build the rate.</a:t>
          </a:r>
        </a:p>
      </xdr:txBody>
    </xdr:sp>
    <xdr:clientData/>
  </xdr:twoCellAnchor>
  <xdr:twoCellAnchor>
    <xdr:from>
      <xdr:col>6</xdr:col>
      <xdr:colOff>2057398</xdr:colOff>
      <xdr:row>4</xdr:row>
      <xdr:rowOff>0</xdr:rowOff>
    </xdr:from>
    <xdr:to>
      <xdr:col>11</xdr:col>
      <xdr:colOff>263848</xdr:colOff>
      <xdr:row>4</xdr:row>
      <xdr:rowOff>1080000</xdr:rowOff>
    </xdr:to>
    <xdr:sp macro="" textlink="" fLocksText="0">
      <xdr:nvSpPr>
        <xdr:cNvPr id="4" name="TextBox 3">
          <a:extLst>
            <a:ext uri="{FF2B5EF4-FFF2-40B4-BE49-F238E27FC236}">
              <a16:creationId xmlns:a16="http://schemas.microsoft.com/office/drawing/2014/main" id="{CC89029C-DD1B-43E7-BC2E-7E6638E2FDF6}"/>
            </a:ext>
          </a:extLst>
        </xdr:cNvPr>
        <xdr:cNvSpPr txBox="1"/>
      </xdr:nvSpPr>
      <xdr:spPr>
        <a:xfrm>
          <a:off x="10925173" y="876300"/>
          <a:ext cx="7969575" cy="10800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1216125</xdr:colOff>
      <xdr:row>14</xdr:row>
      <xdr:rowOff>0</xdr:rowOff>
    </xdr:to>
    <xdr:sp macro="" textlink="">
      <xdr:nvSpPr>
        <xdr:cNvPr id="2" name="TextBox 1">
          <a:extLst>
            <a:ext uri="{FF2B5EF4-FFF2-40B4-BE49-F238E27FC236}">
              <a16:creationId xmlns:a16="http://schemas.microsoft.com/office/drawing/2014/main" id="{0B2DB345-19EC-4C6B-BE6D-45B3B05819CF}"/>
            </a:ext>
          </a:extLst>
        </xdr:cNvPr>
        <xdr:cNvSpPr txBox="1"/>
      </xdr:nvSpPr>
      <xdr:spPr>
        <a:xfrm>
          <a:off x="228600" y="876300"/>
          <a:ext cx="9550500" cy="219075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waste rock dumps, spoil piles and stockpiles. For the default table, the User only enters the disturbance footprint. The User-build table can be used if capping requirements are more stringent than those shown in the Capping Values table to the right. </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In the User-build table, if the user enters a thickness for a capping element (e.g. low permeability layer) that is less than the default, an alert will appear in Capping Alerts and the User must provide justification (see Capping Alerts for further detail).</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Growth media stockpiles will be re-used and consequently only the footprint requires management.</a:t>
          </a:r>
        </a:p>
      </xdr:txBody>
    </xdr:sp>
    <xdr:clientData/>
  </xdr:twoCellAnchor>
  <xdr:twoCellAnchor>
    <xdr:from>
      <xdr:col>6</xdr:col>
      <xdr:colOff>1219199</xdr:colOff>
      <xdr:row>4</xdr:row>
      <xdr:rowOff>1</xdr:rowOff>
    </xdr:from>
    <xdr:to>
      <xdr:col>13</xdr:col>
      <xdr:colOff>44774</xdr:colOff>
      <xdr:row>14</xdr:row>
      <xdr:rowOff>1</xdr:rowOff>
    </xdr:to>
    <xdr:sp macro="" textlink="" fLocksText="0">
      <xdr:nvSpPr>
        <xdr:cNvPr id="3" name="TextBox 2">
          <a:extLst>
            <a:ext uri="{FF2B5EF4-FFF2-40B4-BE49-F238E27FC236}">
              <a16:creationId xmlns:a16="http://schemas.microsoft.com/office/drawing/2014/main" id="{B88A93C3-124C-4E8F-B01F-8DA423D3888D}"/>
            </a:ext>
          </a:extLst>
        </xdr:cNvPr>
        <xdr:cNvSpPr txBox="1"/>
      </xdr:nvSpPr>
      <xdr:spPr>
        <a:xfrm>
          <a:off x="9782174" y="876301"/>
          <a:ext cx="7560000" cy="219075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xdr:colOff>
      <xdr:row>4</xdr:row>
      <xdr:rowOff>1904</xdr:rowOff>
    </xdr:from>
    <xdr:to>
      <xdr:col>6</xdr:col>
      <xdr:colOff>0</xdr:colOff>
      <xdr:row>13</xdr:row>
      <xdr:rowOff>0</xdr:rowOff>
    </xdr:to>
    <xdr:sp macro="" textlink="">
      <xdr:nvSpPr>
        <xdr:cNvPr id="3" name="TextBox 1">
          <a:extLst>
            <a:ext uri="{FF2B5EF4-FFF2-40B4-BE49-F238E27FC236}">
              <a16:creationId xmlns:a16="http://schemas.microsoft.com/office/drawing/2014/main" id="{77A53A44-51D7-4CEF-9065-AF8F4E02C8D9}"/>
            </a:ext>
          </a:extLst>
        </xdr:cNvPr>
        <xdr:cNvSpPr txBox="1"/>
      </xdr:nvSpPr>
      <xdr:spPr>
        <a:xfrm>
          <a:off x="230505" y="868679"/>
          <a:ext cx="9360000" cy="1598296"/>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latin typeface="Arial" panose="020B0604020202020204" pitchFamily="34" charset="0"/>
              <a:cs typeface="Arial" panose="020B0604020202020204" pitchFamily="34" charset="0"/>
            </a:rPr>
            <a:t>Enter quantities for heap leach pads. For the default table, the User only enters the disturbance footprint. The User-build table can be used if capping requirements are more stringent than those shown in the </a:t>
          </a:r>
          <a:r>
            <a:rPr lang="en-AU" sz="1100">
              <a:solidFill>
                <a:schemeClr val="dk1"/>
              </a:solidFill>
              <a:effectLst/>
              <a:latin typeface="Arial" panose="020B0604020202020204" pitchFamily="34" charset="0"/>
              <a:ea typeface="+mn-ea"/>
              <a:cs typeface="Arial" panose="020B0604020202020204" pitchFamily="34" charset="0"/>
            </a:rPr>
            <a:t>Capping Values table to the right</a:t>
          </a:r>
          <a:r>
            <a:rPr lang="en-AU" sz="1100">
              <a:solidFill>
                <a:sysClr val="windowText" lastClr="000000"/>
              </a:solidFill>
              <a:latin typeface="Arial" panose="020B0604020202020204" pitchFamily="34" charset="0"/>
              <a:cs typeface="Arial" panose="020B0604020202020204" pitchFamily="34" charset="0"/>
            </a:rPr>
            <a:t>. </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In the User-build table, if the user enters a thickness for a capping element (e.g. low permeability layer) that is less than the default, an alert will appear in Capping Alerts and the User must provide justification (see Capping Alerts for further detail).</a:t>
          </a:r>
        </a:p>
      </xdr:txBody>
    </xdr:sp>
    <xdr:clientData/>
  </xdr:twoCellAnchor>
  <xdr:twoCellAnchor>
    <xdr:from>
      <xdr:col>6</xdr:col>
      <xdr:colOff>0</xdr:colOff>
      <xdr:row>3</xdr:row>
      <xdr:rowOff>228599</xdr:rowOff>
    </xdr:from>
    <xdr:to>
      <xdr:col>10</xdr:col>
      <xdr:colOff>1121100</xdr:colOff>
      <xdr:row>13</xdr:row>
      <xdr:rowOff>0</xdr:rowOff>
    </xdr:to>
    <xdr:sp macro="" textlink="" fLocksText="0">
      <xdr:nvSpPr>
        <xdr:cNvPr id="4" name="TextBox 3">
          <a:extLst>
            <a:ext uri="{FF2B5EF4-FFF2-40B4-BE49-F238E27FC236}">
              <a16:creationId xmlns:a16="http://schemas.microsoft.com/office/drawing/2014/main" id="{12D15DE1-163A-4A25-BA89-210703393DC0}"/>
            </a:ext>
          </a:extLst>
        </xdr:cNvPr>
        <xdr:cNvSpPr txBox="1"/>
      </xdr:nvSpPr>
      <xdr:spPr>
        <a:xfrm>
          <a:off x="9591675" y="866774"/>
          <a:ext cx="7560000" cy="1600201"/>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1906</xdr:colOff>
      <xdr:row>4</xdr:row>
      <xdr:rowOff>0</xdr:rowOff>
    </xdr:from>
    <xdr:to>
      <xdr:col>6</xdr:col>
      <xdr:colOff>0</xdr:colOff>
      <xdr:row>14</xdr:row>
      <xdr:rowOff>2867025</xdr:rowOff>
    </xdr:to>
    <xdr:sp macro="" textlink="">
      <xdr:nvSpPr>
        <xdr:cNvPr id="19" name="TextBox 1">
          <a:extLst>
            <a:ext uri="{FF2B5EF4-FFF2-40B4-BE49-F238E27FC236}">
              <a16:creationId xmlns:a16="http://schemas.microsoft.com/office/drawing/2014/main" id="{E295DBE0-E552-4BCC-B5F9-C942764F0EF1}"/>
            </a:ext>
          </a:extLst>
        </xdr:cNvPr>
        <xdr:cNvSpPr txBox="1"/>
      </xdr:nvSpPr>
      <xdr:spPr>
        <a:xfrm>
          <a:off x="230506" y="876300"/>
          <a:ext cx="9358095" cy="4486275"/>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tailings storage facilities. For the default table, the User need only enter the disturbance footprint. The User-build table can be used if capping requirements are more stringent than those shown in the </a:t>
          </a:r>
          <a:r>
            <a:rPr lang="en-AU" sz="1100">
              <a:solidFill>
                <a:schemeClr val="dk1"/>
              </a:solidFill>
              <a:effectLst/>
              <a:latin typeface="Arial" panose="020B0604020202020204" pitchFamily="34" charset="0"/>
              <a:ea typeface="+mn-ea"/>
              <a:cs typeface="Arial" panose="020B0604020202020204" pitchFamily="34" charset="0"/>
            </a:rPr>
            <a:t>Capping Values table to the right. </a:t>
          </a:r>
          <a:endParaRPr lang="en-AU" sz="1100">
            <a:effectLst/>
            <a:latin typeface="Arial" panose="020B0604020202020204" pitchFamily="34" charset="0"/>
            <a:cs typeface="Arial" panose="020B0604020202020204" pitchFamily="34" charset="0"/>
          </a:endParaRP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In the User-build table, if the user enters a thickness for a capping element (e.g. low permeability layer) that is less than the default, an alert will appear in Capping Alerts and the User must provide justification (see Capping Alerts for further detail).</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If capping and/or growth materials are required to be sources off-site (&gt; 6 km), the quantities should be added in 10. Miscellaneous Activities sheet. Enter footprint of tailings storage facilities.</a:t>
          </a:r>
        </a:p>
      </xdr:txBody>
    </xdr:sp>
    <xdr:clientData/>
  </xdr:twoCellAnchor>
  <xdr:twoCellAnchor>
    <xdr:from>
      <xdr:col>6</xdr:col>
      <xdr:colOff>0</xdr:colOff>
      <xdr:row>4</xdr:row>
      <xdr:rowOff>0</xdr:rowOff>
    </xdr:from>
    <xdr:to>
      <xdr:col>11</xdr:col>
      <xdr:colOff>35250</xdr:colOff>
      <xdr:row>14</xdr:row>
      <xdr:rowOff>2867025</xdr:rowOff>
    </xdr:to>
    <xdr:sp macro="" textlink="" fLocksText="0">
      <xdr:nvSpPr>
        <xdr:cNvPr id="3" name="TextBox 2">
          <a:extLst>
            <a:ext uri="{FF2B5EF4-FFF2-40B4-BE49-F238E27FC236}">
              <a16:creationId xmlns:a16="http://schemas.microsoft.com/office/drawing/2014/main" id="{F289FE0D-77DC-44A4-958E-D9584DCB96CA}"/>
            </a:ext>
          </a:extLst>
        </xdr:cNvPr>
        <xdr:cNvSpPr txBox="1"/>
      </xdr:nvSpPr>
      <xdr:spPr>
        <a:xfrm>
          <a:off x="9591675" y="876300"/>
          <a:ext cx="7560000" cy="4486275"/>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224790</xdr:colOff>
      <xdr:row>4</xdr:row>
      <xdr:rowOff>9526</xdr:rowOff>
    </xdr:from>
    <xdr:to>
      <xdr:col>6</xdr:col>
      <xdr:colOff>1155165</xdr:colOff>
      <xdr:row>5</xdr:row>
      <xdr:rowOff>7486</xdr:rowOff>
    </xdr:to>
    <xdr:sp macro="" textlink="">
      <xdr:nvSpPr>
        <xdr:cNvPr id="3" name="TextBox 1">
          <a:extLst>
            <a:ext uri="{FF2B5EF4-FFF2-40B4-BE49-F238E27FC236}">
              <a16:creationId xmlns:a16="http://schemas.microsoft.com/office/drawing/2014/main" id="{7247BA7E-B326-4FBE-90EF-1DA90027BF27}"/>
            </a:ext>
          </a:extLst>
        </xdr:cNvPr>
        <xdr:cNvSpPr txBox="1"/>
      </xdr:nvSpPr>
      <xdr:spPr>
        <a:xfrm>
          <a:off x="224790" y="870586"/>
          <a:ext cx="9586695" cy="108000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Pits treatment. The User must describe how the pit area is derived to the TOV sheet. For example - area from aerial imagery or length X width as measured on &lt;date&gt;. </a:t>
          </a:r>
        </a:p>
        <a:p>
          <a:endParaRPr lang="en-AU" sz="1100">
            <a:solidFill>
              <a:sysClr val="windowText" lastClr="000000"/>
            </a:solidFill>
            <a:latin typeface="Arial" panose="020B0604020202020204" pitchFamily="34" charset="0"/>
            <a:cs typeface="Arial" panose="020B0604020202020204" pitchFamily="34" charset="0"/>
          </a:endParaRPr>
        </a:p>
        <a:p>
          <a:endParaRPr lang="en-AU"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1152525</xdr:colOff>
      <xdr:row>3</xdr:row>
      <xdr:rowOff>228598</xdr:rowOff>
    </xdr:from>
    <xdr:to>
      <xdr:col>12</xdr:col>
      <xdr:colOff>1225875</xdr:colOff>
      <xdr:row>4</xdr:row>
      <xdr:rowOff>1085849</xdr:rowOff>
    </xdr:to>
    <xdr:sp macro="" textlink="" fLocksText="0">
      <xdr:nvSpPr>
        <xdr:cNvPr id="4" name="TextBox 3">
          <a:extLst>
            <a:ext uri="{FF2B5EF4-FFF2-40B4-BE49-F238E27FC236}">
              <a16:creationId xmlns:a16="http://schemas.microsoft.com/office/drawing/2014/main" id="{69DAF38E-27C7-47D4-99FE-1BA8330CBFF2}"/>
            </a:ext>
          </a:extLst>
        </xdr:cNvPr>
        <xdr:cNvSpPr txBox="1"/>
      </xdr:nvSpPr>
      <xdr:spPr>
        <a:xfrm>
          <a:off x="9582150" y="866773"/>
          <a:ext cx="7560000" cy="1085851"/>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224789</xdr:colOff>
      <xdr:row>4</xdr:row>
      <xdr:rowOff>0</xdr:rowOff>
    </xdr:from>
    <xdr:to>
      <xdr:col>6</xdr:col>
      <xdr:colOff>783689</xdr:colOff>
      <xdr:row>4</xdr:row>
      <xdr:rowOff>1080000</xdr:rowOff>
    </xdr:to>
    <xdr:sp macro="" textlink="">
      <xdr:nvSpPr>
        <xdr:cNvPr id="2" name="TextBox 1">
          <a:extLst>
            <a:ext uri="{FF2B5EF4-FFF2-40B4-BE49-F238E27FC236}">
              <a16:creationId xmlns:a16="http://schemas.microsoft.com/office/drawing/2014/main" id="{B37F0572-0375-4AAB-BD82-DF79A5408F05}"/>
            </a:ext>
          </a:extLst>
        </xdr:cNvPr>
        <xdr:cNvSpPr txBox="1"/>
      </xdr:nvSpPr>
      <xdr:spPr>
        <a:xfrm>
          <a:off x="224789" y="876300"/>
          <a:ext cx="9360000" cy="108000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underground mines.</a:t>
          </a:r>
        </a:p>
      </xdr:txBody>
    </xdr:sp>
    <xdr:clientData/>
  </xdr:twoCellAnchor>
  <xdr:twoCellAnchor>
    <xdr:from>
      <xdr:col>6</xdr:col>
      <xdr:colOff>781050</xdr:colOff>
      <xdr:row>4</xdr:row>
      <xdr:rowOff>0</xdr:rowOff>
    </xdr:from>
    <xdr:to>
      <xdr:col>12</xdr:col>
      <xdr:colOff>854400</xdr:colOff>
      <xdr:row>4</xdr:row>
      <xdr:rowOff>1080000</xdr:rowOff>
    </xdr:to>
    <xdr:sp macro="" textlink="" fLocksText="0">
      <xdr:nvSpPr>
        <xdr:cNvPr id="3" name="TextBox 2">
          <a:extLst>
            <a:ext uri="{FF2B5EF4-FFF2-40B4-BE49-F238E27FC236}">
              <a16:creationId xmlns:a16="http://schemas.microsoft.com/office/drawing/2014/main" id="{8E90FF9C-ADE2-42FB-A99E-CAFD92A13620}"/>
            </a:ext>
          </a:extLst>
        </xdr:cNvPr>
        <xdr:cNvSpPr txBox="1"/>
      </xdr:nvSpPr>
      <xdr:spPr>
        <a:xfrm>
          <a:off x="9582150" y="876300"/>
          <a:ext cx="7560000" cy="10800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224792</xdr:rowOff>
    </xdr:from>
    <xdr:to>
      <xdr:col>6</xdr:col>
      <xdr:colOff>1139925</xdr:colOff>
      <xdr:row>5</xdr:row>
      <xdr:rowOff>0</xdr:rowOff>
    </xdr:to>
    <xdr:sp macro="" textlink="">
      <xdr:nvSpPr>
        <xdr:cNvPr id="2" name="TextBox 1">
          <a:extLst>
            <a:ext uri="{FF2B5EF4-FFF2-40B4-BE49-F238E27FC236}">
              <a16:creationId xmlns:a16="http://schemas.microsoft.com/office/drawing/2014/main" id="{AE767472-C5F3-40FD-8F6A-657EE7B6A671}"/>
            </a:ext>
          </a:extLst>
        </xdr:cNvPr>
        <xdr:cNvSpPr txBox="1"/>
      </xdr:nvSpPr>
      <xdr:spPr>
        <a:xfrm>
          <a:off x="228600" y="872492"/>
          <a:ext cx="9360000" cy="1223008"/>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marine facilities. The User can build a single marine facility (e.g. Port) using a single row or split items across rows (e.g. if several different types of tanks are required).</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More accuracy can be obtained by using the User Build table. There is an optional quantities table beneath the User Build. This is an optional table where the User can list and tally items associated with the facility. </a:t>
          </a:r>
        </a:p>
      </xdr:txBody>
    </xdr:sp>
    <xdr:clientData/>
  </xdr:twoCellAnchor>
  <xdr:twoCellAnchor>
    <xdr:from>
      <xdr:col>6</xdr:col>
      <xdr:colOff>1143000</xdr:colOff>
      <xdr:row>4</xdr:row>
      <xdr:rowOff>0</xdr:rowOff>
    </xdr:from>
    <xdr:to>
      <xdr:col>12</xdr:col>
      <xdr:colOff>1216350</xdr:colOff>
      <xdr:row>5</xdr:row>
      <xdr:rowOff>3808</xdr:rowOff>
    </xdr:to>
    <xdr:sp macro="" textlink="" fLocksText="0">
      <xdr:nvSpPr>
        <xdr:cNvPr id="3" name="TextBox 2">
          <a:extLst>
            <a:ext uri="{FF2B5EF4-FFF2-40B4-BE49-F238E27FC236}">
              <a16:creationId xmlns:a16="http://schemas.microsoft.com/office/drawing/2014/main" id="{79E84D67-6F20-4425-AC85-9F12DF405BDF}"/>
            </a:ext>
          </a:extLst>
        </xdr:cNvPr>
        <xdr:cNvSpPr txBox="1"/>
      </xdr:nvSpPr>
      <xdr:spPr>
        <a:xfrm>
          <a:off x="9591675" y="876300"/>
          <a:ext cx="7560000" cy="1223008"/>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228599</xdr:colOff>
      <xdr:row>3</xdr:row>
      <xdr:rowOff>226695</xdr:rowOff>
    </xdr:from>
    <xdr:to>
      <xdr:col>4</xdr:col>
      <xdr:colOff>3564989</xdr:colOff>
      <xdr:row>7</xdr:row>
      <xdr:rowOff>0</xdr:rowOff>
    </xdr:to>
    <xdr:sp macro="" textlink="">
      <xdr:nvSpPr>
        <xdr:cNvPr id="5" name="TextBox 1">
          <a:extLst>
            <a:ext uri="{FF2B5EF4-FFF2-40B4-BE49-F238E27FC236}">
              <a16:creationId xmlns:a16="http://schemas.microsoft.com/office/drawing/2014/main" id="{F4EDC820-8EF1-4709-8940-3684D3EEE8FA}"/>
            </a:ext>
          </a:extLst>
        </xdr:cNvPr>
        <xdr:cNvSpPr txBox="1"/>
      </xdr:nvSpPr>
      <xdr:spPr>
        <a:xfrm>
          <a:off x="228599" y="855345"/>
          <a:ext cx="9527640" cy="153543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land investigations and contaminated areas. For land investigation, the User can enter an area or the dimensions of the area. </a:t>
          </a:r>
        </a:p>
        <a:p>
          <a:r>
            <a:rPr lang="en-AU" sz="1100">
              <a:solidFill>
                <a:sysClr val="windowText" lastClr="000000"/>
              </a:solidFill>
              <a:latin typeface="Arial" panose="020B0604020202020204" pitchFamily="34" charset="0"/>
              <a:cs typeface="Arial" panose="020B0604020202020204" pitchFamily="34" charset="0"/>
            </a:rPr>
            <a:t>Land investigations are included in camps and process equipment and are not required to be entered here.</a:t>
          </a:r>
        </a:p>
      </xdr:txBody>
    </xdr:sp>
    <xdr:clientData/>
  </xdr:twoCellAnchor>
  <xdr:twoCellAnchor>
    <xdr:from>
      <xdr:col>4</xdr:col>
      <xdr:colOff>3564254</xdr:colOff>
      <xdr:row>3</xdr:row>
      <xdr:rowOff>226695</xdr:rowOff>
    </xdr:from>
    <xdr:to>
      <xdr:col>9</xdr:col>
      <xdr:colOff>1058234</xdr:colOff>
      <xdr:row>7</xdr:row>
      <xdr:rowOff>0</xdr:rowOff>
    </xdr:to>
    <xdr:sp macro="" textlink="" fLocksText="0">
      <xdr:nvSpPr>
        <xdr:cNvPr id="3" name="TextBox 2">
          <a:extLst>
            <a:ext uri="{FF2B5EF4-FFF2-40B4-BE49-F238E27FC236}">
              <a16:creationId xmlns:a16="http://schemas.microsoft.com/office/drawing/2014/main" id="{BFAC9321-9025-4994-97DC-AB2DEC09FA07}"/>
            </a:ext>
          </a:extLst>
        </xdr:cNvPr>
        <xdr:cNvSpPr txBox="1"/>
      </xdr:nvSpPr>
      <xdr:spPr>
        <a:xfrm>
          <a:off x="9755504" y="855345"/>
          <a:ext cx="7819080" cy="153543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1</xdr:rowOff>
    </xdr:from>
    <xdr:to>
      <xdr:col>6</xdr:col>
      <xdr:colOff>787500</xdr:colOff>
      <xdr:row>5</xdr:row>
      <xdr:rowOff>22726</xdr:rowOff>
    </xdr:to>
    <xdr:sp macro="" textlink="">
      <xdr:nvSpPr>
        <xdr:cNvPr id="5" name="TextBox 1">
          <a:extLst>
            <a:ext uri="{FF2B5EF4-FFF2-40B4-BE49-F238E27FC236}">
              <a16:creationId xmlns:a16="http://schemas.microsoft.com/office/drawing/2014/main" id="{9E895E12-BD40-40EB-AD89-D4C113A1F8CF}"/>
            </a:ext>
          </a:extLst>
        </xdr:cNvPr>
        <xdr:cNvSpPr txBox="1"/>
      </xdr:nvSpPr>
      <xdr:spPr>
        <a:xfrm>
          <a:off x="228600" y="876301"/>
          <a:ext cx="9360000" cy="108000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Use for areas not captured in other input sheets. </a:t>
          </a: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786764</xdr:colOff>
      <xdr:row>4</xdr:row>
      <xdr:rowOff>1</xdr:rowOff>
    </xdr:from>
    <xdr:to>
      <xdr:col>12</xdr:col>
      <xdr:colOff>860114</xdr:colOff>
      <xdr:row>5</xdr:row>
      <xdr:rowOff>22726</xdr:rowOff>
    </xdr:to>
    <xdr:sp macro="" textlink="" fLocksText="0">
      <xdr:nvSpPr>
        <xdr:cNvPr id="3" name="TextBox 2">
          <a:extLst>
            <a:ext uri="{FF2B5EF4-FFF2-40B4-BE49-F238E27FC236}">
              <a16:creationId xmlns:a16="http://schemas.microsoft.com/office/drawing/2014/main" id="{27802415-12FB-494D-9C9C-1A96ED89A5C3}"/>
            </a:ext>
          </a:extLst>
        </xdr:cNvPr>
        <xdr:cNvSpPr txBox="1"/>
      </xdr:nvSpPr>
      <xdr:spPr>
        <a:xfrm>
          <a:off x="9587864" y="876301"/>
          <a:ext cx="7941000" cy="108000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9314</xdr:colOff>
      <xdr:row>44</xdr:row>
      <xdr:rowOff>47413</xdr:rowOff>
    </xdr:from>
    <xdr:to>
      <xdr:col>2</xdr:col>
      <xdr:colOff>9525</xdr:colOff>
      <xdr:row>58</xdr:row>
      <xdr:rowOff>45507</xdr:rowOff>
    </xdr:to>
    <xdr:sp macro="" textlink="">
      <xdr:nvSpPr>
        <xdr:cNvPr id="2" name="TextBox 1">
          <a:extLst>
            <a:ext uri="{FF2B5EF4-FFF2-40B4-BE49-F238E27FC236}">
              <a16:creationId xmlns:a16="http://schemas.microsoft.com/office/drawing/2014/main" id="{6BE35F9F-7043-4631-8921-61E9FAE35C1E}"/>
            </a:ext>
          </a:extLst>
        </xdr:cNvPr>
        <xdr:cNvSpPr txBox="1"/>
      </xdr:nvSpPr>
      <xdr:spPr>
        <a:xfrm>
          <a:off x="247439" y="10067713"/>
          <a:ext cx="6162886" cy="2665094"/>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baseline="0">
              <a:solidFill>
                <a:sysClr val="windowText" lastClr="000000"/>
              </a:solidFill>
            </a:rPr>
            <a:t>Enter quantities in the green cells. If alternate rates are justified enter to the yellow cells and provide justification in the Table of Values. </a:t>
          </a:r>
        </a:p>
        <a:p>
          <a:endParaRPr lang="en-AU" sz="1100" b="0" baseline="0">
            <a:solidFill>
              <a:sysClr val="windowText" lastClr="000000"/>
            </a:solidFill>
          </a:endParaRPr>
        </a:p>
        <a:p>
          <a:r>
            <a:rPr lang="en-AU" sz="1100" b="0" baseline="0">
              <a:solidFill>
                <a:sysClr val="windowText" lastClr="000000"/>
              </a:solidFill>
            </a:rPr>
            <a:t>Quantities only need to be entered in one table (e.g. if using rolled-up rates for roads, the same road quantities do not need to be entered to the User Quantities table.  If a quantity based table. e.g. number of dams is used, the user does not have to enter the area in the area-based table).</a:t>
          </a:r>
        </a:p>
        <a:p>
          <a:endParaRPr lang="en-AU" sz="1100" b="0" baseline="0">
            <a:solidFill>
              <a:sysClr val="windowText" lastClr="000000"/>
            </a:solidFill>
          </a:endParaRPr>
        </a:p>
        <a:p>
          <a:r>
            <a:rPr lang="en-AU" sz="1100" b="0" baseline="0">
              <a:solidFill>
                <a:sysClr val="windowText" lastClr="000000"/>
              </a:solidFill>
            </a:rPr>
            <a:t>For concrete pad removal, this is miscellaneous only.  Concrete pads associated with buildings are included in the buildings rate.</a:t>
          </a:r>
        </a:p>
        <a:p>
          <a:endParaRPr lang="en-AU" sz="1100" b="0" baseline="0">
            <a:solidFill>
              <a:sysClr val="windowText" lastClr="000000"/>
            </a:solidFill>
          </a:endParaRPr>
        </a:p>
        <a:p>
          <a:r>
            <a:rPr lang="en-AU" sz="1100" b="0" baseline="0">
              <a:solidFill>
                <a:sysClr val="windowText" lastClr="000000"/>
              </a:solidFill>
            </a:rPr>
            <a:t>In general, the TOV sheet has spaces for justification of Alternate and User entered items. Where there is not a space (e.g. land amendment in waste structures), the User must provide a justification either within this Information sheet or separate to the workbook.</a:t>
          </a:r>
        </a:p>
      </xdr:txBody>
    </xdr:sp>
    <xdr:clientData/>
  </xdr:twoCellAnchor>
  <xdr:twoCellAnchor>
    <xdr:from>
      <xdr:col>1</xdr:col>
      <xdr:colOff>31749</xdr:colOff>
      <xdr:row>58</xdr:row>
      <xdr:rowOff>113452</xdr:rowOff>
    </xdr:from>
    <xdr:to>
      <xdr:col>2</xdr:col>
      <xdr:colOff>13544</xdr:colOff>
      <xdr:row>78</xdr:row>
      <xdr:rowOff>36618</xdr:rowOff>
    </xdr:to>
    <xdr:sp macro="" textlink="">
      <xdr:nvSpPr>
        <xdr:cNvPr id="3" name="TextBox 2">
          <a:extLst>
            <a:ext uri="{FF2B5EF4-FFF2-40B4-BE49-F238E27FC236}">
              <a16:creationId xmlns:a16="http://schemas.microsoft.com/office/drawing/2014/main" id="{CCB7C81D-7649-4565-B9BA-E503F5B8AA13}"/>
            </a:ext>
          </a:extLst>
        </xdr:cNvPr>
        <xdr:cNvSpPr txBox="1"/>
      </xdr:nvSpPr>
      <xdr:spPr>
        <a:xfrm>
          <a:off x="370416" y="13543702"/>
          <a:ext cx="6024878" cy="3140499"/>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b="0" baseline="0">
            <a:solidFill>
              <a:sysClr val="windowText" lastClr="000000"/>
            </a:solidFill>
          </a:endParaRPr>
        </a:p>
        <a:p>
          <a:r>
            <a:rPr lang="en-AU" sz="1100" b="0" baseline="0">
              <a:solidFill>
                <a:sysClr val="windowText" lastClr="000000"/>
              </a:solidFill>
            </a:rPr>
            <a:t>Numerical assumptions are shown in the Assumptions sheet.</a:t>
          </a:r>
        </a:p>
        <a:p>
          <a:endParaRPr lang="en-AU" sz="1100" b="0" baseline="0">
            <a:solidFill>
              <a:sysClr val="windowText" lastClr="000000"/>
            </a:solidFill>
          </a:endParaRPr>
        </a:p>
        <a:p>
          <a:r>
            <a:rPr lang="en-AU" sz="1100" b="0" baseline="0">
              <a:solidFill>
                <a:sysClr val="windowText" lastClr="000000"/>
              </a:solidFill>
            </a:rPr>
            <a:t>The rates generally include activities reasonably anticipated to be required to rehabilitate items. Specifically, decommissioning, demolition, removal, disposal / storage, rehabilitation of land ("grade and seed") are included.</a:t>
          </a:r>
        </a:p>
        <a:p>
          <a:endParaRPr lang="en-AU" sz="1100" b="0" baseline="0">
            <a:solidFill>
              <a:sysClr val="windowText" lastClr="000000"/>
            </a:solidFill>
          </a:endParaRPr>
        </a:p>
        <a:p>
          <a:r>
            <a:rPr lang="en-AU" sz="1100" b="0" baseline="0">
              <a:solidFill>
                <a:sysClr val="windowText" lastClr="000000"/>
              </a:solidFill>
            </a:rPr>
            <a:t>User tables allow entry of site-specific quantities and adding on of non-standard items such as long distance haul of growth media and amendment to soil. In general, the intent is the default rates will cover most scenarios and the User build-up should only be necessary if there is a clear requirement.  For example, it is known that highly sodic soil will require amendment with a higher gypsum application rate or growth media will require carting from more than 10 km.</a:t>
          </a:r>
        </a:p>
        <a:p>
          <a:endParaRPr lang="en-AU" sz="1100" b="0" baseline="0">
            <a:solidFill>
              <a:sysClr val="windowText" lastClr="000000"/>
            </a:solidFill>
          </a:endParaRPr>
        </a:p>
        <a:p>
          <a:r>
            <a:rPr lang="en-AU" sz="1100" b="0" baseline="0">
              <a:solidFill>
                <a:sysClr val="windowText" lastClr="000000"/>
              </a:solidFill>
            </a:rPr>
            <a:t>Rates in arid environments do not include growth media and seeding. Arid environments are desert whereby vegetation is absent (e.g. the Cooper Basin in South West Queensland).</a:t>
          </a:r>
        </a:p>
        <a:p>
          <a:endParaRPr lang="en-AU" sz="1100" b="0" baseline="0">
            <a:solidFill>
              <a:sysClr val="windowText" lastClr="000000"/>
            </a:solidFill>
          </a:endParaRPr>
        </a:p>
        <a:p>
          <a:r>
            <a:rPr lang="en-AU" sz="1100" b="0" baseline="0">
              <a:solidFill>
                <a:sysClr val="windowText" lastClr="000000"/>
              </a:solidFill>
            </a:rPr>
            <a:t>Click in title cells for tips on specific use.</a:t>
          </a:r>
        </a:p>
        <a:p>
          <a:endParaRPr lang="en-AU" sz="1100" b="0" baseline="0">
            <a:solidFill>
              <a:sysClr val="windowText" lastClr="000000"/>
            </a:solidFill>
          </a:endParaRPr>
        </a:p>
        <a:p>
          <a:r>
            <a:rPr lang="en-AU" sz="1100" b="0" baseline="0">
              <a:solidFill>
                <a:sysClr val="windowText" lastClr="000000"/>
              </a:solidFill>
            </a:rPr>
            <a:t>When entering text (e.g. in User Notes to the right), it is recommended to add a blank row at the beginning and end of the text to ensure text displays correctly. Use Alt Enter to add blank rows.</a:t>
          </a:r>
        </a:p>
        <a:p>
          <a:endParaRPr lang="en-AU" sz="1100" b="0" baseline="0">
            <a:solidFill>
              <a:sysClr val="windowText" lastClr="000000"/>
            </a:solidFill>
          </a:endParaRPr>
        </a:p>
        <a:p>
          <a:endParaRPr lang="en-AU" sz="1100" b="0" baseline="0">
            <a:solidFill>
              <a:sysClr val="windowText" lastClr="000000"/>
            </a:solidFill>
          </a:endParaRPr>
        </a:p>
        <a:p>
          <a:endParaRPr lang="en-AU" sz="1100" b="0" baseline="0">
            <a:solidFill>
              <a:sysClr val="windowText" lastClr="000000"/>
            </a:solidFill>
          </a:endParaRPr>
        </a:p>
        <a:p>
          <a:r>
            <a:rPr lang="en-AU" sz="1100" b="0" baseline="0">
              <a:solidFill>
                <a:sysClr val="windowText" lastClr="000000"/>
              </a:solidFill>
            </a:rPr>
            <a:t>Quantities only need to be entered in one table (e.g. if using rolled-up rates for roads, the same road quantities do not need to be entered to the User Quantities table.  If a quantity based table. e.g. number of dams is used, the user does not have to enter the area in the area-based table).</a:t>
          </a:r>
        </a:p>
        <a:p>
          <a:endParaRPr lang="en-AU" sz="1100" b="0" baseline="0">
            <a:solidFill>
              <a:sysClr val="windowText" lastClr="000000"/>
            </a:solidFill>
          </a:endParaRPr>
        </a:p>
        <a:p>
          <a:r>
            <a:rPr lang="en-AU" sz="1100" b="0" baseline="0">
              <a:solidFill>
                <a:sysClr val="windowText" lastClr="000000"/>
              </a:solidFill>
            </a:rPr>
            <a:t>For concrete pad removal, this is miscellaneous only.  Concrete pads associated with buildings are included in the buildings rate.</a:t>
          </a:r>
        </a:p>
        <a:p>
          <a:endParaRPr lang="en-AU" sz="1100" b="0" baseline="0">
            <a:solidFill>
              <a:sysClr val="windowText" lastClr="000000"/>
            </a:solidFill>
          </a:endParaRPr>
        </a:p>
        <a:p>
          <a:r>
            <a:rPr lang="en-AU" sz="1100" b="0" baseline="0">
              <a:solidFill>
                <a:sysClr val="windowText" lastClr="000000"/>
              </a:solidFill>
            </a:rPr>
            <a:t>In general, the TOV sheet has spaces for justification of Alternate and User entered items. Where there is not a space (e.g. land amendment in waste structures), the User must provide a justification either within this Information sheet or separate to the workbook.</a:t>
          </a:r>
        </a:p>
      </xdr:txBody>
    </xdr:sp>
    <xdr:clientData/>
  </xdr:twoCellAnchor>
  <xdr:twoCellAnchor editAs="oneCell">
    <xdr:from>
      <xdr:col>1</xdr:col>
      <xdr:colOff>9525</xdr:colOff>
      <xdr:row>34</xdr:row>
      <xdr:rowOff>95250</xdr:rowOff>
    </xdr:from>
    <xdr:to>
      <xdr:col>1</xdr:col>
      <xdr:colOff>2714359</xdr:colOff>
      <xdr:row>41</xdr:row>
      <xdr:rowOff>164465</xdr:rowOff>
    </xdr:to>
    <xdr:pic>
      <xdr:nvPicPr>
        <xdr:cNvPr id="5" name="Picture 4">
          <a:extLst>
            <a:ext uri="{FF2B5EF4-FFF2-40B4-BE49-F238E27FC236}">
              <a16:creationId xmlns:a16="http://schemas.microsoft.com/office/drawing/2014/main" id="{84C725D0-3791-4A96-B382-A307E88CC28B}"/>
            </a:ext>
          </a:extLst>
        </xdr:cNvPr>
        <xdr:cNvPicPr>
          <a:picLocks noChangeAspect="1"/>
        </xdr:cNvPicPr>
      </xdr:nvPicPr>
      <xdr:blipFill>
        <a:blip xmlns:r="http://schemas.openxmlformats.org/officeDocument/2006/relationships" r:embed="rId1"/>
        <a:stretch>
          <a:fillRect/>
        </a:stretch>
      </xdr:blipFill>
      <xdr:spPr>
        <a:xfrm>
          <a:off x="238125" y="7829550"/>
          <a:ext cx="2699754" cy="1676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978000</xdr:colOff>
      <xdr:row>5</xdr:row>
      <xdr:rowOff>1</xdr:rowOff>
    </xdr:to>
    <xdr:sp macro="" textlink="">
      <xdr:nvSpPr>
        <xdr:cNvPr id="2" name="TextBox 1">
          <a:extLst>
            <a:ext uri="{FF2B5EF4-FFF2-40B4-BE49-F238E27FC236}">
              <a16:creationId xmlns:a16="http://schemas.microsoft.com/office/drawing/2014/main" id="{AD52F83F-EE17-4FCC-BC94-583C7EF2E78F}"/>
            </a:ext>
          </a:extLst>
        </xdr:cNvPr>
        <xdr:cNvSpPr txBox="1"/>
      </xdr:nvSpPr>
      <xdr:spPr>
        <a:xfrm>
          <a:off x="228600" y="1101090"/>
          <a:ext cx="9360000" cy="2527936"/>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Enter quantities for mobilisation and demobilisation and additional items not included in the other input sheets.</a:t>
          </a:r>
        </a:p>
        <a:p>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Mobilisation does not include any costs for marine transport (e.g. barge). A third-party quote must be provided if marine transport is required.</a:t>
          </a:r>
        </a:p>
        <a:p>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For small projects where the total ERC is &lt; $1,000,000, the User may chose to enter to the last row in the Mobilisation section of the Summary tab and omit mobilisation entries in the sheet.</a:t>
          </a:r>
        </a:p>
        <a:p>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This is to cover the cost of the contractor/s mobilising / demobilising suitable plant and equipment. </a:t>
          </a:r>
        </a:p>
        <a:p>
          <a:r>
            <a:rPr lang="en-AU" sz="1100" b="0" baseline="0">
              <a:solidFill>
                <a:sysClr val="windowText" lastClr="000000"/>
              </a:solidFill>
              <a:latin typeface="Arial" panose="020B0604020202020204" pitchFamily="34" charset="0"/>
              <a:cs typeface="Arial" panose="020B0604020202020204" pitchFamily="34" charset="0"/>
            </a:rPr>
            <a:t>Apply one item per calculator unless there are multiple sites where it is clear separate mobilisations will be required.</a:t>
          </a:r>
        </a:p>
        <a:p>
          <a:endParaRPr lang="en-AU" sz="1100" b="0" baseline="0">
            <a:solidFill>
              <a:sysClr val="windowText" lastClr="000000"/>
            </a:solidFill>
            <a:latin typeface="Arial" panose="020B0604020202020204" pitchFamily="34" charset="0"/>
            <a:cs typeface="Arial" panose="020B0604020202020204" pitchFamily="34" charset="0"/>
          </a:endParaRP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979170</xdr:colOff>
      <xdr:row>4</xdr:row>
      <xdr:rowOff>0</xdr:rowOff>
    </xdr:from>
    <xdr:to>
      <xdr:col>8</xdr:col>
      <xdr:colOff>4797750</xdr:colOff>
      <xdr:row>5</xdr:row>
      <xdr:rowOff>1904</xdr:rowOff>
    </xdr:to>
    <xdr:sp macro="" textlink="" fLocksText="0">
      <xdr:nvSpPr>
        <xdr:cNvPr id="3" name="TextBox 2">
          <a:extLst>
            <a:ext uri="{FF2B5EF4-FFF2-40B4-BE49-F238E27FC236}">
              <a16:creationId xmlns:a16="http://schemas.microsoft.com/office/drawing/2014/main" id="{056795CC-F62C-4C5F-B51B-2CEEFF0DD2AC}"/>
            </a:ext>
          </a:extLst>
        </xdr:cNvPr>
        <xdr:cNvSpPr txBox="1"/>
      </xdr:nvSpPr>
      <xdr:spPr>
        <a:xfrm>
          <a:off x="9589770" y="1104899"/>
          <a:ext cx="7561905" cy="187833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226695</xdr:colOff>
      <xdr:row>3</xdr:row>
      <xdr:rowOff>0</xdr:rowOff>
    </xdr:from>
    <xdr:to>
      <xdr:col>8</xdr:col>
      <xdr:colOff>361950</xdr:colOff>
      <xdr:row>4</xdr:row>
      <xdr:rowOff>66675</xdr:rowOff>
    </xdr:to>
    <xdr:sp macro="" textlink="">
      <xdr:nvSpPr>
        <xdr:cNvPr id="3" name="TextBox 2">
          <a:extLst>
            <a:ext uri="{FF2B5EF4-FFF2-40B4-BE49-F238E27FC236}">
              <a16:creationId xmlns:a16="http://schemas.microsoft.com/office/drawing/2014/main" id="{B9BAEAF9-DEBD-46FB-8F17-32D690DE2B34}"/>
            </a:ext>
          </a:extLst>
        </xdr:cNvPr>
        <xdr:cNvSpPr txBox="1"/>
      </xdr:nvSpPr>
      <xdr:spPr>
        <a:xfrm>
          <a:off x="226695" y="638175"/>
          <a:ext cx="7098030" cy="1323975"/>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ysClr val="windowText" lastClr="000000"/>
              </a:solidFill>
              <a:latin typeface="Arial" panose="020B0604020202020204" pitchFamily="34" charset="0"/>
              <a:cs typeface="Arial" panose="020B0604020202020204" pitchFamily="34" charset="0"/>
            </a:rPr>
            <a:t>Information only, no user inputs are required. </a:t>
          </a:r>
          <a:r>
            <a:rPr lang="en-AU" sz="1100" b="0" baseline="0">
              <a:solidFill>
                <a:schemeClr val="dk1"/>
              </a:solidFill>
              <a:effectLst/>
              <a:latin typeface="Arial" panose="020B0604020202020204" pitchFamily="34" charset="0"/>
              <a:ea typeface="+mn-ea"/>
              <a:cs typeface="Arial" panose="020B0604020202020204" pitchFamily="34" charset="0"/>
            </a:rPr>
            <a:t>This sheet is for the User to enter Disturbance quantities. The values entered here are </a:t>
          </a:r>
          <a:r>
            <a:rPr lang="en-AU" sz="1100" b="0" u="sng" baseline="0">
              <a:solidFill>
                <a:schemeClr val="dk1"/>
              </a:solidFill>
              <a:effectLst/>
              <a:latin typeface="Arial" panose="020B0604020202020204" pitchFamily="34" charset="0"/>
              <a:ea typeface="+mn-ea"/>
              <a:cs typeface="Arial" panose="020B0604020202020204" pitchFamily="34" charset="0"/>
            </a:rPr>
            <a:t>not</a:t>
          </a:r>
          <a:r>
            <a:rPr lang="en-AU" sz="1100" b="0" baseline="0">
              <a:solidFill>
                <a:schemeClr val="dk1"/>
              </a:solidFill>
              <a:effectLst/>
              <a:latin typeface="Arial" panose="020B0604020202020204" pitchFamily="34" charset="0"/>
              <a:ea typeface="+mn-ea"/>
              <a:cs typeface="Arial" panose="020B0604020202020204" pitchFamily="34" charset="0"/>
            </a:rPr>
            <a:t> linked through the workbook.</a:t>
          </a:r>
          <a:endParaRPr lang="en-AU">
            <a:effectLst/>
            <a:latin typeface="Arial" panose="020B0604020202020204" pitchFamily="34" charset="0"/>
            <a:cs typeface="Arial" panose="020B0604020202020204" pitchFamily="34" charset="0"/>
          </a:endParaRP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365759</xdr:colOff>
      <xdr:row>3</xdr:row>
      <xdr:rowOff>0</xdr:rowOff>
    </xdr:from>
    <xdr:to>
      <xdr:col>21</xdr:col>
      <xdr:colOff>22859</xdr:colOff>
      <xdr:row>4</xdr:row>
      <xdr:rowOff>62866</xdr:rowOff>
    </xdr:to>
    <xdr:sp macro="" textlink="" fLocksText="0">
      <xdr:nvSpPr>
        <xdr:cNvPr id="4" name="TextBox 3">
          <a:extLst>
            <a:ext uri="{FF2B5EF4-FFF2-40B4-BE49-F238E27FC236}">
              <a16:creationId xmlns:a16="http://schemas.microsoft.com/office/drawing/2014/main" id="{87340964-E063-40D0-ADE8-D9BFA8A75769}"/>
            </a:ext>
          </a:extLst>
        </xdr:cNvPr>
        <xdr:cNvSpPr txBox="1"/>
      </xdr:nvSpPr>
      <xdr:spPr>
        <a:xfrm>
          <a:off x="7519034" y="628650"/>
          <a:ext cx="9934575" cy="1329691"/>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224790</xdr:colOff>
      <xdr:row>2</xdr:row>
      <xdr:rowOff>228599</xdr:rowOff>
    </xdr:from>
    <xdr:to>
      <xdr:col>4</xdr:col>
      <xdr:colOff>1238250</xdr:colOff>
      <xdr:row>4</xdr:row>
      <xdr:rowOff>22724</xdr:rowOff>
    </xdr:to>
    <xdr:sp macro="" textlink="">
      <xdr:nvSpPr>
        <xdr:cNvPr id="2" name="TextBox 1">
          <a:extLst>
            <a:ext uri="{FF2B5EF4-FFF2-40B4-BE49-F238E27FC236}">
              <a16:creationId xmlns:a16="http://schemas.microsoft.com/office/drawing/2014/main" id="{A2168F73-9C47-4861-9645-1275289718B2}"/>
            </a:ext>
          </a:extLst>
        </xdr:cNvPr>
        <xdr:cNvSpPr txBox="1"/>
      </xdr:nvSpPr>
      <xdr:spPr>
        <a:xfrm>
          <a:off x="224790" y="647699"/>
          <a:ext cx="7557135" cy="108000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Information only, no user inputs are required. This sheet summarises quantities entered throughout the calculator and can serve as a ready reference to ensure quantities are as the User intended.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xdr:colOff>
      <xdr:row>1</xdr:row>
      <xdr:rowOff>219075</xdr:rowOff>
    </xdr:from>
    <xdr:to>
      <xdr:col>8</xdr:col>
      <xdr:colOff>1</xdr:colOff>
      <xdr:row>2</xdr:row>
      <xdr:rowOff>1171575</xdr:rowOff>
    </xdr:to>
    <xdr:sp macro="" textlink="">
      <xdr:nvSpPr>
        <xdr:cNvPr id="2" name="TextBox 1">
          <a:extLst>
            <a:ext uri="{FF2B5EF4-FFF2-40B4-BE49-F238E27FC236}">
              <a16:creationId xmlns:a16="http://schemas.microsoft.com/office/drawing/2014/main" id="{91ADFAB2-047D-4F3C-9332-77D59A34C7BE}"/>
            </a:ext>
          </a:extLst>
        </xdr:cNvPr>
        <xdr:cNvSpPr txBox="1"/>
      </xdr:nvSpPr>
      <xdr:spPr>
        <a:xfrm>
          <a:off x="228601" y="409575"/>
          <a:ext cx="9820275" cy="118110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Information only, no user inputs are required. </a:t>
          </a:r>
        </a:p>
        <a:p>
          <a:r>
            <a:rPr lang="en-AU" sz="1100" b="0" baseline="0">
              <a:solidFill>
                <a:sysClr val="windowText" lastClr="000000"/>
              </a:solidFill>
              <a:latin typeface="Arial" panose="020B0604020202020204" pitchFamily="34" charset="0"/>
              <a:cs typeface="Arial" panose="020B0604020202020204" pitchFamily="34" charset="0"/>
            </a:rPr>
            <a:t>This sheet reports the quantities of waste that are subject to a waste levy. The User selects whether the waste levy applies in Registration. The Waste Register multiplies the user-entered (in the Input Sheets) quantities of each element (e.g. camp) by the specific mass of waste for that element.  For example X tonnes of concrete per camp is multiplied by the number of camps to get the total concrete for that line to which the waste levy applies. The total waste (e.g. mass of concrete) is reported to the Investigation / Contamination sheet where it is multiplied by the appropriate levy to get the total levy amount.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11430</xdr:rowOff>
    </xdr:from>
    <xdr:to>
      <xdr:col>9</xdr:col>
      <xdr:colOff>0</xdr:colOff>
      <xdr:row>4</xdr:row>
      <xdr:rowOff>0</xdr:rowOff>
    </xdr:to>
    <xdr:sp macro="" textlink="">
      <xdr:nvSpPr>
        <xdr:cNvPr id="2" name="TextBox 1">
          <a:extLst>
            <a:ext uri="{FF2B5EF4-FFF2-40B4-BE49-F238E27FC236}">
              <a16:creationId xmlns:a16="http://schemas.microsoft.com/office/drawing/2014/main" id="{F2BD6A61-A4FE-4D3C-ACB3-53B740748D6F}"/>
            </a:ext>
          </a:extLst>
        </xdr:cNvPr>
        <xdr:cNvSpPr txBox="1"/>
      </xdr:nvSpPr>
      <xdr:spPr>
        <a:xfrm>
          <a:off x="228600" y="430530"/>
          <a:ext cx="9829800" cy="1836420"/>
        </a:xfrm>
        <a:prstGeom prst="rect">
          <a:avLst/>
        </a:prstGeom>
        <a:solidFill>
          <a:schemeClr val="bg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This sheet provides the User and the Department with an easy reference for details within the Waste Rock Dump, Heap Leach Pads, and Tailings Storage Facilities input sheets. A capping alert will be shown when:</a:t>
          </a:r>
        </a:p>
        <a:p>
          <a:r>
            <a:rPr lang="en-AU" sz="1100" b="0" baseline="0">
              <a:solidFill>
                <a:sysClr val="windowText" lastClr="000000"/>
              </a:solidFill>
              <a:latin typeface="Arial" panose="020B0604020202020204" pitchFamily="34" charset="0"/>
              <a:cs typeface="Arial" panose="020B0604020202020204" pitchFamily="34" charset="0"/>
            </a:rPr>
            <a:t>- Values less than the minimum anticipated capping layer thicknesses are entered.</a:t>
          </a:r>
        </a:p>
        <a:p>
          <a:r>
            <a:rPr lang="en-AU" sz="1100" b="0" baseline="0">
              <a:solidFill>
                <a:sysClr val="windowText" lastClr="000000"/>
              </a:solidFill>
              <a:latin typeface="Arial" panose="020B0604020202020204" pitchFamily="34" charset="0"/>
              <a:cs typeface="Arial" panose="020B0604020202020204" pitchFamily="34" charset="0"/>
            </a:rPr>
            <a:t>- If an alternate Engineering cost is entered.</a:t>
          </a:r>
        </a:p>
        <a:p>
          <a:r>
            <a:rPr lang="en-AU" sz="1100" b="0" baseline="0">
              <a:solidFill>
                <a:sysClr val="windowText" lastClr="000000"/>
              </a:solidFill>
              <a:latin typeface="Arial" panose="020B0604020202020204" pitchFamily="34" charset="0"/>
              <a:cs typeface="Arial" panose="020B0604020202020204" pitchFamily="34" charset="0"/>
            </a:rPr>
            <a:t>- If a dozer not compatible with the dozer push length is entered. Smaller dozers are incapable of pushing longer distances and therefore there is not a rate associated with some distances for some dozers. If a user selects an incompatible dozer an error "E" will be reported in the associated rate. The User must select a larger dozer or reduce the push length.</a:t>
          </a:r>
        </a:p>
        <a:p>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If a User enters a value not anticipated by the Department (see details to the right), they must provide a brief justification in this Sheet.</a:t>
          </a: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28575</xdr:colOff>
      <xdr:row>2</xdr:row>
      <xdr:rowOff>967740</xdr:rowOff>
    </xdr:to>
    <xdr:sp macro="" textlink="">
      <xdr:nvSpPr>
        <xdr:cNvPr id="2" name="TextBox 1">
          <a:extLst>
            <a:ext uri="{FF2B5EF4-FFF2-40B4-BE49-F238E27FC236}">
              <a16:creationId xmlns:a16="http://schemas.microsoft.com/office/drawing/2014/main" id="{DFA79BF8-A613-4113-B10D-548571273D27}"/>
            </a:ext>
          </a:extLst>
        </xdr:cNvPr>
        <xdr:cNvSpPr txBox="1"/>
      </xdr:nvSpPr>
      <xdr:spPr>
        <a:xfrm>
          <a:off x="238125" y="419100"/>
          <a:ext cx="11496675" cy="96774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Information only, no user inputs are required. The User cannot change these rates.</a:t>
          </a:r>
          <a:br>
            <a:rPr lang="en-AU" sz="1100" b="0" baseline="0">
              <a:solidFill>
                <a:sysClr val="windowText" lastClr="000000"/>
              </a:solidFill>
              <a:latin typeface="Arial" panose="020B0604020202020204" pitchFamily="34" charset="0"/>
              <a:cs typeface="Arial" panose="020B0604020202020204" pitchFamily="34" charset="0"/>
            </a:rPr>
          </a:br>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Contains the rates used to build the TOV values. Includes the unit prices for earthmoving (e.g. cost per cubic metre to push soil 20 m using a D8 dozer), land amendments purchase price (e.g. gypsum) and gate fees and levy for waste.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3</xdr:row>
      <xdr:rowOff>0</xdr:rowOff>
    </xdr:from>
    <xdr:to>
      <xdr:col>6</xdr:col>
      <xdr:colOff>714375</xdr:colOff>
      <xdr:row>3</xdr:row>
      <xdr:rowOff>1154430</xdr:rowOff>
    </xdr:to>
    <xdr:sp macro="" textlink="">
      <xdr:nvSpPr>
        <xdr:cNvPr id="2" name="TextBox 1">
          <a:extLst>
            <a:ext uri="{FF2B5EF4-FFF2-40B4-BE49-F238E27FC236}">
              <a16:creationId xmlns:a16="http://schemas.microsoft.com/office/drawing/2014/main" id="{62EB62A0-0202-4608-A296-95FF65A336F8}"/>
            </a:ext>
          </a:extLst>
        </xdr:cNvPr>
        <xdr:cNvSpPr txBox="1"/>
      </xdr:nvSpPr>
      <xdr:spPr>
        <a:xfrm>
          <a:off x="228601" y="514350"/>
          <a:ext cx="8420099" cy="115443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Lists the Default rates used in the Calculator. The calculations and rolled-up (default) rates are designed as far as practical so that the User does not have to enter quantities more than once for the same element. For example, if a rolled camp rate is selected the assumption is all reasonably elements associated with a camp are included in that rate.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228599</xdr:colOff>
      <xdr:row>2</xdr:row>
      <xdr:rowOff>224789</xdr:rowOff>
    </xdr:from>
    <xdr:to>
      <xdr:col>6</xdr:col>
      <xdr:colOff>663674</xdr:colOff>
      <xdr:row>4</xdr:row>
      <xdr:rowOff>400050</xdr:rowOff>
    </xdr:to>
    <xdr:sp macro="" textlink="">
      <xdr:nvSpPr>
        <xdr:cNvPr id="2" name="TextBox 1">
          <a:extLst>
            <a:ext uri="{FF2B5EF4-FFF2-40B4-BE49-F238E27FC236}">
              <a16:creationId xmlns:a16="http://schemas.microsoft.com/office/drawing/2014/main" id="{E09F9D2F-7A0A-4172-8687-F398F6DAAA5E}"/>
            </a:ext>
          </a:extLst>
        </xdr:cNvPr>
        <xdr:cNvSpPr txBox="1"/>
      </xdr:nvSpPr>
      <xdr:spPr>
        <a:xfrm>
          <a:off x="228599" y="643889"/>
          <a:ext cx="9474300" cy="689611"/>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chemeClr val="dk1"/>
              </a:solidFill>
              <a:effectLst/>
              <a:latin typeface="Arial" panose="020B0604020202020204" pitchFamily="34" charset="0"/>
              <a:ea typeface="+mn-ea"/>
              <a:cs typeface="Arial" panose="020B0604020202020204" pitchFamily="34" charset="0"/>
            </a:rPr>
            <a:t>Summarises the total costs from each Input Sheet and adds the multipliers of project management, maintenance and monitoring, and contingency. </a:t>
          </a:r>
          <a:r>
            <a:rPr lang="en-AU" sz="1100" b="0" baseline="0">
              <a:solidFill>
                <a:sysClr val="windowText" lastClr="000000"/>
              </a:solidFill>
              <a:latin typeface="Arial" panose="020B0604020202020204" pitchFamily="34" charset="0"/>
              <a:cs typeface="Arial" panose="020B0604020202020204" pitchFamily="34" charset="0"/>
            </a:rPr>
            <a:t>The User can change the project management and maintenance and monitoring multipliers in this Sheet. See notes to the right for conditions under which that can occur.</a:t>
          </a: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0</xdr:colOff>
      <xdr:row>126</xdr:row>
      <xdr:rowOff>171449</xdr:rowOff>
    </xdr:from>
    <xdr:to>
      <xdr:col>3</xdr:col>
      <xdr:colOff>0</xdr:colOff>
      <xdr:row>127</xdr:row>
      <xdr:rowOff>847724</xdr:rowOff>
    </xdr:to>
    <xdr:sp macro="" textlink="">
      <xdr:nvSpPr>
        <xdr:cNvPr id="3" name="TextBox 2">
          <a:extLst>
            <a:ext uri="{FF2B5EF4-FFF2-40B4-BE49-F238E27FC236}">
              <a16:creationId xmlns:a16="http://schemas.microsoft.com/office/drawing/2014/main" id="{981A118C-3BC8-490C-ADD1-9492CC38BBF9}"/>
            </a:ext>
          </a:extLst>
        </xdr:cNvPr>
        <xdr:cNvSpPr txBox="1"/>
      </xdr:nvSpPr>
      <xdr:spPr>
        <a:xfrm>
          <a:off x="2028825" y="31603949"/>
          <a:ext cx="5791200" cy="847725"/>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baseline="0">
              <a:solidFill>
                <a:sysClr val="windowText" lastClr="000000"/>
              </a:solidFill>
            </a:rPr>
            <a:t>Notes: </a:t>
          </a:r>
          <a:r>
            <a:rPr lang="en-AU" sz="1100" b="0" baseline="0">
              <a:solidFill>
                <a:sysClr val="windowText" lastClr="000000"/>
              </a:solidFill>
            </a:rPr>
            <a:t>The project management cost reflects the costs to government to project manage, schedule or oversee the required works. The project management multiplier can be changed by the user but comprehensive justification must be provided in the box to the left and supporting information that is likely to include evidence of a third-party calculation.</a:t>
          </a:r>
        </a:p>
      </xdr:txBody>
    </xdr:sp>
    <xdr:clientData/>
  </xdr:twoCellAnchor>
  <xdr:twoCellAnchor>
    <xdr:from>
      <xdr:col>2</xdr:col>
      <xdr:colOff>0</xdr:colOff>
      <xdr:row>130</xdr:row>
      <xdr:rowOff>152400</xdr:rowOff>
    </xdr:from>
    <xdr:to>
      <xdr:col>3</xdr:col>
      <xdr:colOff>0</xdr:colOff>
      <xdr:row>132</xdr:row>
      <xdr:rowOff>0</xdr:rowOff>
    </xdr:to>
    <xdr:sp macro="" textlink="">
      <xdr:nvSpPr>
        <xdr:cNvPr id="4" name="TextBox 3">
          <a:extLst>
            <a:ext uri="{FF2B5EF4-FFF2-40B4-BE49-F238E27FC236}">
              <a16:creationId xmlns:a16="http://schemas.microsoft.com/office/drawing/2014/main" id="{6BD9736D-04FC-40AA-8269-AE6C2E6E9784}"/>
            </a:ext>
          </a:extLst>
        </xdr:cNvPr>
        <xdr:cNvSpPr txBox="1"/>
      </xdr:nvSpPr>
      <xdr:spPr>
        <a:xfrm>
          <a:off x="2028825" y="33166050"/>
          <a:ext cx="5791200" cy="186690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baseline="0">
              <a:solidFill>
                <a:sysClr val="windowText" lastClr="000000"/>
              </a:solidFill>
            </a:rPr>
            <a:t>Notes: </a:t>
          </a:r>
          <a:r>
            <a:rPr lang="en-AU" sz="1100" b="0" baseline="0">
              <a:solidFill>
                <a:sysClr val="windowText" lastClr="000000"/>
              </a:solidFill>
            </a:rPr>
            <a:t>The maintenance and monitoring cost reflects the cost to government to do ongoing maintenance and monitoring required of rehabilitation works. It is recommended that 5% of the total rehabilitation liability be added to account for maintenance and monitoring costs. In some circumstances it may be appropriate to determine actual maintenance and monitoring costs rather than applying 5%. An example is where maintenance and monitoring costs are likely to account for more than 5% of the total rehabilitation liability for the site, for instance where rehabilitation on a site has been substantially completed, but not progressively certified. The project maintenance and monitoring multiplier can be changed by the user but comprehensive justification must be provided in the box to the left and supporting information that is likely to include evidence of a third-party calculation.</a:t>
          </a:r>
        </a:p>
        <a:p>
          <a:endParaRPr lang="en-AU" sz="1100" b="0" baseline="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3807</xdr:colOff>
      <xdr:row>4</xdr:row>
      <xdr:rowOff>1906</xdr:rowOff>
    </xdr:from>
    <xdr:to>
      <xdr:col>4</xdr:col>
      <xdr:colOff>3239232</xdr:colOff>
      <xdr:row>4</xdr:row>
      <xdr:rowOff>1304926</xdr:rowOff>
    </xdr:to>
    <xdr:sp macro="" textlink="">
      <xdr:nvSpPr>
        <xdr:cNvPr id="2" name="TextBox 1">
          <a:extLst>
            <a:ext uri="{FF2B5EF4-FFF2-40B4-BE49-F238E27FC236}">
              <a16:creationId xmlns:a16="http://schemas.microsoft.com/office/drawing/2014/main" id="{EEF743A0-514C-40F5-BABC-D7601B995BF9}"/>
            </a:ext>
          </a:extLst>
        </xdr:cNvPr>
        <xdr:cNvSpPr txBox="1"/>
      </xdr:nvSpPr>
      <xdr:spPr>
        <a:xfrm>
          <a:off x="260982" y="868681"/>
          <a:ext cx="9360000" cy="1303020"/>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b="0" baseline="0">
              <a:solidFill>
                <a:sysClr val="windowText" lastClr="000000"/>
              </a:solidFill>
              <a:latin typeface="Arial" panose="020B0604020202020204" pitchFamily="34" charset="0"/>
              <a:cs typeface="Arial" panose="020B0604020202020204" pitchFamily="34" charset="0"/>
            </a:rPr>
            <a:t>Used to calculate the ERC for an eligible mining activity only. If you are calculating ERC for an EA which was applied for via a variation EA application, you can use this sheet to calculate only the elements of your activity that comply with the standard conditions and eligibility criteria for the mining lease activities. You will then need to use the other relevant sheets to calculate the ERC for the elements of your activity which were the subject of the variation(s). </a:t>
          </a:r>
        </a:p>
        <a:p>
          <a:endParaRPr lang="en-AU" sz="1100" b="0" baseline="0">
            <a:solidFill>
              <a:sysClr val="windowText" lastClr="000000"/>
            </a:solidFill>
            <a:latin typeface="Arial" panose="020B0604020202020204" pitchFamily="34" charset="0"/>
            <a:cs typeface="Arial" panose="020B0604020202020204" pitchFamily="34" charset="0"/>
          </a:endParaRPr>
        </a:p>
        <a:p>
          <a:r>
            <a:rPr lang="en-AU" sz="1100" b="0" baseline="0">
              <a:solidFill>
                <a:sysClr val="windowText" lastClr="000000"/>
              </a:solidFill>
              <a:latin typeface="Arial" panose="020B0604020202020204" pitchFamily="34" charset="0"/>
              <a:cs typeface="Arial" panose="020B0604020202020204" pitchFamily="34" charset="0"/>
            </a:rPr>
            <a:t>The activities shown in this sheet do not include seeding costs. Include costs for the seeding to rates #1.31 and #1.32</a:t>
          </a:r>
        </a:p>
        <a:p>
          <a:endParaRPr lang="en-AU" sz="11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3238500</xdr:colOff>
      <xdr:row>4</xdr:row>
      <xdr:rowOff>0</xdr:rowOff>
    </xdr:from>
    <xdr:to>
      <xdr:col>10</xdr:col>
      <xdr:colOff>959175</xdr:colOff>
      <xdr:row>4</xdr:row>
      <xdr:rowOff>1304924</xdr:rowOff>
    </xdr:to>
    <xdr:sp macro="" textlink="" fLocksText="0">
      <xdr:nvSpPr>
        <xdr:cNvPr id="3" name="TextBox 2">
          <a:extLst>
            <a:ext uri="{FF2B5EF4-FFF2-40B4-BE49-F238E27FC236}">
              <a16:creationId xmlns:a16="http://schemas.microsoft.com/office/drawing/2014/main" id="{345401A5-63C5-4731-AEC5-79370375AD3D}"/>
            </a:ext>
          </a:extLst>
        </xdr:cNvPr>
        <xdr:cNvSpPr txBox="1"/>
      </xdr:nvSpPr>
      <xdr:spPr>
        <a:xfrm>
          <a:off x="9591675" y="876300"/>
          <a:ext cx="7560000" cy="1304924"/>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1902</xdr:colOff>
      <xdr:row>3</xdr:row>
      <xdr:rowOff>228599</xdr:rowOff>
    </xdr:from>
    <xdr:to>
      <xdr:col>5</xdr:col>
      <xdr:colOff>998952</xdr:colOff>
      <xdr:row>4</xdr:row>
      <xdr:rowOff>1141094</xdr:rowOff>
    </xdr:to>
    <xdr:sp macro="" textlink="">
      <xdr:nvSpPr>
        <xdr:cNvPr id="2" name="TextBox 1">
          <a:extLst>
            <a:ext uri="{FF2B5EF4-FFF2-40B4-BE49-F238E27FC236}">
              <a16:creationId xmlns:a16="http://schemas.microsoft.com/office/drawing/2014/main" id="{6EC67CE6-0655-4BB2-BEE4-4A173C065823}"/>
            </a:ext>
          </a:extLst>
        </xdr:cNvPr>
        <xdr:cNvSpPr txBox="1"/>
      </xdr:nvSpPr>
      <xdr:spPr>
        <a:xfrm>
          <a:off x="230502" y="876299"/>
          <a:ext cx="9445725" cy="1141095"/>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exploration activities including seismic corridors, grid-lines, minor tracks, drillholes and small water structures. For seismic, the User may choose to enter the total length of 2D and 3D seismic in one line.</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"Owned by a</a:t>
          </a:r>
          <a:r>
            <a:rPr lang="en-AU" sz="1100" baseline="0">
              <a:solidFill>
                <a:sysClr val="windowText" lastClr="000000"/>
              </a:solidFill>
              <a:latin typeface="Arial" panose="020B0604020202020204" pitchFamily="34" charset="0"/>
              <a:cs typeface="Arial" panose="020B0604020202020204" pitchFamily="34" charset="0"/>
            </a:rPr>
            <a:t> </a:t>
          </a:r>
          <a:r>
            <a:rPr lang="en-AU" sz="1100">
              <a:solidFill>
                <a:sysClr val="windowText" lastClr="000000"/>
              </a:solidFill>
              <a:latin typeface="Arial" panose="020B0604020202020204" pitchFamily="34" charset="0"/>
              <a:cs typeface="Arial" panose="020B0604020202020204" pitchFamily="34" charset="0"/>
            </a:rPr>
            <a:t>third party" means the infrastructure / facility is owned by a third party and they would remove it. The only liability for the EA holder in these cases is the land rehabilitation, only if the individual line length are not known.</a:t>
          </a:r>
        </a:p>
      </xdr:txBody>
    </xdr:sp>
    <xdr:clientData/>
  </xdr:twoCellAnchor>
  <xdr:twoCellAnchor>
    <xdr:from>
      <xdr:col>5</xdr:col>
      <xdr:colOff>1002030</xdr:colOff>
      <xdr:row>4</xdr:row>
      <xdr:rowOff>0</xdr:rowOff>
    </xdr:from>
    <xdr:to>
      <xdr:col>11</xdr:col>
      <xdr:colOff>1075380</xdr:colOff>
      <xdr:row>4</xdr:row>
      <xdr:rowOff>1141095</xdr:rowOff>
    </xdr:to>
    <xdr:sp macro="" textlink="" fLocksText="0">
      <xdr:nvSpPr>
        <xdr:cNvPr id="3" name="TextBox 2">
          <a:extLst>
            <a:ext uri="{FF2B5EF4-FFF2-40B4-BE49-F238E27FC236}">
              <a16:creationId xmlns:a16="http://schemas.microsoft.com/office/drawing/2014/main" id="{F66C44C9-CD85-49A8-B774-D93E736F3463}"/>
            </a:ext>
          </a:extLst>
        </xdr:cNvPr>
        <xdr:cNvSpPr txBox="1"/>
      </xdr:nvSpPr>
      <xdr:spPr>
        <a:xfrm>
          <a:off x="9679305" y="876300"/>
          <a:ext cx="7560000" cy="1141095"/>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228596</xdr:colOff>
      <xdr:row>4</xdr:row>
      <xdr:rowOff>1</xdr:rowOff>
    </xdr:from>
    <xdr:to>
      <xdr:col>6</xdr:col>
      <xdr:colOff>577946</xdr:colOff>
      <xdr:row>5</xdr:row>
      <xdr:rowOff>0</xdr:rowOff>
    </xdr:to>
    <xdr:sp macro="" textlink="">
      <xdr:nvSpPr>
        <xdr:cNvPr id="5" name="TextBox 1">
          <a:extLst>
            <a:ext uri="{FF2B5EF4-FFF2-40B4-BE49-F238E27FC236}">
              <a16:creationId xmlns:a16="http://schemas.microsoft.com/office/drawing/2014/main" id="{84A38B64-905B-477F-A0F6-39F0E305275C}"/>
            </a:ext>
          </a:extLst>
        </xdr:cNvPr>
        <xdr:cNvSpPr txBox="1"/>
      </xdr:nvSpPr>
      <xdr:spPr>
        <a:xfrm>
          <a:off x="228596" y="876301"/>
          <a:ext cx="9455250" cy="2533649"/>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infrastructure including tracks, road, laydown, pipelines, buildings and camps.</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Where practical, tables are included for entries by length (e.g. kilometres of road) and by area (e.g. hectares of road). Tracks and roads: generally assumed that growth media is adjacent to the activity. For rock tracks (includes gravel, waste rock, bitumen), the scope assumes remove rock and haul and dispose in void on-site less than 2 km distant, rip length of road, and salvage growth media adjacent to road. Resurface rates including import of rock from 2 km distant and placement on the surface.</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Camps: scope includes electrical and mechanical disconnection of accommodation, mess, ablution, laundry and recreational modules, transport of modules to a storage location, removal of hardstand and gravel, grading and seeding. All activities reasonably expected to occur at a camp (including minor fuel systems (for light vehicles), sewage plants, irrigation areas) are assumed included in the rate and do not need to be entered as separate items. Transport of modules to storage area and wastes to disposal facilities.</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Earthmoving equipment is small fleet comprising D10 dozer and 14M grader.</a:t>
          </a:r>
        </a:p>
      </xdr:txBody>
    </xdr:sp>
    <xdr:clientData/>
  </xdr:twoCellAnchor>
  <xdr:twoCellAnchor>
    <xdr:from>
      <xdr:col>6</xdr:col>
      <xdr:colOff>581025</xdr:colOff>
      <xdr:row>4</xdr:row>
      <xdr:rowOff>0</xdr:rowOff>
    </xdr:from>
    <xdr:to>
      <xdr:col>12</xdr:col>
      <xdr:colOff>654375</xdr:colOff>
      <xdr:row>4</xdr:row>
      <xdr:rowOff>2533650</xdr:rowOff>
    </xdr:to>
    <xdr:sp macro="" textlink="" fLocksText="0">
      <xdr:nvSpPr>
        <xdr:cNvPr id="3" name="TextBox 2">
          <a:extLst>
            <a:ext uri="{FF2B5EF4-FFF2-40B4-BE49-F238E27FC236}">
              <a16:creationId xmlns:a16="http://schemas.microsoft.com/office/drawing/2014/main" id="{4D36E79E-3FC3-4B90-9745-4B7D9665457D}"/>
            </a:ext>
          </a:extLst>
        </xdr:cNvPr>
        <xdr:cNvSpPr txBox="1"/>
      </xdr:nvSpPr>
      <xdr:spPr>
        <a:xfrm>
          <a:off x="9972675" y="952500"/>
          <a:ext cx="7560000" cy="253365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3808</xdr:colOff>
      <xdr:row>4</xdr:row>
      <xdr:rowOff>3810</xdr:rowOff>
    </xdr:from>
    <xdr:to>
      <xdr:col>3</xdr:col>
      <xdr:colOff>7373083</xdr:colOff>
      <xdr:row>5</xdr:row>
      <xdr:rowOff>1</xdr:rowOff>
    </xdr:to>
    <xdr:sp macro="" textlink="">
      <xdr:nvSpPr>
        <xdr:cNvPr id="2" name="TextBox 1">
          <a:extLst>
            <a:ext uri="{FF2B5EF4-FFF2-40B4-BE49-F238E27FC236}">
              <a16:creationId xmlns:a16="http://schemas.microsoft.com/office/drawing/2014/main" id="{547C12E4-4965-447E-9D07-C2A295195CBD}"/>
            </a:ext>
          </a:extLst>
        </xdr:cNvPr>
        <xdr:cNvSpPr txBox="1"/>
      </xdr:nvSpPr>
      <xdr:spPr>
        <a:xfrm>
          <a:off x="156208" y="899160"/>
          <a:ext cx="9360000" cy="2063116"/>
        </a:xfrm>
        <a:prstGeom prst="rect">
          <a:avLst/>
        </a:prstGeom>
        <a:solidFill>
          <a:schemeClr val="bg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ysClr val="windowText" lastClr="000000"/>
              </a:solidFill>
              <a:latin typeface="Arial" panose="020B0604020202020204" pitchFamily="34" charset="0"/>
              <a:cs typeface="Arial" panose="020B0604020202020204" pitchFamily="34" charset="0"/>
            </a:rPr>
            <a:t>Use</a:t>
          </a:r>
          <a:r>
            <a:rPr lang="en-AU" sz="1100" b="1" baseline="0">
              <a:solidFill>
                <a:sysClr val="windowText" lastClr="000000"/>
              </a:solidFill>
              <a:latin typeface="Arial" panose="020B0604020202020204" pitchFamily="34" charset="0"/>
              <a:cs typeface="Arial" panose="020B0604020202020204" pitchFamily="34" charset="0"/>
            </a:rPr>
            <a:t> and Notes</a:t>
          </a:r>
        </a:p>
        <a:p>
          <a:r>
            <a:rPr lang="en-AU" sz="1100">
              <a:solidFill>
                <a:sysClr val="windowText" lastClr="000000"/>
              </a:solidFill>
              <a:latin typeface="Arial" panose="020B0604020202020204" pitchFamily="34" charset="0"/>
              <a:cs typeface="Arial" panose="020B0604020202020204" pitchFamily="34" charset="0"/>
            </a:rPr>
            <a:t>Enter quantities for process equipment including stackers, reclaimers, and conveyors. The rates do not include land rehabilitation, use the Processing Equipment Footprints" for land rehabilitation. If this table is used the quantities are automatically reported to column F of the rates table.</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The rates include disconnection of services, removal of any liquids or chemicals prior to demolition, dismantling major components, demolition (e.g. collapsing tanks and shearing tank steel, breaking concrete pads and footings), removing skids, allowance for asbestos removal where required, load and haul of concrete, steel and other waste and disposal at waste facility.</a:t>
          </a:r>
        </a:p>
        <a:p>
          <a:endParaRPr lang="en-AU" sz="1100">
            <a:solidFill>
              <a:sysClr val="windowText" lastClr="000000"/>
            </a:solidFill>
            <a:latin typeface="Arial" panose="020B0604020202020204" pitchFamily="34" charset="0"/>
            <a:cs typeface="Arial" panose="020B0604020202020204" pitchFamily="34" charset="0"/>
          </a:endParaRPr>
        </a:p>
        <a:p>
          <a:r>
            <a:rPr lang="en-AU" sz="1100">
              <a:solidFill>
                <a:sysClr val="windowText" lastClr="000000"/>
              </a:solidFill>
              <a:latin typeface="Arial" panose="020B0604020202020204" pitchFamily="34" charset="0"/>
              <a:cs typeface="Arial" panose="020B0604020202020204" pitchFamily="34" charset="0"/>
            </a:rPr>
            <a:t>The rates are for scrapping and do not cover the situation whereby an item is dismantled for reuse at another site.</a:t>
          </a:r>
        </a:p>
      </xdr:txBody>
    </xdr:sp>
    <xdr:clientData/>
  </xdr:twoCellAnchor>
  <xdr:twoCellAnchor>
    <xdr:from>
      <xdr:col>3</xdr:col>
      <xdr:colOff>7376159</xdr:colOff>
      <xdr:row>3</xdr:row>
      <xdr:rowOff>228599</xdr:rowOff>
    </xdr:from>
    <xdr:to>
      <xdr:col>9</xdr:col>
      <xdr:colOff>1010609</xdr:colOff>
      <xdr:row>4</xdr:row>
      <xdr:rowOff>1724024</xdr:rowOff>
    </xdr:to>
    <xdr:sp macro="" textlink="" fLocksText="0">
      <xdr:nvSpPr>
        <xdr:cNvPr id="3" name="TextBox 2">
          <a:extLst>
            <a:ext uri="{FF2B5EF4-FFF2-40B4-BE49-F238E27FC236}">
              <a16:creationId xmlns:a16="http://schemas.microsoft.com/office/drawing/2014/main" id="{2461DD58-3EC0-4428-B4E5-98DD1593C8C9}"/>
            </a:ext>
          </a:extLst>
        </xdr:cNvPr>
        <xdr:cNvSpPr txBox="1"/>
      </xdr:nvSpPr>
      <xdr:spPr>
        <a:xfrm>
          <a:off x="9595484" y="876299"/>
          <a:ext cx="7560000" cy="1724025"/>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latin typeface="Arial" panose="020B0604020202020204" pitchFamily="34" charset="0"/>
              <a:cs typeface="Arial" panose="020B0604020202020204" pitchFamily="34" charset="0"/>
            </a:rPr>
            <a:t>User Notes (Overwrite the text below to add User Notes)</a:t>
          </a:r>
        </a:p>
        <a:p>
          <a:r>
            <a:rPr lang="en-AU" sz="1100">
              <a:latin typeface="Arial" panose="020B0604020202020204" pitchFamily="34" charset="0"/>
              <a:cs typeface="Arial" panose="020B0604020202020204" pitchFamily="34" charset="0"/>
            </a:rPr>
            <a:t>Enter any information that will support assumptions and assist department review.</a:t>
          </a:r>
        </a:p>
        <a:p>
          <a:endParaRPr lang="en-AU" sz="11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BV60"/>
  <sheetViews>
    <sheetView showGridLines="0" topLeftCell="U1" zoomScaleNormal="100" zoomScaleSheetLayoutView="70" workbookViewId="0">
      <selection activeCell="B55" sqref="B55"/>
    </sheetView>
  </sheetViews>
  <sheetFormatPr defaultRowHeight="0" customHeight="1" zeroHeight="1"/>
  <cols>
    <col min="1" max="2" width="2.28515625" style="434" customWidth="1"/>
    <col min="3" max="6" width="9" style="434" customWidth="1"/>
    <col min="7" max="7" width="11.7109375" style="434" customWidth="1"/>
    <col min="8" max="8" width="9.28515625" style="434" customWidth="1"/>
    <col min="9" max="9" width="9" style="434" customWidth="1"/>
    <col min="10" max="10" width="9.7109375" style="434" customWidth="1"/>
    <col min="11" max="12" width="9" style="434" customWidth="1"/>
    <col min="13" max="16" width="2.28515625" style="434" customWidth="1"/>
    <col min="17" max="20" width="9" style="434" customWidth="1"/>
    <col min="21" max="21" width="11.42578125" style="434" customWidth="1"/>
    <col min="22" max="23" width="9" style="434" customWidth="1"/>
    <col min="24" max="24" width="9.7109375" style="434" customWidth="1"/>
    <col min="25" max="26" width="9" style="434" customWidth="1"/>
    <col min="27" max="30" width="2.28515625" style="434" customWidth="1"/>
    <col min="31" max="34" width="9" style="434" customWidth="1"/>
    <col min="35" max="35" width="11.28515625" style="434" customWidth="1"/>
    <col min="36" max="37" width="9" style="434" customWidth="1"/>
    <col min="38" max="38" width="9.7109375" style="434" customWidth="1"/>
    <col min="39" max="40" width="9" style="434" customWidth="1"/>
    <col min="41" max="42" width="2.28515625" style="434" customWidth="1"/>
    <col min="43" max="43" width="2.28515625" style="431" customWidth="1"/>
    <col min="44" max="44" width="2.28515625" style="434" customWidth="1"/>
    <col min="45" max="48" width="9" style="434" customWidth="1"/>
    <col min="49" max="49" width="10.5703125" style="434" customWidth="1"/>
    <col min="50" max="51" width="9" style="434" customWidth="1"/>
    <col min="52" max="52" width="9.7109375" style="434" customWidth="1"/>
    <col min="53" max="54" width="9" style="434" customWidth="1"/>
    <col min="55" max="56" width="2.28515625" style="434" customWidth="1"/>
    <col min="57" max="74" width="9" style="436" customWidth="1"/>
    <col min="75" max="256" width="9.28515625" style="434"/>
    <col min="257" max="258" width="2.28515625" style="434" customWidth="1"/>
    <col min="259" max="268" width="9" style="434" customWidth="1"/>
    <col min="269" max="272" width="2.28515625" style="434" customWidth="1"/>
    <col min="273" max="282" width="9" style="434" customWidth="1"/>
    <col min="283" max="286" width="2.28515625" style="434" customWidth="1"/>
    <col min="287" max="296" width="9" style="434" customWidth="1"/>
    <col min="297" max="300" width="2.28515625" style="434" customWidth="1"/>
    <col min="301" max="310" width="9" style="434" customWidth="1"/>
    <col min="311" max="312" width="2.28515625" style="434" customWidth="1"/>
    <col min="313" max="330" width="9" style="434" customWidth="1"/>
    <col min="331" max="512" width="9.28515625" style="434"/>
    <col min="513" max="514" width="2.28515625" style="434" customWidth="1"/>
    <col min="515" max="524" width="9" style="434" customWidth="1"/>
    <col min="525" max="528" width="2.28515625" style="434" customWidth="1"/>
    <col min="529" max="538" width="9" style="434" customWidth="1"/>
    <col min="539" max="542" width="2.28515625" style="434" customWidth="1"/>
    <col min="543" max="552" width="9" style="434" customWidth="1"/>
    <col min="553" max="556" width="2.28515625" style="434" customWidth="1"/>
    <col min="557" max="566" width="9" style="434" customWidth="1"/>
    <col min="567" max="568" width="2.28515625" style="434" customWidth="1"/>
    <col min="569" max="586" width="9" style="434" customWidth="1"/>
    <col min="587" max="768" width="9.28515625" style="434"/>
    <col min="769" max="770" width="2.28515625" style="434" customWidth="1"/>
    <col min="771" max="780" width="9" style="434" customWidth="1"/>
    <col min="781" max="784" width="2.28515625" style="434" customWidth="1"/>
    <col min="785" max="794" width="9" style="434" customWidth="1"/>
    <col min="795" max="798" width="2.28515625" style="434" customWidth="1"/>
    <col min="799" max="808" width="9" style="434" customWidth="1"/>
    <col min="809" max="812" width="2.28515625" style="434" customWidth="1"/>
    <col min="813" max="822" width="9" style="434" customWidth="1"/>
    <col min="823" max="824" width="2.28515625" style="434" customWidth="1"/>
    <col min="825" max="842" width="9" style="434" customWidth="1"/>
    <col min="843" max="1024" width="9.28515625" style="434"/>
    <col min="1025" max="1026" width="2.28515625" style="434" customWidth="1"/>
    <col min="1027" max="1036" width="9" style="434" customWidth="1"/>
    <col min="1037" max="1040" width="2.28515625" style="434" customWidth="1"/>
    <col min="1041" max="1050" width="9" style="434" customWidth="1"/>
    <col min="1051" max="1054" width="2.28515625" style="434" customWidth="1"/>
    <col min="1055" max="1064" width="9" style="434" customWidth="1"/>
    <col min="1065" max="1068" width="2.28515625" style="434" customWidth="1"/>
    <col min="1069" max="1078" width="9" style="434" customWidth="1"/>
    <col min="1079" max="1080" width="2.28515625" style="434" customWidth="1"/>
    <col min="1081" max="1098" width="9" style="434" customWidth="1"/>
    <col min="1099" max="1280" width="9.28515625" style="434"/>
    <col min="1281" max="1282" width="2.28515625" style="434" customWidth="1"/>
    <col min="1283" max="1292" width="9" style="434" customWidth="1"/>
    <col min="1293" max="1296" width="2.28515625" style="434" customWidth="1"/>
    <col min="1297" max="1306" width="9" style="434" customWidth="1"/>
    <col min="1307" max="1310" width="2.28515625" style="434" customWidth="1"/>
    <col min="1311" max="1320" width="9" style="434" customWidth="1"/>
    <col min="1321" max="1324" width="2.28515625" style="434" customWidth="1"/>
    <col min="1325" max="1334" width="9" style="434" customWidth="1"/>
    <col min="1335" max="1336" width="2.28515625" style="434" customWidth="1"/>
    <col min="1337" max="1354" width="9" style="434" customWidth="1"/>
    <col min="1355" max="1536" width="9.28515625" style="434"/>
    <col min="1537" max="1538" width="2.28515625" style="434" customWidth="1"/>
    <col min="1539" max="1548" width="9" style="434" customWidth="1"/>
    <col min="1549" max="1552" width="2.28515625" style="434" customWidth="1"/>
    <col min="1553" max="1562" width="9" style="434" customWidth="1"/>
    <col min="1563" max="1566" width="2.28515625" style="434" customWidth="1"/>
    <col min="1567" max="1576" width="9" style="434" customWidth="1"/>
    <col min="1577" max="1580" width="2.28515625" style="434" customWidth="1"/>
    <col min="1581" max="1590" width="9" style="434" customWidth="1"/>
    <col min="1591" max="1592" width="2.28515625" style="434" customWidth="1"/>
    <col min="1593" max="1610" width="9" style="434" customWidth="1"/>
    <col min="1611" max="1792" width="9.28515625" style="434"/>
    <col min="1793" max="1794" width="2.28515625" style="434" customWidth="1"/>
    <col min="1795" max="1804" width="9" style="434" customWidth="1"/>
    <col min="1805" max="1808" width="2.28515625" style="434" customWidth="1"/>
    <col min="1809" max="1818" width="9" style="434" customWidth="1"/>
    <col min="1819" max="1822" width="2.28515625" style="434" customWidth="1"/>
    <col min="1823" max="1832" width="9" style="434" customWidth="1"/>
    <col min="1833" max="1836" width="2.28515625" style="434" customWidth="1"/>
    <col min="1837" max="1846" width="9" style="434" customWidth="1"/>
    <col min="1847" max="1848" width="2.28515625" style="434" customWidth="1"/>
    <col min="1849" max="1866" width="9" style="434" customWidth="1"/>
    <col min="1867" max="2048" width="9.28515625" style="434"/>
    <col min="2049" max="2050" width="2.28515625" style="434" customWidth="1"/>
    <col min="2051" max="2060" width="9" style="434" customWidth="1"/>
    <col min="2061" max="2064" width="2.28515625" style="434" customWidth="1"/>
    <col min="2065" max="2074" width="9" style="434" customWidth="1"/>
    <col min="2075" max="2078" width="2.28515625" style="434" customWidth="1"/>
    <col min="2079" max="2088" width="9" style="434" customWidth="1"/>
    <col min="2089" max="2092" width="2.28515625" style="434" customWidth="1"/>
    <col min="2093" max="2102" width="9" style="434" customWidth="1"/>
    <col min="2103" max="2104" width="2.28515625" style="434" customWidth="1"/>
    <col min="2105" max="2122" width="9" style="434" customWidth="1"/>
    <col min="2123" max="2304" width="9.28515625" style="434"/>
    <col min="2305" max="2306" width="2.28515625" style="434" customWidth="1"/>
    <col min="2307" max="2316" width="9" style="434" customWidth="1"/>
    <col min="2317" max="2320" width="2.28515625" style="434" customWidth="1"/>
    <col min="2321" max="2330" width="9" style="434" customWidth="1"/>
    <col min="2331" max="2334" width="2.28515625" style="434" customWidth="1"/>
    <col min="2335" max="2344" width="9" style="434" customWidth="1"/>
    <col min="2345" max="2348" width="2.28515625" style="434" customWidth="1"/>
    <col min="2349" max="2358" width="9" style="434" customWidth="1"/>
    <col min="2359" max="2360" width="2.28515625" style="434" customWidth="1"/>
    <col min="2361" max="2378" width="9" style="434" customWidth="1"/>
    <col min="2379" max="2560" width="9.28515625" style="434"/>
    <col min="2561" max="2562" width="2.28515625" style="434" customWidth="1"/>
    <col min="2563" max="2572" width="9" style="434" customWidth="1"/>
    <col min="2573" max="2576" width="2.28515625" style="434" customWidth="1"/>
    <col min="2577" max="2586" width="9" style="434" customWidth="1"/>
    <col min="2587" max="2590" width="2.28515625" style="434" customWidth="1"/>
    <col min="2591" max="2600" width="9" style="434" customWidth="1"/>
    <col min="2601" max="2604" width="2.28515625" style="434" customWidth="1"/>
    <col min="2605" max="2614" width="9" style="434" customWidth="1"/>
    <col min="2615" max="2616" width="2.28515625" style="434" customWidth="1"/>
    <col min="2617" max="2634" width="9" style="434" customWidth="1"/>
    <col min="2635" max="2816" width="9.28515625" style="434"/>
    <col min="2817" max="2818" width="2.28515625" style="434" customWidth="1"/>
    <col min="2819" max="2828" width="9" style="434" customWidth="1"/>
    <col min="2829" max="2832" width="2.28515625" style="434" customWidth="1"/>
    <col min="2833" max="2842" width="9" style="434" customWidth="1"/>
    <col min="2843" max="2846" width="2.28515625" style="434" customWidth="1"/>
    <col min="2847" max="2856" width="9" style="434" customWidth="1"/>
    <col min="2857" max="2860" width="2.28515625" style="434" customWidth="1"/>
    <col min="2861" max="2870" width="9" style="434" customWidth="1"/>
    <col min="2871" max="2872" width="2.28515625" style="434" customWidth="1"/>
    <col min="2873" max="2890" width="9" style="434" customWidth="1"/>
    <col min="2891" max="3072" width="9.28515625" style="434"/>
    <col min="3073" max="3074" width="2.28515625" style="434" customWidth="1"/>
    <col min="3075" max="3084" width="9" style="434" customWidth="1"/>
    <col min="3085" max="3088" width="2.28515625" style="434" customWidth="1"/>
    <col min="3089" max="3098" width="9" style="434" customWidth="1"/>
    <col min="3099" max="3102" width="2.28515625" style="434" customWidth="1"/>
    <col min="3103" max="3112" width="9" style="434" customWidth="1"/>
    <col min="3113" max="3116" width="2.28515625" style="434" customWidth="1"/>
    <col min="3117" max="3126" width="9" style="434" customWidth="1"/>
    <col min="3127" max="3128" width="2.28515625" style="434" customWidth="1"/>
    <col min="3129" max="3146" width="9" style="434" customWidth="1"/>
    <col min="3147" max="3328" width="9.28515625" style="434"/>
    <col min="3329" max="3330" width="2.28515625" style="434" customWidth="1"/>
    <col min="3331" max="3340" width="9" style="434" customWidth="1"/>
    <col min="3341" max="3344" width="2.28515625" style="434" customWidth="1"/>
    <col min="3345" max="3354" width="9" style="434" customWidth="1"/>
    <col min="3355" max="3358" width="2.28515625" style="434" customWidth="1"/>
    <col min="3359" max="3368" width="9" style="434" customWidth="1"/>
    <col min="3369" max="3372" width="2.28515625" style="434" customWidth="1"/>
    <col min="3373" max="3382" width="9" style="434" customWidth="1"/>
    <col min="3383" max="3384" width="2.28515625" style="434" customWidth="1"/>
    <col min="3385" max="3402" width="9" style="434" customWidth="1"/>
    <col min="3403" max="3584" width="9.28515625" style="434"/>
    <col min="3585" max="3586" width="2.28515625" style="434" customWidth="1"/>
    <col min="3587" max="3596" width="9" style="434" customWidth="1"/>
    <col min="3597" max="3600" width="2.28515625" style="434" customWidth="1"/>
    <col min="3601" max="3610" width="9" style="434" customWidth="1"/>
    <col min="3611" max="3614" width="2.28515625" style="434" customWidth="1"/>
    <col min="3615" max="3624" width="9" style="434" customWidth="1"/>
    <col min="3625" max="3628" width="2.28515625" style="434" customWidth="1"/>
    <col min="3629" max="3638" width="9" style="434" customWidth="1"/>
    <col min="3639" max="3640" width="2.28515625" style="434" customWidth="1"/>
    <col min="3641" max="3658" width="9" style="434" customWidth="1"/>
    <col min="3659" max="3840" width="9.28515625" style="434"/>
    <col min="3841" max="3842" width="2.28515625" style="434" customWidth="1"/>
    <col min="3843" max="3852" width="9" style="434" customWidth="1"/>
    <col min="3853" max="3856" width="2.28515625" style="434" customWidth="1"/>
    <col min="3857" max="3866" width="9" style="434" customWidth="1"/>
    <col min="3867" max="3870" width="2.28515625" style="434" customWidth="1"/>
    <col min="3871" max="3880" width="9" style="434" customWidth="1"/>
    <col min="3881" max="3884" width="2.28515625" style="434" customWidth="1"/>
    <col min="3885" max="3894" width="9" style="434" customWidth="1"/>
    <col min="3895" max="3896" width="2.28515625" style="434" customWidth="1"/>
    <col min="3897" max="3914" width="9" style="434" customWidth="1"/>
    <col min="3915" max="4096" width="9.28515625" style="434"/>
    <col min="4097" max="4098" width="2.28515625" style="434" customWidth="1"/>
    <col min="4099" max="4108" width="9" style="434" customWidth="1"/>
    <col min="4109" max="4112" width="2.28515625" style="434" customWidth="1"/>
    <col min="4113" max="4122" width="9" style="434" customWidth="1"/>
    <col min="4123" max="4126" width="2.28515625" style="434" customWidth="1"/>
    <col min="4127" max="4136" width="9" style="434" customWidth="1"/>
    <col min="4137" max="4140" width="2.28515625" style="434" customWidth="1"/>
    <col min="4141" max="4150" width="9" style="434" customWidth="1"/>
    <col min="4151" max="4152" width="2.28515625" style="434" customWidth="1"/>
    <col min="4153" max="4170" width="9" style="434" customWidth="1"/>
    <col min="4171" max="4352" width="9.28515625" style="434"/>
    <col min="4353" max="4354" width="2.28515625" style="434" customWidth="1"/>
    <col min="4355" max="4364" width="9" style="434" customWidth="1"/>
    <col min="4365" max="4368" width="2.28515625" style="434" customWidth="1"/>
    <col min="4369" max="4378" width="9" style="434" customWidth="1"/>
    <col min="4379" max="4382" width="2.28515625" style="434" customWidth="1"/>
    <col min="4383" max="4392" width="9" style="434" customWidth="1"/>
    <col min="4393" max="4396" width="2.28515625" style="434" customWidth="1"/>
    <col min="4397" max="4406" width="9" style="434" customWidth="1"/>
    <col min="4407" max="4408" width="2.28515625" style="434" customWidth="1"/>
    <col min="4409" max="4426" width="9" style="434" customWidth="1"/>
    <col min="4427" max="4608" width="9.28515625" style="434"/>
    <col min="4609" max="4610" width="2.28515625" style="434" customWidth="1"/>
    <col min="4611" max="4620" width="9" style="434" customWidth="1"/>
    <col min="4621" max="4624" width="2.28515625" style="434" customWidth="1"/>
    <col min="4625" max="4634" width="9" style="434" customWidth="1"/>
    <col min="4635" max="4638" width="2.28515625" style="434" customWidth="1"/>
    <col min="4639" max="4648" width="9" style="434" customWidth="1"/>
    <col min="4649" max="4652" width="2.28515625" style="434" customWidth="1"/>
    <col min="4653" max="4662" width="9" style="434" customWidth="1"/>
    <col min="4663" max="4664" width="2.28515625" style="434" customWidth="1"/>
    <col min="4665" max="4682" width="9" style="434" customWidth="1"/>
    <col min="4683" max="4864" width="9.28515625" style="434"/>
    <col min="4865" max="4866" width="2.28515625" style="434" customWidth="1"/>
    <col min="4867" max="4876" width="9" style="434" customWidth="1"/>
    <col min="4877" max="4880" width="2.28515625" style="434" customWidth="1"/>
    <col min="4881" max="4890" width="9" style="434" customWidth="1"/>
    <col min="4891" max="4894" width="2.28515625" style="434" customWidth="1"/>
    <col min="4895" max="4904" width="9" style="434" customWidth="1"/>
    <col min="4905" max="4908" width="2.28515625" style="434" customWidth="1"/>
    <col min="4909" max="4918" width="9" style="434" customWidth="1"/>
    <col min="4919" max="4920" width="2.28515625" style="434" customWidth="1"/>
    <col min="4921" max="4938" width="9" style="434" customWidth="1"/>
    <col min="4939" max="5120" width="9.28515625" style="434"/>
    <col min="5121" max="5122" width="2.28515625" style="434" customWidth="1"/>
    <col min="5123" max="5132" width="9" style="434" customWidth="1"/>
    <col min="5133" max="5136" width="2.28515625" style="434" customWidth="1"/>
    <col min="5137" max="5146" width="9" style="434" customWidth="1"/>
    <col min="5147" max="5150" width="2.28515625" style="434" customWidth="1"/>
    <col min="5151" max="5160" width="9" style="434" customWidth="1"/>
    <col min="5161" max="5164" width="2.28515625" style="434" customWidth="1"/>
    <col min="5165" max="5174" width="9" style="434" customWidth="1"/>
    <col min="5175" max="5176" width="2.28515625" style="434" customWidth="1"/>
    <col min="5177" max="5194" width="9" style="434" customWidth="1"/>
    <col min="5195" max="5376" width="9.28515625" style="434"/>
    <col min="5377" max="5378" width="2.28515625" style="434" customWidth="1"/>
    <col min="5379" max="5388" width="9" style="434" customWidth="1"/>
    <col min="5389" max="5392" width="2.28515625" style="434" customWidth="1"/>
    <col min="5393" max="5402" width="9" style="434" customWidth="1"/>
    <col min="5403" max="5406" width="2.28515625" style="434" customWidth="1"/>
    <col min="5407" max="5416" width="9" style="434" customWidth="1"/>
    <col min="5417" max="5420" width="2.28515625" style="434" customWidth="1"/>
    <col min="5421" max="5430" width="9" style="434" customWidth="1"/>
    <col min="5431" max="5432" width="2.28515625" style="434" customWidth="1"/>
    <col min="5433" max="5450" width="9" style="434" customWidth="1"/>
    <col min="5451" max="5632" width="9.28515625" style="434"/>
    <col min="5633" max="5634" width="2.28515625" style="434" customWidth="1"/>
    <col min="5635" max="5644" width="9" style="434" customWidth="1"/>
    <col min="5645" max="5648" width="2.28515625" style="434" customWidth="1"/>
    <col min="5649" max="5658" width="9" style="434" customWidth="1"/>
    <col min="5659" max="5662" width="2.28515625" style="434" customWidth="1"/>
    <col min="5663" max="5672" width="9" style="434" customWidth="1"/>
    <col min="5673" max="5676" width="2.28515625" style="434" customWidth="1"/>
    <col min="5677" max="5686" width="9" style="434" customWidth="1"/>
    <col min="5687" max="5688" width="2.28515625" style="434" customWidth="1"/>
    <col min="5689" max="5706" width="9" style="434" customWidth="1"/>
    <col min="5707" max="5888" width="9.28515625" style="434"/>
    <col min="5889" max="5890" width="2.28515625" style="434" customWidth="1"/>
    <col min="5891" max="5900" width="9" style="434" customWidth="1"/>
    <col min="5901" max="5904" width="2.28515625" style="434" customWidth="1"/>
    <col min="5905" max="5914" width="9" style="434" customWidth="1"/>
    <col min="5915" max="5918" width="2.28515625" style="434" customWidth="1"/>
    <col min="5919" max="5928" width="9" style="434" customWidth="1"/>
    <col min="5929" max="5932" width="2.28515625" style="434" customWidth="1"/>
    <col min="5933" max="5942" width="9" style="434" customWidth="1"/>
    <col min="5943" max="5944" width="2.28515625" style="434" customWidth="1"/>
    <col min="5945" max="5962" width="9" style="434" customWidth="1"/>
    <col min="5963" max="6144" width="9.28515625" style="434"/>
    <col min="6145" max="6146" width="2.28515625" style="434" customWidth="1"/>
    <col min="6147" max="6156" width="9" style="434" customWidth="1"/>
    <col min="6157" max="6160" width="2.28515625" style="434" customWidth="1"/>
    <col min="6161" max="6170" width="9" style="434" customWidth="1"/>
    <col min="6171" max="6174" width="2.28515625" style="434" customWidth="1"/>
    <col min="6175" max="6184" width="9" style="434" customWidth="1"/>
    <col min="6185" max="6188" width="2.28515625" style="434" customWidth="1"/>
    <col min="6189" max="6198" width="9" style="434" customWidth="1"/>
    <col min="6199" max="6200" width="2.28515625" style="434" customWidth="1"/>
    <col min="6201" max="6218" width="9" style="434" customWidth="1"/>
    <col min="6219" max="6400" width="9.28515625" style="434"/>
    <col min="6401" max="6402" width="2.28515625" style="434" customWidth="1"/>
    <col min="6403" max="6412" width="9" style="434" customWidth="1"/>
    <col min="6413" max="6416" width="2.28515625" style="434" customWidth="1"/>
    <col min="6417" max="6426" width="9" style="434" customWidth="1"/>
    <col min="6427" max="6430" width="2.28515625" style="434" customWidth="1"/>
    <col min="6431" max="6440" width="9" style="434" customWidth="1"/>
    <col min="6441" max="6444" width="2.28515625" style="434" customWidth="1"/>
    <col min="6445" max="6454" width="9" style="434" customWidth="1"/>
    <col min="6455" max="6456" width="2.28515625" style="434" customWidth="1"/>
    <col min="6457" max="6474" width="9" style="434" customWidth="1"/>
    <col min="6475" max="6656" width="9.28515625" style="434"/>
    <col min="6657" max="6658" width="2.28515625" style="434" customWidth="1"/>
    <col min="6659" max="6668" width="9" style="434" customWidth="1"/>
    <col min="6669" max="6672" width="2.28515625" style="434" customWidth="1"/>
    <col min="6673" max="6682" width="9" style="434" customWidth="1"/>
    <col min="6683" max="6686" width="2.28515625" style="434" customWidth="1"/>
    <col min="6687" max="6696" width="9" style="434" customWidth="1"/>
    <col min="6697" max="6700" width="2.28515625" style="434" customWidth="1"/>
    <col min="6701" max="6710" width="9" style="434" customWidth="1"/>
    <col min="6711" max="6712" width="2.28515625" style="434" customWidth="1"/>
    <col min="6713" max="6730" width="9" style="434" customWidth="1"/>
    <col min="6731" max="6912" width="9.28515625" style="434"/>
    <col min="6913" max="6914" width="2.28515625" style="434" customWidth="1"/>
    <col min="6915" max="6924" width="9" style="434" customWidth="1"/>
    <col min="6925" max="6928" width="2.28515625" style="434" customWidth="1"/>
    <col min="6929" max="6938" width="9" style="434" customWidth="1"/>
    <col min="6939" max="6942" width="2.28515625" style="434" customWidth="1"/>
    <col min="6943" max="6952" width="9" style="434" customWidth="1"/>
    <col min="6953" max="6956" width="2.28515625" style="434" customWidth="1"/>
    <col min="6957" max="6966" width="9" style="434" customWidth="1"/>
    <col min="6967" max="6968" width="2.28515625" style="434" customWidth="1"/>
    <col min="6969" max="6986" width="9" style="434" customWidth="1"/>
    <col min="6987" max="7168" width="9.28515625" style="434"/>
    <col min="7169" max="7170" width="2.28515625" style="434" customWidth="1"/>
    <col min="7171" max="7180" width="9" style="434" customWidth="1"/>
    <col min="7181" max="7184" width="2.28515625" style="434" customWidth="1"/>
    <col min="7185" max="7194" width="9" style="434" customWidth="1"/>
    <col min="7195" max="7198" width="2.28515625" style="434" customWidth="1"/>
    <col min="7199" max="7208" width="9" style="434" customWidth="1"/>
    <col min="7209" max="7212" width="2.28515625" style="434" customWidth="1"/>
    <col min="7213" max="7222" width="9" style="434" customWidth="1"/>
    <col min="7223" max="7224" width="2.28515625" style="434" customWidth="1"/>
    <col min="7225" max="7242" width="9" style="434" customWidth="1"/>
    <col min="7243" max="7424" width="9.28515625" style="434"/>
    <col min="7425" max="7426" width="2.28515625" style="434" customWidth="1"/>
    <col min="7427" max="7436" width="9" style="434" customWidth="1"/>
    <col min="7437" max="7440" width="2.28515625" style="434" customWidth="1"/>
    <col min="7441" max="7450" width="9" style="434" customWidth="1"/>
    <col min="7451" max="7454" width="2.28515625" style="434" customWidth="1"/>
    <col min="7455" max="7464" width="9" style="434" customWidth="1"/>
    <col min="7465" max="7468" width="2.28515625" style="434" customWidth="1"/>
    <col min="7469" max="7478" width="9" style="434" customWidth="1"/>
    <col min="7479" max="7480" width="2.28515625" style="434" customWidth="1"/>
    <col min="7481" max="7498" width="9" style="434" customWidth="1"/>
    <col min="7499" max="7680" width="9.28515625" style="434"/>
    <col min="7681" max="7682" width="2.28515625" style="434" customWidth="1"/>
    <col min="7683" max="7692" width="9" style="434" customWidth="1"/>
    <col min="7693" max="7696" width="2.28515625" style="434" customWidth="1"/>
    <col min="7697" max="7706" width="9" style="434" customWidth="1"/>
    <col min="7707" max="7710" width="2.28515625" style="434" customWidth="1"/>
    <col min="7711" max="7720" width="9" style="434" customWidth="1"/>
    <col min="7721" max="7724" width="2.28515625" style="434" customWidth="1"/>
    <col min="7725" max="7734" width="9" style="434" customWidth="1"/>
    <col min="7735" max="7736" width="2.28515625" style="434" customWidth="1"/>
    <col min="7737" max="7754" width="9" style="434" customWidth="1"/>
    <col min="7755" max="7936" width="9.28515625" style="434"/>
    <col min="7937" max="7938" width="2.28515625" style="434" customWidth="1"/>
    <col min="7939" max="7948" width="9" style="434" customWidth="1"/>
    <col min="7949" max="7952" width="2.28515625" style="434" customWidth="1"/>
    <col min="7953" max="7962" width="9" style="434" customWidth="1"/>
    <col min="7963" max="7966" width="2.28515625" style="434" customWidth="1"/>
    <col min="7967" max="7976" width="9" style="434" customWidth="1"/>
    <col min="7977" max="7980" width="2.28515625" style="434" customWidth="1"/>
    <col min="7981" max="7990" width="9" style="434" customWidth="1"/>
    <col min="7991" max="7992" width="2.28515625" style="434" customWidth="1"/>
    <col min="7993" max="8010" width="9" style="434" customWidth="1"/>
    <col min="8011" max="8192" width="9.28515625" style="434"/>
    <col min="8193" max="8194" width="2.28515625" style="434" customWidth="1"/>
    <col min="8195" max="8204" width="9" style="434" customWidth="1"/>
    <col min="8205" max="8208" width="2.28515625" style="434" customWidth="1"/>
    <col min="8209" max="8218" width="9" style="434" customWidth="1"/>
    <col min="8219" max="8222" width="2.28515625" style="434" customWidth="1"/>
    <col min="8223" max="8232" width="9" style="434" customWidth="1"/>
    <col min="8233" max="8236" width="2.28515625" style="434" customWidth="1"/>
    <col min="8237" max="8246" width="9" style="434" customWidth="1"/>
    <col min="8247" max="8248" width="2.28515625" style="434" customWidth="1"/>
    <col min="8249" max="8266" width="9" style="434" customWidth="1"/>
    <col min="8267" max="8448" width="9.28515625" style="434"/>
    <col min="8449" max="8450" width="2.28515625" style="434" customWidth="1"/>
    <col min="8451" max="8460" width="9" style="434" customWidth="1"/>
    <col min="8461" max="8464" width="2.28515625" style="434" customWidth="1"/>
    <col min="8465" max="8474" width="9" style="434" customWidth="1"/>
    <col min="8475" max="8478" width="2.28515625" style="434" customWidth="1"/>
    <col min="8479" max="8488" width="9" style="434" customWidth="1"/>
    <col min="8489" max="8492" width="2.28515625" style="434" customWidth="1"/>
    <col min="8493" max="8502" width="9" style="434" customWidth="1"/>
    <col min="8503" max="8504" width="2.28515625" style="434" customWidth="1"/>
    <col min="8505" max="8522" width="9" style="434" customWidth="1"/>
    <col min="8523" max="8704" width="9.28515625" style="434"/>
    <col min="8705" max="8706" width="2.28515625" style="434" customWidth="1"/>
    <col min="8707" max="8716" width="9" style="434" customWidth="1"/>
    <col min="8717" max="8720" width="2.28515625" style="434" customWidth="1"/>
    <col min="8721" max="8730" width="9" style="434" customWidth="1"/>
    <col min="8731" max="8734" width="2.28515625" style="434" customWidth="1"/>
    <col min="8735" max="8744" width="9" style="434" customWidth="1"/>
    <col min="8745" max="8748" width="2.28515625" style="434" customWidth="1"/>
    <col min="8749" max="8758" width="9" style="434" customWidth="1"/>
    <col min="8759" max="8760" width="2.28515625" style="434" customWidth="1"/>
    <col min="8761" max="8778" width="9" style="434" customWidth="1"/>
    <col min="8779" max="8960" width="9.28515625" style="434"/>
    <col min="8961" max="8962" width="2.28515625" style="434" customWidth="1"/>
    <col min="8963" max="8972" width="9" style="434" customWidth="1"/>
    <col min="8973" max="8976" width="2.28515625" style="434" customWidth="1"/>
    <col min="8977" max="8986" width="9" style="434" customWidth="1"/>
    <col min="8987" max="8990" width="2.28515625" style="434" customWidth="1"/>
    <col min="8991" max="9000" width="9" style="434" customWidth="1"/>
    <col min="9001" max="9004" width="2.28515625" style="434" customWidth="1"/>
    <col min="9005" max="9014" width="9" style="434" customWidth="1"/>
    <col min="9015" max="9016" width="2.28515625" style="434" customWidth="1"/>
    <col min="9017" max="9034" width="9" style="434" customWidth="1"/>
    <col min="9035" max="9216" width="9.28515625" style="434"/>
    <col min="9217" max="9218" width="2.28515625" style="434" customWidth="1"/>
    <col min="9219" max="9228" width="9" style="434" customWidth="1"/>
    <col min="9229" max="9232" width="2.28515625" style="434" customWidth="1"/>
    <col min="9233" max="9242" width="9" style="434" customWidth="1"/>
    <col min="9243" max="9246" width="2.28515625" style="434" customWidth="1"/>
    <col min="9247" max="9256" width="9" style="434" customWidth="1"/>
    <col min="9257" max="9260" width="2.28515625" style="434" customWidth="1"/>
    <col min="9261" max="9270" width="9" style="434" customWidth="1"/>
    <col min="9271" max="9272" width="2.28515625" style="434" customWidth="1"/>
    <col min="9273" max="9290" width="9" style="434" customWidth="1"/>
    <col min="9291" max="9472" width="9.28515625" style="434"/>
    <col min="9473" max="9474" width="2.28515625" style="434" customWidth="1"/>
    <col min="9475" max="9484" width="9" style="434" customWidth="1"/>
    <col min="9485" max="9488" width="2.28515625" style="434" customWidth="1"/>
    <col min="9489" max="9498" width="9" style="434" customWidth="1"/>
    <col min="9499" max="9502" width="2.28515625" style="434" customWidth="1"/>
    <col min="9503" max="9512" width="9" style="434" customWidth="1"/>
    <col min="9513" max="9516" width="2.28515625" style="434" customWidth="1"/>
    <col min="9517" max="9526" width="9" style="434" customWidth="1"/>
    <col min="9527" max="9528" width="2.28515625" style="434" customWidth="1"/>
    <col min="9529" max="9546" width="9" style="434" customWidth="1"/>
    <col min="9547" max="9728" width="9.28515625" style="434"/>
    <col min="9729" max="9730" width="2.28515625" style="434" customWidth="1"/>
    <col min="9731" max="9740" width="9" style="434" customWidth="1"/>
    <col min="9741" max="9744" width="2.28515625" style="434" customWidth="1"/>
    <col min="9745" max="9754" width="9" style="434" customWidth="1"/>
    <col min="9755" max="9758" width="2.28515625" style="434" customWidth="1"/>
    <col min="9759" max="9768" width="9" style="434" customWidth="1"/>
    <col min="9769" max="9772" width="2.28515625" style="434" customWidth="1"/>
    <col min="9773" max="9782" width="9" style="434" customWidth="1"/>
    <col min="9783" max="9784" width="2.28515625" style="434" customWidth="1"/>
    <col min="9785" max="9802" width="9" style="434" customWidth="1"/>
    <col min="9803" max="9984" width="9.28515625" style="434"/>
    <col min="9985" max="9986" width="2.28515625" style="434" customWidth="1"/>
    <col min="9987" max="9996" width="9" style="434" customWidth="1"/>
    <col min="9997" max="10000" width="2.28515625" style="434" customWidth="1"/>
    <col min="10001" max="10010" width="9" style="434" customWidth="1"/>
    <col min="10011" max="10014" width="2.28515625" style="434" customWidth="1"/>
    <col min="10015" max="10024" width="9" style="434" customWidth="1"/>
    <col min="10025" max="10028" width="2.28515625" style="434" customWidth="1"/>
    <col min="10029" max="10038" width="9" style="434" customWidth="1"/>
    <col min="10039" max="10040" width="2.28515625" style="434" customWidth="1"/>
    <col min="10041" max="10058" width="9" style="434" customWidth="1"/>
    <col min="10059" max="10240" width="9.28515625" style="434"/>
    <col min="10241" max="10242" width="2.28515625" style="434" customWidth="1"/>
    <col min="10243" max="10252" width="9" style="434" customWidth="1"/>
    <col min="10253" max="10256" width="2.28515625" style="434" customWidth="1"/>
    <col min="10257" max="10266" width="9" style="434" customWidth="1"/>
    <col min="10267" max="10270" width="2.28515625" style="434" customWidth="1"/>
    <col min="10271" max="10280" width="9" style="434" customWidth="1"/>
    <col min="10281" max="10284" width="2.28515625" style="434" customWidth="1"/>
    <col min="10285" max="10294" width="9" style="434" customWidth="1"/>
    <col min="10295" max="10296" width="2.28515625" style="434" customWidth="1"/>
    <col min="10297" max="10314" width="9" style="434" customWidth="1"/>
    <col min="10315" max="10496" width="9.28515625" style="434"/>
    <col min="10497" max="10498" width="2.28515625" style="434" customWidth="1"/>
    <col min="10499" max="10508" width="9" style="434" customWidth="1"/>
    <col min="10509" max="10512" width="2.28515625" style="434" customWidth="1"/>
    <col min="10513" max="10522" width="9" style="434" customWidth="1"/>
    <col min="10523" max="10526" width="2.28515625" style="434" customWidth="1"/>
    <col min="10527" max="10536" width="9" style="434" customWidth="1"/>
    <col min="10537" max="10540" width="2.28515625" style="434" customWidth="1"/>
    <col min="10541" max="10550" width="9" style="434" customWidth="1"/>
    <col min="10551" max="10552" width="2.28515625" style="434" customWidth="1"/>
    <col min="10553" max="10570" width="9" style="434" customWidth="1"/>
    <col min="10571" max="10752" width="9.28515625" style="434"/>
    <col min="10753" max="10754" width="2.28515625" style="434" customWidth="1"/>
    <col min="10755" max="10764" width="9" style="434" customWidth="1"/>
    <col min="10765" max="10768" width="2.28515625" style="434" customWidth="1"/>
    <col min="10769" max="10778" width="9" style="434" customWidth="1"/>
    <col min="10779" max="10782" width="2.28515625" style="434" customWidth="1"/>
    <col min="10783" max="10792" width="9" style="434" customWidth="1"/>
    <col min="10793" max="10796" width="2.28515625" style="434" customWidth="1"/>
    <col min="10797" max="10806" width="9" style="434" customWidth="1"/>
    <col min="10807" max="10808" width="2.28515625" style="434" customWidth="1"/>
    <col min="10809" max="10826" width="9" style="434" customWidth="1"/>
    <col min="10827" max="11008" width="9.28515625" style="434"/>
    <col min="11009" max="11010" width="2.28515625" style="434" customWidth="1"/>
    <col min="11011" max="11020" width="9" style="434" customWidth="1"/>
    <col min="11021" max="11024" width="2.28515625" style="434" customWidth="1"/>
    <col min="11025" max="11034" width="9" style="434" customWidth="1"/>
    <col min="11035" max="11038" width="2.28515625" style="434" customWidth="1"/>
    <col min="11039" max="11048" width="9" style="434" customWidth="1"/>
    <col min="11049" max="11052" width="2.28515625" style="434" customWidth="1"/>
    <col min="11053" max="11062" width="9" style="434" customWidth="1"/>
    <col min="11063" max="11064" width="2.28515625" style="434" customWidth="1"/>
    <col min="11065" max="11082" width="9" style="434" customWidth="1"/>
    <col min="11083" max="11264" width="9.28515625" style="434"/>
    <col min="11265" max="11266" width="2.28515625" style="434" customWidth="1"/>
    <col min="11267" max="11276" width="9" style="434" customWidth="1"/>
    <col min="11277" max="11280" width="2.28515625" style="434" customWidth="1"/>
    <col min="11281" max="11290" width="9" style="434" customWidth="1"/>
    <col min="11291" max="11294" width="2.28515625" style="434" customWidth="1"/>
    <col min="11295" max="11304" width="9" style="434" customWidth="1"/>
    <col min="11305" max="11308" width="2.28515625" style="434" customWidth="1"/>
    <col min="11309" max="11318" width="9" style="434" customWidth="1"/>
    <col min="11319" max="11320" width="2.28515625" style="434" customWidth="1"/>
    <col min="11321" max="11338" width="9" style="434" customWidth="1"/>
    <col min="11339" max="11520" width="9.28515625" style="434"/>
    <col min="11521" max="11522" width="2.28515625" style="434" customWidth="1"/>
    <col min="11523" max="11532" width="9" style="434" customWidth="1"/>
    <col min="11533" max="11536" width="2.28515625" style="434" customWidth="1"/>
    <col min="11537" max="11546" width="9" style="434" customWidth="1"/>
    <col min="11547" max="11550" width="2.28515625" style="434" customWidth="1"/>
    <col min="11551" max="11560" width="9" style="434" customWidth="1"/>
    <col min="11561" max="11564" width="2.28515625" style="434" customWidth="1"/>
    <col min="11565" max="11574" width="9" style="434" customWidth="1"/>
    <col min="11575" max="11576" width="2.28515625" style="434" customWidth="1"/>
    <col min="11577" max="11594" width="9" style="434" customWidth="1"/>
    <col min="11595" max="11776" width="9.28515625" style="434"/>
    <col min="11777" max="11778" width="2.28515625" style="434" customWidth="1"/>
    <col min="11779" max="11788" width="9" style="434" customWidth="1"/>
    <col min="11789" max="11792" width="2.28515625" style="434" customWidth="1"/>
    <col min="11793" max="11802" width="9" style="434" customWidth="1"/>
    <col min="11803" max="11806" width="2.28515625" style="434" customWidth="1"/>
    <col min="11807" max="11816" width="9" style="434" customWidth="1"/>
    <col min="11817" max="11820" width="2.28515625" style="434" customWidth="1"/>
    <col min="11821" max="11830" width="9" style="434" customWidth="1"/>
    <col min="11831" max="11832" width="2.28515625" style="434" customWidth="1"/>
    <col min="11833" max="11850" width="9" style="434" customWidth="1"/>
    <col min="11851" max="12032" width="9.28515625" style="434"/>
    <col min="12033" max="12034" width="2.28515625" style="434" customWidth="1"/>
    <col min="12035" max="12044" width="9" style="434" customWidth="1"/>
    <col min="12045" max="12048" width="2.28515625" style="434" customWidth="1"/>
    <col min="12049" max="12058" width="9" style="434" customWidth="1"/>
    <col min="12059" max="12062" width="2.28515625" style="434" customWidth="1"/>
    <col min="12063" max="12072" width="9" style="434" customWidth="1"/>
    <col min="12073" max="12076" width="2.28515625" style="434" customWidth="1"/>
    <col min="12077" max="12086" width="9" style="434" customWidth="1"/>
    <col min="12087" max="12088" width="2.28515625" style="434" customWidth="1"/>
    <col min="12089" max="12106" width="9" style="434" customWidth="1"/>
    <col min="12107" max="12288" width="9.28515625" style="434"/>
    <col min="12289" max="12290" width="2.28515625" style="434" customWidth="1"/>
    <col min="12291" max="12300" width="9" style="434" customWidth="1"/>
    <col min="12301" max="12304" width="2.28515625" style="434" customWidth="1"/>
    <col min="12305" max="12314" width="9" style="434" customWidth="1"/>
    <col min="12315" max="12318" width="2.28515625" style="434" customWidth="1"/>
    <col min="12319" max="12328" width="9" style="434" customWidth="1"/>
    <col min="12329" max="12332" width="2.28515625" style="434" customWidth="1"/>
    <col min="12333" max="12342" width="9" style="434" customWidth="1"/>
    <col min="12343" max="12344" width="2.28515625" style="434" customWidth="1"/>
    <col min="12345" max="12362" width="9" style="434" customWidth="1"/>
    <col min="12363" max="12544" width="9.28515625" style="434"/>
    <col min="12545" max="12546" width="2.28515625" style="434" customWidth="1"/>
    <col min="12547" max="12556" width="9" style="434" customWidth="1"/>
    <col min="12557" max="12560" width="2.28515625" style="434" customWidth="1"/>
    <col min="12561" max="12570" width="9" style="434" customWidth="1"/>
    <col min="12571" max="12574" width="2.28515625" style="434" customWidth="1"/>
    <col min="12575" max="12584" width="9" style="434" customWidth="1"/>
    <col min="12585" max="12588" width="2.28515625" style="434" customWidth="1"/>
    <col min="12589" max="12598" width="9" style="434" customWidth="1"/>
    <col min="12599" max="12600" width="2.28515625" style="434" customWidth="1"/>
    <col min="12601" max="12618" width="9" style="434" customWidth="1"/>
    <col min="12619" max="12800" width="9.28515625" style="434"/>
    <col min="12801" max="12802" width="2.28515625" style="434" customWidth="1"/>
    <col min="12803" max="12812" width="9" style="434" customWidth="1"/>
    <col min="12813" max="12816" width="2.28515625" style="434" customWidth="1"/>
    <col min="12817" max="12826" width="9" style="434" customWidth="1"/>
    <col min="12827" max="12830" width="2.28515625" style="434" customWidth="1"/>
    <col min="12831" max="12840" width="9" style="434" customWidth="1"/>
    <col min="12841" max="12844" width="2.28515625" style="434" customWidth="1"/>
    <col min="12845" max="12854" width="9" style="434" customWidth="1"/>
    <col min="12855" max="12856" width="2.28515625" style="434" customWidth="1"/>
    <col min="12857" max="12874" width="9" style="434" customWidth="1"/>
    <col min="12875" max="13056" width="9.28515625" style="434"/>
    <col min="13057" max="13058" width="2.28515625" style="434" customWidth="1"/>
    <col min="13059" max="13068" width="9" style="434" customWidth="1"/>
    <col min="13069" max="13072" width="2.28515625" style="434" customWidth="1"/>
    <col min="13073" max="13082" width="9" style="434" customWidth="1"/>
    <col min="13083" max="13086" width="2.28515625" style="434" customWidth="1"/>
    <col min="13087" max="13096" width="9" style="434" customWidth="1"/>
    <col min="13097" max="13100" width="2.28515625" style="434" customWidth="1"/>
    <col min="13101" max="13110" width="9" style="434" customWidth="1"/>
    <col min="13111" max="13112" width="2.28515625" style="434" customWidth="1"/>
    <col min="13113" max="13130" width="9" style="434" customWidth="1"/>
    <col min="13131" max="13312" width="9.28515625" style="434"/>
    <col min="13313" max="13314" width="2.28515625" style="434" customWidth="1"/>
    <col min="13315" max="13324" width="9" style="434" customWidth="1"/>
    <col min="13325" max="13328" width="2.28515625" style="434" customWidth="1"/>
    <col min="13329" max="13338" width="9" style="434" customWidth="1"/>
    <col min="13339" max="13342" width="2.28515625" style="434" customWidth="1"/>
    <col min="13343" max="13352" width="9" style="434" customWidth="1"/>
    <col min="13353" max="13356" width="2.28515625" style="434" customWidth="1"/>
    <col min="13357" max="13366" width="9" style="434" customWidth="1"/>
    <col min="13367" max="13368" width="2.28515625" style="434" customWidth="1"/>
    <col min="13369" max="13386" width="9" style="434" customWidth="1"/>
    <col min="13387" max="13568" width="9.28515625" style="434"/>
    <col min="13569" max="13570" width="2.28515625" style="434" customWidth="1"/>
    <col min="13571" max="13580" width="9" style="434" customWidth="1"/>
    <col min="13581" max="13584" width="2.28515625" style="434" customWidth="1"/>
    <col min="13585" max="13594" width="9" style="434" customWidth="1"/>
    <col min="13595" max="13598" width="2.28515625" style="434" customWidth="1"/>
    <col min="13599" max="13608" width="9" style="434" customWidth="1"/>
    <col min="13609" max="13612" width="2.28515625" style="434" customWidth="1"/>
    <col min="13613" max="13622" width="9" style="434" customWidth="1"/>
    <col min="13623" max="13624" width="2.28515625" style="434" customWidth="1"/>
    <col min="13625" max="13642" width="9" style="434" customWidth="1"/>
    <col min="13643" max="13824" width="9.28515625" style="434"/>
    <col min="13825" max="13826" width="2.28515625" style="434" customWidth="1"/>
    <col min="13827" max="13836" width="9" style="434" customWidth="1"/>
    <col min="13837" max="13840" width="2.28515625" style="434" customWidth="1"/>
    <col min="13841" max="13850" width="9" style="434" customWidth="1"/>
    <col min="13851" max="13854" width="2.28515625" style="434" customWidth="1"/>
    <col min="13855" max="13864" width="9" style="434" customWidth="1"/>
    <col min="13865" max="13868" width="2.28515625" style="434" customWidth="1"/>
    <col min="13869" max="13878" width="9" style="434" customWidth="1"/>
    <col min="13879" max="13880" width="2.28515625" style="434" customWidth="1"/>
    <col min="13881" max="13898" width="9" style="434" customWidth="1"/>
    <col min="13899" max="14080" width="9.28515625" style="434"/>
    <col min="14081" max="14082" width="2.28515625" style="434" customWidth="1"/>
    <col min="14083" max="14092" width="9" style="434" customWidth="1"/>
    <col min="14093" max="14096" width="2.28515625" style="434" customWidth="1"/>
    <col min="14097" max="14106" width="9" style="434" customWidth="1"/>
    <col min="14107" max="14110" width="2.28515625" style="434" customWidth="1"/>
    <col min="14111" max="14120" width="9" style="434" customWidth="1"/>
    <col min="14121" max="14124" width="2.28515625" style="434" customWidth="1"/>
    <col min="14125" max="14134" width="9" style="434" customWidth="1"/>
    <col min="14135" max="14136" width="2.28515625" style="434" customWidth="1"/>
    <col min="14137" max="14154" width="9" style="434" customWidth="1"/>
    <col min="14155" max="14336" width="9.28515625" style="434"/>
    <col min="14337" max="14338" width="2.28515625" style="434" customWidth="1"/>
    <col min="14339" max="14348" width="9" style="434" customWidth="1"/>
    <col min="14349" max="14352" width="2.28515625" style="434" customWidth="1"/>
    <col min="14353" max="14362" width="9" style="434" customWidth="1"/>
    <col min="14363" max="14366" width="2.28515625" style="434" customWidth="1"/>
    <col min="14367" max="14376" width="9" style="434" customWidth="1"/>
    <col min="14377" max="14380" width="2.28515625" style="434" customWidth="1"/>
    <col min="14381" max="14390" width="9" style="434" customWidth="1"/>
    <col min="14391" max="14392" width="2.28515625" style="434" customWidth="1"/>
    <col min="14393" max="14410" width="9" style="434" customWidth="1"/>
    <col min="14411" max="14592" width="9.28515625" style="434"/>
    <col min="14593" max="14594" width="2.28515625" style="434" customWidth="1"/>
    <col min="14595" max="14604" width="9" style="434" customWidth="1"/>
    <col min="14605" max="14608" width="2.28515625" style="434" customWidth="1"/>
    <col min="14609" max="14618" width="9" style="434" customWidth="1"/>
    <col min="14619" max="14622" width="2.28515625" style="434" customWidth="1"/>
    <col min="14623" max="14632" width="9" style="434" customWidth="1"/>
    <col min="14633" max="14636" width="2.28515625" style="434" customWidth="1"/>
    <col min="14637" max="14646" width="9" style="434" customWidth="1"/>
    <col min="14647" max="14648" width="2.28515625" style="434" customWidth="1"/>
    <col min="14649" max="14666" width="9" style="434" customWidth="1"/>
    <col min="14667" max="14848" width="9.28515625" style="434"/>
    <col min="14849" max="14850" width="2.28515625" style="434" customWidth="1"/>
    <col min="14851" max="14860" width="9" style="434" customWidth="1"/>
    <col min="14861" max="14864" width="2.28515625" style="434" customWidth="1"/>
    <col min="14865" max="14874" width="9" style="434" customWidth="1"/>
    <col min="14875" max="14878" width="2.28515625" style="434" customWidth="1"/>
    <col min="14879" max="14888" width="9" style="434" customWidth="1"/>
    <col min="14889" max="14892" width="2.28515625" style="434" customWidth="1"/>
    <col min="14893" max="14902" width="9" style="434" customWidth="1"/>
    <col min="14903" max="14904" width="2.28515625" style="434" customWidth="1"/>
    <col min="14905" max="14922" width="9" style="434" customWidth="1"/>
    <col min="14923" max="15104" width="9.28515625" style="434"/>
    <col min="15105" max="15106" width="2.28515625" style="434" customWidth="1"/>
    <col min="15107" max="15116" width="9" style="434" customWidth="1"/>
    <col min="15117" max="15120" width="2.28515625" style="434" customWidth="1"/>
    <col min="15121" max="15130" width="9" style="434" customWidth="1"/>
    <col min="15131" max="15134" width="2.28515625" style="434" customWidth="1"/>
    <col min="15135" max="15144" width="9" style="434" customWidth="1"/>
    <col min="15145" max="15148" width="2.28515625" style="434" customWidth="1"/>
    <col min="15149" max="15158" width="9" style="434" customWidth="1"/>
    <col min="15159" max="15160" width="2.28515625" style="434" customWidth="1"/>
    <col min="15161" max="15178" width="9" style="434" customWidth="1"/>
    <col min="15179" max="15360" width="9.28515625" style="434"/>
    <col min="15361" max="15362" width="2.28515625" style="434" customWidth="1"/>
    <col min="15363" max="15372" width="9" style="434" customWidth="1"/>
    <col min="15373" max="15376" width="2.28515625" style="434" customWidth="1"/>
    <col min="15377" max="15386" width="9" style="434" customWidth="1"/>
    <col min="15387" max="15390" width="2.28515625" style="434" customWidth="1"/>
    <col min="15391" max="15400" width="9" style="434" customWidth="1"/>
    <col min="15401" max="15404" width="2.28515625" style="434" customWidth="1"/>
    <col min="15405" max="15414" width="9" style="434" customWidth="1"/>
    <col min="15415" max="15416" width="2.28515625" style="434" customWidth="1"/>
    <col min="15417" max="15434" width="9" style="434" customWidth="1"/>
    <col min="15435" max="15616" width="9.28515625" style="434"/>
    <col min="15617" max="15618" width="2.28515625" style="434" customWidth="1"/>
    <col min="15619" max="15628" width="9" style="434" customWidth="1"/>
    <col min="15629" max="15632" width="2.28515625" style="434" customWidth="1"/>
    <col min="15633" max="15642" width="9" style="434" customWidth="1"/>
    <col min="15643" max="15646" width="2.28515625" style="434" customWidth="1"/>
    <col min="15647" max="15656" width="9" style="434" customWidth="1"/>
    <col min="15657" max="15660" width="2.28515625" style="434" customWidth="1"/>
    <col min="15661" max="15670" width="9" style="434" customWidth="1"/>
    <col min="15671" max="15672" width="2.28515625" style="434" customWidth="1"/>
    <col min="15673" max="15690" width="9" style="434" customWidth="1"/>
    <col min="15691" max="15872" width="9.28515625" style="434"/>
    <col min="15873" max="15874" width="2.28515625" style="434" customWidth="1"/>
    <col min="15875" max="15884" width="9" style="434" customWidth="1"/>
    <col min="15885" max="15888" width="2.28515625" style="434" customWidth="1"/>
    <col min="15889" max="15898" width="9" style="434" customWidth="1"/>
    <col min="15899" max="15902" width="2.28515625" style="434" customWidth="1"/>
    <col min="15903" max="15912" width="9" style="434" customWidth="1"/>
    <col min="15913" max="15916" width="2.28515625" style="434" customWidth="1"/>
    <col min="15917" max="15926" width="9" style="434" customWidth="1"/>
    <col min="15927" max="15928" width="2.28515625" style="434" customWidth="1"/>
    <col min="15929" max="15946" width="9" style="434" customWidth="1"/>
    <col min="15947" max="16128" width="9.28515625" style="434"/>
    <col min="16129" max="16130" width="2.28515625" style="434" customWidth="1"/>
    <col min="16131" max="16140" width="9" style="434" customWidth="1"/>
    <col min="16141" max="16144" width="2.28515625" style="434" customWidth="1"/>
    <col min="16145" max="16154" width="9" style="434" customWidth="1"/>
    <col min="16155" max="16158" width="2.28515625" style="434" customWidth="1"/>
    <col min="16159" max="16168" width="9" style="434" customWidth="1"/>
    <col min="16169" max="16172" width="2.28515625" style="434" customWidth="1"/>
    <col min="16173" max="16182" width="9" style="434" customWidth="1"/>
    <col min="16183" max="16184" width="2.28515625" style="434" customWidth="1"/>
    <col min="16185" max="16202" width="9" style="434" customWidth="1"/>
    <col min="16203" max="16384" width="9.28515625" style="434"/>
  </cols>
  <sheetData>
    <row r="1" spans="1:55" ht="18">
      <c r="A1" s="431"/>
      <c r="B1" s="431"/>
      <c r="C1" s="432" t="s">
        <v>256</v>
      </c>
      <c r="D1" s="431"/>
      <c r="E1" s="433" t="s">
        <v>0</v>
      </c>
      <c r="F1" s="431"/>
      <c r="G1" s="431"/>
      <c r="H1" s="431"/>
      <c r="I1" s="431"/>
      <c r="J1" s="431"/>
      <c r="K1" s="431"/>
      <c r="L1" s="431"/>
      <c r="M1" s="431"/>
      <c r="O1" s="431"/>
      <c r="P1" s="431"/>
      <c r="Q1" s="431"/>
      <c r="R1" s="435"/>
      <c r="S1" s="435"/>
      <c r="T1" s="435"/>
      <c r="U1" s="435"/>
      <c r="V1" s="435"/>
      <c r="W1" s="435"/>
      <c r="X1" s="435"/>
      <c r="Y1" s="435"/>
      <c r="Z1" s="435"/>
      <c r="AA1" s="435"/>
      <c r="AD1" s="431"/>
      <c r="AE1" s="431"/>
      <c r="AF1" s="431"/>
      <c r="AG1" s="431"/>
      <c r="AH1" s="431"/>
      <c r="AI1" s="431"/>
      <c r="AJ1" s="435"/>
      <c r="AK1" s="435"/>
      <c r="AL1" s="435"/>
      <c r="AM1" s="435"/>
      <c r="AN1" s="435"/>
      <c r="AO1" s="435"/>
      <c r="AP1" s="435"/>
      <c r="AQ1" s="435"/>
      <c r="AR1" s="435"/>
      <c r="AS1" s="435"/>
      <c r="AT1" s="431"/>
      <c r="AU1" s="431"/>
      <c r="AV1" s="431"/>
      <c r="AW1" s="431"/>
      <c r="AX1" s="431"/>
      <c r="AY1" s="431"/>
      <c r="AZ1" s="431"/>
      <c r="BA1" s="431"/>
      <c r="BB1" s="431"/>
      <c r="BC1" s="431"/>
    </row>
    <row r="2" spans="1:55" ht="12.75">
      <c r="A2" s="431"/>
      <c r="B2" s="437"/>
      <c r="C2" s="431"/>
      <c r="D2" s="438"/>
      <c r="E2" s="438"/>
      <c r="F2" s="438"/>
      <c r="G2" s="438"/>
      <c r="H2" s="438"/>
      <c r="I2" s="438"/>
      <c r="J2" s="438"/>
      <c r="K2" s="438"/>
      <c r="L2" s="438"/>
      <c r="M2" s="439"/>
      <c r="O2" s="431"/>
      <c r="P2" s="437"/>
      <c r="Q2" s="438"/>
      <c r="R2" s="438"/>
      <c r="S2" s="438"/>
      <c r="T2" s="438"/>
      <c r="U2" s="438"/>
      <c r="V2" s="438"/>
      <c r="W2" s="438"/>
      <c r="X2" s="438"/>
      <c r="Y2" s="438"/>
      <c r="Z2" s="438"/>
      <c r="AA2" s="439"/>
      <c r="AD2" s="437"/>
      <c r="AE2" s="438"/>
      <c r="AF2" s="438"/>
      <c r="AG2" s="438"/>
      <c r="AH2" s="438"/>
      <c r="AI2" s="438"/>
      <c r="AJ2" s="438"/>
      <c r="AK2" s="438"/>
      <c r="AL2" s="438"/>
      <c r="AM2" s="438"/>
      <c r="AN2" s="438"/>
      <c r="AO2" s="439"/>
      <c r="AR2" s="437"/>
      <c r="AS2" s="438"/>
      <c r="AT2" s="438"/>
      <c r="AU2" s="438"/>
      <c r="AV2" s="438"/>
      <c r="AW2" s="438"/>
      <c r="AX2" s="438"/>
      <c r="AY2" s="438"/>
      <c r="AZ2" s="438"/>
      <c r="BA2" s="438"/>
      <c r="BB2" s="438"/>
      <c r="BC2" s="439"/>
    </row>
    <row r="3" spans="1:55" ht="45" customHeight="1">
      <c r="A3" s="431"/>
      <c r="B3" s="440"/>
      <c r="D3" s="441"/>
      <c r="E3" s="441"/>
      <c r="F3" s="441"/>
      <c r="H3" s="441"/>
      <c r="I3" s="441"/>
      <c r="J3" s="441"/>
      <c r="K3" s="441"/>
      <c r="L3" s="441"/>
      <c r="M3" s="443"/>
      <c r="O3" s="431"/>
      <c r="P3" s="440"/>
      <c r="R3" s="441"/>
      <c r="S3" s="441"/>
      <c r="T3" s="441"/>
      <c r="U3" s="442" t="s">
        <v>257</v>
      </c>
      <c r="V3" s="441"/>
      <c r="W3" s="441"/>
      <c r="X3" s="441"/>
      <c r="Y3" s="441"/>
      <c r="Z3" s="441"/>
      <c r="AA3" s="443"/>
      <c r="AD3" s="440"/>
      <c r="AF3" s="441"/>
      <c r="AG3" s="441"/>
      <c r="AH3" s="441"/>
      <c r="AI3" s="442" t="s">
        <v>257</v>
      </c>
      <c r="AJ3" s="441"/>
      <c r="AK3" s="441"/>
      <c r="AL3" s="441"/>
      <c r="AM3" s="441"/>
      <c r="AN3" s="441"/>
      <c r="AO3" s="443"/>
      <c r="AR3" s="440"/>
      <c r="AT3" s="441"/>
      <c r="AU3" s="441"/>
      <c r="AV3" s="441"/>
      <c r="AW3" s="441"/>
      <c r="AX3" s="442" t="s">
        <v>257</v>
      </c>
      <c r="AY3" s="441"/>
      <c r="AZ3" s="441"/>
      <c r="BA3" s="441"/>
      <c r="BB3" s="441"/>
      <c r="BC3" s="443"/>
    </row>
    <row r="4" spans="1:55" ht="12.75">
      <c r="A4" s="431"/>
      <c r="B4" s="440"/>
      <c r="C4" s="431"/>
      <c r="D4" s="431"/>
      <c r="E4" s="431"/>
      <c r="F4" s="431"/>
      <c r="G4" s="431"/>
      <c r="H4" s="431"/>
      <c r="I4" s="431"/>
      <c r="J4" s="431"/>
      <c r="K4" s="431"/>
      <c r="L4" s="431"/>
      <c r="M4" s="443"/>
      <c r="O4" s="431"/>
      <c r="P4" s="440"/>
      <c r="Q4" s="431"/>
      <c r="R4" s="431"/>
      <c r="S4" s="431"/>
      <c r="T4" s="431"/>
      <c r="U4" s="431"/>
      <c r="V4" s="431"/>
      <c r="W4" s="431"/>
      <c r="X4" s="431"/>
      <c r="Y4" s="431"/>
      <c r="Z4" s="431"/>
      <c r="AA4" s="443"/>
      <c r="AD4" s="440"/>
      <c r="AE4" s="431"/>
      <c r="AF4" s="431"/>
      <c r="AG4" s="431"/>
      <c r="AH4" s="431"/>
      <c r="AI4" s="431"/>
      <c r="AJ4" s="431"/>
      <c r="AK4" s="431"/>
      <c r="AL4" s="431"/>
      <c r="AM4" s="431"/>
      <c r="AN4" s="431"/>
      <c r="AO4" s="443"/>
      <c r="AR4" s="440"/>
      <c r="AS4" s="431"/>
      <c r="AT4" s="431"/>
      <c r="AU4" s="431"/>
      <c r="AV4" s="431"/>
      <c r="AW4" s="431"/>
      <c r="AX4" s="431"/>
      <c r="AY4" s="431"/>
      <c r="AZ4" s="431"/>
      <c r="BA4" s="431"/>
      <c r="BB4" s="431"/>
      <c r="BC4" s="443"/>
    </row>
    <row r="5" spans="1:55" ht="12.75">
      <c r="A5" s="431"/>
      <c r="B5" s="440"/>
      <c r="C5" s="431"/>
      <c r="D5" s="431"/>
      <c r="E5" s="431"/>
      <c r="F5" s="431"/>
      <c r="G5" s="431"/>
      <c r="H5" s="431"/>
      <c r="I5" s="431"/>
      <c r="J5" s="431"/>
      <c r="K5" s="431"/>
      <c r="L5" s="431"/>
      <c r="M5" s="443"/>
      <c r="O5" s="431"/>
      <c r="P5" s="440"/>
      <c r="Q5" s="431"/>
      <c r="R5" s="431"/>
      <c r="S5" s="431"/>
      <c r="T5" s="431"/>
      <c r="U5" s="431"/>
      <c r="V5" s="431"/>
      <c r="W5" s="431"/>
      <c r="X5" s="431"/>
      <c r="Y5" s="431"/>
      <c r="Z5" s="431"/>
      <c r="AA5" s="443"/>
      <c r="AD5" s="440"/>
      <c r="AE5" s="431"/>
      <c r="AF5" s="431"/>
      <c r="AG5" s="431"/>
      <c r="AH5" s="431"/>
      <c r="AI5" s="431"/>
      <c r="AJ5" s="431"/>
      <c r="AK5" s="431"/>
      <c r="AL5" s="431"/>
      <c r="AM5" s="431"/>
      <c r="AN5" s="431"/>
      <c r="AO5" s="443"/>
      <c r="AR5" s="440"/>
      <c r="AS5" s="431"/>
      <c r="AT5" s="431"/>
      <c r="AU5" s="431"/>
      <c r="AV5" s="431"/>
      <c r="AW5" s="431"/>
      <c r="AX5" s="431"/>
      <c r="AY5" s="431"/>
      <c r="AZ5" s="431"/>
      <c r="BA5" s="431"/>
      <c r="BB5" s="431"/>
      <c r="BC5" s="443"/>
    </row>
    <row r="6" spans="1:55" ht="12.75">
      <c r="A6" s="431"/>
      <c r="B6" s="440"/>
      <c r="C6" s="431"/>
      <c r="D6" s="431"/>
      <c r="E6" s="431"/>
      <c r="F6" s="431"/>
      <c r="G6" s="431"/>
      <c r="H6" s="431"/>
      <c r="I6" s="431"/>
      <c r="J6" s="431"/>
      <c r="K6" s="431"/>
      <c r="L6" s="431"/>
      <c r="M6" s="443"/>
      <c r="O6" s="431"/>
      <c r="P6" s="440"/>
      <c r="Q6" s="431"/>
      <c r="R6" s="431"/>
      <c r="S6" s="431"/>
      <c r="T6" s="431"/>
      <c r="U6" s="431"/>
      <c r="V6" s="431"/>
      <c r="W6" s="431"/>
      <c r="X6" s="431"/>
      <c r="Y6" s="431"/>
      <c r="Z6" s="431"/>
      <c r="AA6" s="443"/>
      <c r="AD6" s="440"/>
      <c r="AE6" s="431"/>
      <c r="AF6" s="431"/>
      <c r="AG6" s="431"/>
      <c r="AH6" s="431"/>
      <c r="AI6" s="431"/>
      <c r="AJ6" s="431"/>
      <c r="AK6" s="431"/>
      <c r="AL6" s="431"/>
      <c r="AM6" s="431"/>
      <c r="AN6" s="431"/>
      <c r="AO6" s="443"/>
      <c r="AR6" s="440"/>
      <c r="AS6" s="431"/>
      <c r="AT6" s="431"/>
      <c r="AU6" s="431"/>
      <c r="AV6" s="431"/>
      <c r="AW6" s="431"/>
      <c r="AX6" s="431"/>
      <c r="AY6" s="431"/>
      <c r="AZ6" s="431"/>
      <c r="BA6" s="431"/>
      <c r="BB6" s="431"/>
      <c r="BC6" s="443"/>
    </row>
    <row r="7" spans="1:55" ht="18">
      <c r="A7" s="431"/>
      <c r="B7" s="440"/>
      <c r="C7" s="431"/>
      <c r="D7" s="431"/>
      <c r="E7" s="431"/>
      <c r="F7" s="431"/>
      <c r="G7" s="442" t="s">
        <v>257</v>
      </c>
      <c r="H7" s="431"/>
      <c r="I7" s="431"/>
      <c r="J7" s="431"/>
      <c r="K7" s="431"/>
      <c r="L7" s="431"/>
      <c r="M7" s="443"/>
      <c r="O7" s="431"/>
      <c r="P7" s="440"/>
      <c r="Q7" s="431"/>
      <c r="R7" s="431"/>
      <c r="S7" s="431"/>
      <c r="T7" s="431"/>
      <c r="U7" s="431"/>
      <c r="V7" s="431"/>
      <c r="W7" s="431"/>
      <c r="X7" s="431"/>
      <c r="Y7" s="431"/>
      <c r="Z7" s="431"/>
      <c r="AA7" s="443"/>
      <c r="AD7" s="440"/>
      <c r="AE7" s="431"/>
      <c r="AF7" s="431"/>
      <c r="AG7" s="431"/>
      <c r="AH7" s="431"/>
      <c r="AI7" s="431"/>
      <c r="AJ7" s="431"/>
      <c r="AK7" s="431"/>
      <c r="AL7" s="431"/>
      <c r="AM7" s="431"/>
      <c r="AN7" s="431"/>
      <c r="AO7" s="443"/>
      <c r="AR7" s="440"/>
      <c r="AS7" s="431"/>
      <c r="AT7" s="431"/>
      <c r="AU7" s="431"/>
      <c r="AV7" s="431"/>
      <c r="AW7" s="431"/>
      <c r="AX7" s="431"/>
      <c r="AY7" s="431"/>
      <c r="AZ7" s="431"/>
      <c r="BA7" s="431"/>
      <c r="BB7" s="431"/>
      <c r="BC7" s="443"/>
    </row>
    <row r="8" spans="1:55" ht="12.75">
      <c r="A8" s="431"/>
      <c r="B8" s="440"/>
      <c r="C8" s="444"/>
      <c r="D8" s="431"/>
      <c r="E8" s="445"/>
      <c r="F8" s="445"/>
      <c r="G8" s="445"/>
      <c r="H8" s="445"/>
      <c r="I8" s="445"/>
      <c r="J8" s="445"/>
      <c r="K8" s="445"/>
      <c r="L8" s="445"/>
      <c r="M8" s="443"/>
      <c r="O8" s="431"/>
      <c r="P8" s="440"/>
      <c r="Q8" s="444"/>
      <c r="R8" s="431"/>
      <c r="S8" s="446"/>
      <c r="T8" s="446"/>
      <c r="U8" s="446"/>
      <c r="V8" s="446"/>
      <c r="W8" s="446"/>
      <c r="X8" s="446"/>
      <c r="Y8" s="446"/>
      <c r="Z8" s="446"/>
      <c r="AA8" s="443"/>
      <c r="AD8" s="440"/>
      <c r="AE8" s="444"/>
      <c r="AF8" s="431"/>
      <c r="AG8" s="446"/>
      <c r="AH8" s="446"/>
      <c r="AI8" s="446"/>
      <c r="AJ8" s="446"/>
      <c r="AK8" s="446"/>
      <c r="AL8" s="446"/>
      <c r="AM8" s="446"/>
      <c r="AN8" s="446"/>
      <c r="AO8" s="443"/>
      <c r="AR8" s="440"/>
      <c r="AS8" s="444"/>
      <c r="AT8" s="431"/>
      <c r="AU8" s="446"/>
      <c r="AV8" s="446"/>
      <c r="AW8" s="446"/>
      <c r="AX8" s="446"/>
      <c r="AY8" s="446"/>
      <c r="AZ8" s="446"/>
      <c r="BA8" s="446"/>
      <c r="BB8" s="446"/>
      <c r="BC8" s="443"/>
    </row>
    <row r="9" spans="1:55" ht="12.75">
      <c r="A9" s="431"/>
      <c r="B9" s="440"/>
      <c r="C9" s="444"/>
      <c r="D9" s="431"/>
      <c r="E9" s="431"/>
      <c r="F9" s="431"/>
      <c r="G9" s="431"/>
      <c r="H9" s="431"/>
      <c r="I9" s="431"/>
      <c r="J9" s="431"/>
      <c r="K9" s="431"/>
      <c r="L9" s="431"/>
      <c r="M9" s="443"/>
      <c r="O9" s="431"/>
      <c r="P9" s="440"/>
      <c r="Q9" s="444"/>
      <c r="R9" s="431"/>
      <c r="S9" s="431"/>
      <c r="T9" s="431"/>
      <c r="U9" s="431"/>
      <c r="V9" s="431"/>
      <c r="W9" s="431"/>
      <c r="X9" s="431"/>
      <c r="Y9" s="431"/>
      <c r="Z9" s="431"/>
      <c r="AA9" s="443"/>
      <c r="AD9" s="440"/>
      <c r="AN9" s="431"/>
      <c r="AO9" s="443"/>
      <c r="AR9" s="440"/>
      <c r="AS9" s="444"/>
      <c r="AT9" s="431"/>
      <c r="AU9" s="431"/>
      <c r="AV9" s="431"/>
      <c r="AW9" s="431"/>
      <c r="AX9" s="431"/>
      <c r="AY9" s="431"/>
      <c r="AZ9" s="431"/>
      <c r="BA9" s="431"/>
      <c r="BB9" s="431"/>
      <c r="BC9" s="443"/>
    </row>
    <row r="10" spans="1:55" ht="12.75">
      <c r="A10" s="431"/>
      <c r="B10" s="440"/>
      <c r="C10" s="444"/>
      <c r="D10" s="431"/>
      <c r="E10" s="445"/>
      <c r="F10" s="445"/>
      <c r="G10" s="445"/>
      <c r="H10" s="445"/>
      <c r="I10" s="445"/>
      <c r="J10" s="445"/>
      <c r="K10" s="445"/>
      <c r="L10" s="445"/>
      <c r="M10" s="443"/>
      <c r="O10" s="431"/>
      <c r="P10" s="440"/>
      <c r="Q10" s="444"/>
      <c r="R10" s="431"/>
      <c r="S10" s="446"/>
      <c r="T10" s="446"/>
      <c r="U10" s="446"/>
      <c r="V10" s="446"/>
      <c r="W10" s="446"/>
      <c r="X10" s="446"/>
      <c r="Y10" s="446"/>
      <c r="Z10" s="446"/>
      <c r="AA10" s="443"/>
      <c r="AD10" s="440"/>
      <c r="AE10" s="444"/>
      <c r="AF10" s="431"/>
      <c r="AG10" s="446"/>
      <c r="AH10" s="446"/>
      <c r="AI10" s="446"/>
      <c r="AJ10" s="446"/>
      <c r="AK10" s="446"/>
      <c r="AL10" s="446"/>
      <c r="AM10" s="446"/>
      <c r="AN10" s="446"/>
      <c r="AO10" s="443"/>
      <c r="AR10" s="440"/>
      <c r="AS10" s="444"/>
      <c r="AT10" s="431"/>
      <c r="AU10" s="446"/>
      <c r="AV10" s="446"/>
      <c r="AW10" s="446"/>
      <c r="AX10" s="446"/>
      <c r="AY10" s="446"/>
      <c r="AZ10" s="446"/>
      <c r="BA10" s="446"/>
      <c r="BB10" s="446"/>
      <c r="BC10" s="443"/>
    </row>
    <row r="11" spans="1:55" ht="12.75">
      <c r="A11" s="431"/>
      <c r="B11" s="440"/>
      <c r="C11" s="444"/>
      <c r="D11" s="431"/>
      <c r="E11" s="431"/>
      <c r="F11" s="431"/>
      <c r="G11" s="431"/>
      <c r="H11" s="431"/>
      <c r="I11" s="431"/>
      <c r="J11" s="431"/>
      <c r="K11" s="431"/>
      <c r="L11" s="431"/>
      <c r="M11" s="443"/>
      <c r="O11" s="431"/>
      <c r="P11" s="440"/>
      <c r="Q11" s="444"/>
      <c r="R11" s="431"/>
      <c r="S11" s="431"/>
      <c r="T11" s="431"/>
      <c r="U11" s="431"/>
      <c r="V11" s="431"/>
      <c r="W11" s="431"/>
      <c r="X11" s="431"/>
      <c r="Y11" s="431"/>
      <c r="Z11" s="431"/>
      <c r="AA11" s="443"/>
      <c r="AD11" s="440"/>
      <c r="AE11" s="444"/>
      <c r="AF11" s="431"/>
      <c r="AG11" s="431"/>
      <c r="AH11" s="431"/>
      <c r="AI11" s="431"/>
      <c r="AJ11" s="431"/>
      <c r="AK11" s="431"/>
      <c r="AL11" s="431"/>
      <c r="AM11" s="431"/>
      <c r="AN11" s="431"/>
      <c r="AO11" s="443"/>
      <c r="AR11" s="440"/>
      <c r="AS11" s="444"/>
      <c r="AT11" s="431"/>
      <c r="AU11" s="431"/>
      <c r="AV11" s="431"/>
      <c r="AW11" s="431"/>
      <c r="AX11" s="431"/>
      <c r="AY11" s="431"/>
      <c r="AZ11" s="431"/>
      <c r="BA11" s="431"/>
      <c r="BB11" s="431"/>
      <c r="BC11" s="443"/>
    </row>
    <row r="12" spans="1:55" ht="12.75">
      <c r="A12" s="431"/>
      <c r="B12" s="440"/>
      <c r="C12" s="444"/>
      <c r="D12" s="431"/>
      <c r="E12" s="445"/>
      <c r="F12" s="445"/>
      <c r="G12" s="445"/>
      <c r="H12" s="445"/>
      <c r="I12" s="445"/>
      <c r="J12" s="445"/>
      <c r="K12" s="445"/>
      <c r="L12" s="445"/>
      <c r="M12" s="443"/>
      <c r="O12" s="431"/>
      <c r="P12" s="440"/>
      <c r="Q12" s="444"/>
      <c r="R12" s="431"/>
      <c r="S12" s="446"/>
      <c r="T12" s="446"/>
      <c r="U12" s="446"/>
      <c r="V12" s="446"/>
      <c r="W12" s="446"/>
      <c r="X12" s="446"/>
      <c r="Y12" s="446"/>
      <c r="Z12" s="446"/>
      <c r="AA12" s="443"/>
      <c r="AD12" s="440"/>
      <c r="AE12" s="444"/>
      <c r="AF12" s="431"/>
      <c r="AG12" s="446"/>
      <c r="AH12" s="446"/>
      <c r="AI12" s="446"/>
      <c r="AJ12" s="446"/>
      <c r="AK12" s="446"/>
      <c r="AL12" s="446"/>
      <c r="AM12" s="446"/>
      <c r="AN12" s="446"/>
      <c r="AO12" s="443"/>
      <c r="AR12" s="440"/>
      <c r="AS12" s="444"/>
      <c r="AT12" s="431"/>
      <c r="AU12" s="446"/>
      <c r="AV12" s="446"/>
      <c r="AW12" s="446"/>
      <c r="AX12" s="446"/>
      <c r="AY12" s="446"/>
      <c r="AZ12" s="446"/>
      <c r="BA12" s="446"/>
      <c r="BB12" s="446"/>
      <c r="BC12" s="443"/>
    </row>
    <row r="13" spans="1:55" ht="12.75">
      <c r="A13" s="431"/>
      <c r="B13" s="440"/>
      <c r="C13" s="444"/>
      <c r="D13" s="431"/>
      <c r="E13" s="431"/>
      <c r="F13" s="431"/>
      <c r="G13" s="431"/>
      <c r="H13" s="431"/>
      <c r="I13" s="431"/>
      <c r="J13" s="431"/>
      <c r="K13" s="431"/>
      <c r="L13" s="431"/>
      <c r="M13" s="443"/>
      <c r="O13" s="431"/>
      <c r="P13" s="440"/>
      <c r="Q13" s="444"/>
      <c r="R13" s="431"/>
      <c r="S13" s="431"/>
      <c r="T13" s="431"/>
      <c r="U13" s="431"/>
      <c r="V13" s="431"/>
      <c r="W13" s="431"/>
      <c r="X13" s="431"/>
      <c r="Y13" s="431"/>
      <c r="Z13" s="431"/>
      <c r="AA13" s="443"/>
      <c r="AD13" s="440"/>
      <c r="AE13" s="444"/>
      <c r="AF13" s="431"/>
      <c r="AG13" s="431"/>
      <c r="AH13" s="431"/>
      <c r="AI13" s="431"/>
      <c r="AJ13" s="431"/>
      <c r="AK13" s="431"/>
      <c r="AL13" s="431"/>
      <c r="AM13" s="431"/>
      <c r="AN13" s="431"/>
      <c r="AO13" s="443"/>
      <c r="AR13" s="440"/>
      <c r="AS13" s="444"/>
      <c r="AT13" s="431"/>
      <c r="AU13" s="431"/>
      <c r="AV13" s="431"/>
      <c r="AW13" s="431"/>
      <c r="AX13" s="431"/>
      <c r="AY13" s="431"/>
      <c r="AZ13" s="431"/>
      <c r="BA13" s="431"/>
      <c r="BB13" s="431"/>
      <c r="BC13" s="443"/>
    </row>
    <row r="14" spans="1:55" ht="12.75">
      <c r="A14" s="431"/>
      <c r="B14" s="440"/>
      <c r="C14" s="444"/>
      <c r="D14" s="431"/>
      <c r="E14" s="445"/>
      <c r="F14" s="445"/>
      <c r="G14" s="445"/>
      <c r="H14" s="445"/>
      <c r="I14" s="445"/>
      <c r="J14" s="445"/>
      <c r="K14" s="445"/>
      <c r="L14" s="445"/>
      <c r="M14" s="443"/>
      <c r="O14" s="431"/>
      <c r="P14" s="440"/>
      <c r="Q14" s="444"/>
      <c r="R14" s="431"/>
      <c r="S14" s="446"/>
      <c r="T14" s="446"/>
      <c r="U14" s="446"/>
      <c r="V14" s="446"/>
      <c r="W14" s="446"/>
      <c r="X14" s="446"/>
      <c r="Y14" s="446"/>
      <c r="Z14" s="446"/>
      <c r="AA14" s="443"/>
      <c r="AD14" s="440"/>
      <c r="AE14" s="444"/>
      <c r="AF14" s="431"/>
      <c r="AG14" s="446"/>
      <c r="AH14" s="446"/>
      <c r="AI14" s="446"/>
      <c r="AJ14" s="446"/>
      <c r="AK14" s="446"/>
      <c r="AL14" s="446"/>
      <c r="AM14" s="446"/>
      <c r="AN14" s="446"/>
      <c r="AO14" s="443"/>
      <c r="AR14" s="440"/>
      <c r="AS14" s="444"/>
      <c r="AT14" s="431"/>
      <c r="AU14" s="446"/>
      <c r="AV14" s="446"/>
      <c r="AW14" s="446"/>
      <c r="AX14" s="446"/>
      <c r="AY14" s="446"/>
      <c r="AZ14" s="446"/>
      <c r="BA14" s="446"/>
      <c r="BB14" s="446"/>
      <c r="BC14" s="443"/>
    </row>
    <row r="15" spans="1:55" ht="12.75">
      <c r="A15" s="431"/>
      <c r="B15" s="440"/>
      <c r="C15" s="444"/>
      <c r="D15" s="431"/>
      <c r="E15" s="431"/>
      <c r="F15" s="431"/>
      <c r="G15" s="431"/>
      <c r="H15" s="431"/>
      <c r="I15" s="431"/>
      <c r="J15" s="431"/>
      <c r="K15" s="431"/>
      <c r="L15" s="431"/>
      <c r="M15" s="443"/>
      <c r="O15" s="431"/>
      <c r="P15" s="440"/>
      <c r="Q15" s="444"/>
      <c r="R15" s="431"/>
      <c r="S15" s="431"/>
      <c r="T15" s="431"/>
      <c r="U15" s="431"/>
      <c r="V15" s="431"/>
      <c r="W15" s="431"/>
      <c r="X15" s="431"/>
      <c r="Y15" s="431"/>
      <c r="Z15" s="431"/>
      <c r="AA15" s="443"/>
      <c r="AD15" s="440"/>
      <c r="AE15" s="444"/>
      <c r="AF15" s="431"/>
      <c r="AG15" s="431"/>
      <c r="AH15" s="431"/>
      <c r="AI15" s="431"/>
      <c r="AJ15" s="431"/>
      <c r="AK15" s="431"/>
      <c r="AL15" s="431"/>
      <c r="AM15" s="431"/>
      <c r="AN15" s="431"/>
      <c r="AO15" s="443"/>
      <c r="AR15" s="440"/>
      <c r="AS15" s="444"/>
      <c r="AT15" s="431"/>
      <c r="AU15" s="431"/>
      <c r="AV15" s="431"/>
      <c r="AW15" s="431"/>
      <c r="AX15" s="431"/>
      <c r="AY15" s="431"/>
      <c r="AZ15" s="431"/>
      <c r="BA15" s="431"/>
      <c r="BB15" s="431"/>
      <c r="BC15" s="443"/>
    </row>
    <row r="16" spans="1:55" ht="12.75">
      <c r="A16" s="431"/>
      <c r="B16" s="440"/>
      <c r="C16" s="444"/>
      <c r="D16" s="431"/>
      <c r="E16" s="13"/>
      <c r="F16" s="228"/>
      <c r="G16" s="444"/>
      <c r="H16" s="431"/>
      <c r="I16" s="431"/>
      <c r="J16" s="431"/>
      <c r="K16" s="14"/>
      <c r="L16" s="431"/>
      <c r="M16" s="443"/>
      <c r="O16" s="431"/>
      <c r="P16" s="440"/>
      <c r="Q16" s="444"/>
      <c r="R16" s="431"/>
      <c r="S16" s="427"/>
      <c r="T16" s="427"/>
      <c r="U16" s="447"/>
      <c r="V16" s="447"/>
      <c r="W16" s="447"/>
      <c r="X16" s="447"/>
      <c r="Y16" s="425"/>
      <c r="Z16" s="425"/>
      <c r="AA16" s="443"/>
      <c r="AD16" s="440"/>
      <c r="AE16" s="444"/>
      <c r="AF16" s="431"/>
      <c r="AG16" s="427"/>
      <c r="AH16" s="427"/>
      <c r="AI16" s="447"/>
      <c r="AJ16" s="447"/>
      <c r="AK16" s="447"/>
      <c r="AL16" s="447"/>
      <c r="AM16" s="425"/>
      <c r="AN16" s="425"/>
      <c r="AO16" s="443"/>
      <c r="AR16" s="440"/>
      <c r="AS16" s="444"/>
      <c r="AT16" s="431"/>
      <c r="AU16" s="427"/>
      <c r="AV16" s="427"/>
      <c r="AW16" s="447"/>
      <c r="AX16" s="447"/>
      <c r="AY16" s="447"/>
      <c r="AZ16" s="447"/>
      <c r="BA16" s="425"/>
      <c r="BB16" s="425"/>
      <c r="BC16" s="443"/>
    </row>
    <row r="17" spans="1:55" ht="12.75">
      <c r="A17" s="431"/>
      <c r="B17" s="440"/>
      <c r="C17" s="444"/>
      <c r="D17" s="431"/>
      <c r="E17" s="431"/>
      <c r="F17" s="431"/>
      <c r="G17" s="431"/>
      <c r="H17" s="431"/>
      <c r="I17" s="431"/>
      <c r="J17" s="431"/>
      <c r="K17" s="431"/>
      <c r="L17" s="431"/>
      <c r="M17" s="443"/>
      <c r="O17" s="431"/>
      <c r="P17" s="440"/>
      <c r="Q17" s="444"/>
      <c r="R17" s="431"/>
      <c r="S17" s="431"/>
      <c r="T17" s="431"/>
      <c r="U17" s="431"/>
      <c r="V17" s="431"/>
      <c r="W17" s="431"/>
      <c r="X17" s="431"/>
      <c r="Y17" s="431"/>
      <c r="Z17" s="431"/>
      <c r="AA17" s="443"/>
      <c r="AD17" s="440"/>
      <c r="AE17" s="444"/>
      <c r="AF17" s="431"/>
      <c r="AG17" s="431"/>
      <c r="AH17" s="431"/>
      <c r="AI17" s="431"/>
      <c r="AJ17" s="431"/>
      <c r="AK17" s="431"/>
      <c r="AL17" s="431"/>
      <c r="AM17" s="431"/>
      <c r="AN17" s="431"/>
      <c r="AO17" s="443"/>
      <c r="AR17" s="440"/>
      <c r="AS17" s="444"/>
      <c r="AT17" s="431"/>
      <c r="AU17" s="431"/>
      <c r="AV17" s="431"/>
      <c r="AW17" s="431"/>
      <c r="AX17" s="431"/>
      <c r="AY17" s="431"/>
      <c r="AZ17" s="431"/>
      <c r="BA17" s="431"/>
      <c r="BB17" s="431"/>
      <c r="BC17" s="443"/>
    </row>
    <row r="18" spans="1:55" ht="12.75">
      <c r="A18" s="431"/>
      <c r="B18" s="440"/>
      <c r="C18" s="444"/>
      <c r="D18" s="431"/>
      <c r="E18" s="445"/>
      <c r="F18" s="445"/>
      <c r="G18" s="445"/>
      <c r="H18" s="445"/>
      <c r="I18" s="445"/>
      <c r="J18" s="445"/>
      <c r="K18" s="445"/>
      <c r="L18" s="445"/>
      <c r="M18" s="443"/>
      <c r="O18" s="431"/>
      <c r="P18" s="440"/>
      <c r="Q18" s="444"/>
      <c r="R18" s="431"/>
      <c r="S18" s="446"/>
      <c r="T18" s="446"/>
      <c r="U18" s="446"/>
      <c r="V18" s="446"/>
      <c r="W18" s="446"/>
      <c r="X18" s="446"/>
      <c r="Y18" s="446"/>
      <c r="Z18" s="446"/>
      <c r="AA18" s="443"/>
      <c r="AD18" s="440"/>
      <c r="AE18" s="444"/>
      <c r="AF18" s="431"/>
      <c r="AG18" s="446"/>
      <c r="AH18" s="446"/>
      <c r="AI18" s="446"/>
      <c r="AJ18" s="446"/>
      <c r="AK18" s="446"/>
      <c r="AL18" s="446"/>
      <c r="AM18" s="446"/>
      <c r="AN18" s="446"/>
      <c r="AO18" s="443"/>
      <c r="AR18" s="440"/>
      <c r="AS18" s="444"/>
      <c r="AT18" s="431"/>
      <c r="AU18" s="446"/>
      <c r="AV18" s="446"/>
      <c r="AW18" s="446"/>
      <c r="AX18" s="446"/>
      <c r="AY18" s="446"/>
      <c r="AZ18" s="446"/>
      <c r="BA18" s="446"/>
      <c r="BB18" s="446"/>
      <c r="BC18" s="443"/>
    </row>
    <row r="19" spans="1:55" ht="12.75">
      <c r="A19" s="431"/>
      <c r="B19" s="440"/>
      <c r="C19" s="444"/>
      <c r="D19" s="431"/>
      <c r="E19" s="431"/>
      <c r="F19" s="431"/>
      <c r="G19" s="431"/>
      <c r="H19" s="431"/>
      <c r="I19" s="431"/>
      <c r="J19" s="431"/>
      <c r="K19" s="431"/>
      <c r="L19" s="431"/>
      <c r="M19" s="443"/>
      <c r="O19" s="431"/>
      <c r="P19" s="440"/>
      <c r="Q19" s="444"/>
      <c r="R19" s="431"/>
      <c r="S19" s="431"/>
      <c r="T19" s="431"/>
      <c r="U19" s="431"/>
      <c r="V19" s="431"/>
      <c r="W19" s="431"/>
      <c r="X19" s="431"/>
      <c r="Y19" s="431"/>
      <c r="Z19" s="431"/>
      <c r="AA19" s="443"/>
      <c r="AD19" s="440"/>
      <c r="AE19" s="444"/>
      <c r="AF19" s="431"/>
      <c r="AG19" s="431"/>
      <c r="AH19" s="431"/>
      <c r="AI19" s="431"/>
      <c r="AJ19" s="431"/>
      <c r="AK19" s="431"/>
      <c r="AL19" s="431"/>
      <c r="AM19" s="431"/>
      <c r="AN19" s="431"/>
      <c r="AO19" s="443"/>
      <c r="AR19" s="440"/>
      <c r="AS19" s="444"/>
      <c r="AT19" s="431"/>
      <c r="AU19" s="431"/>
      <c r="AV19" s="431"/>
      <c r="AW19" s="431"/>
      <c r="AX19" s="431"/>
      <c r="AY19" s="431"/>
      <c r="AZ19" s="431"/>
      <c r="BA19" s="431"/>
      <c r="BB19" s="431"/>
      <c r="BC19" s="443"/>
    </row>
    <row r="20" spans="1:55" ht="12.75">
      <c r="A20" s="431"/>
      <c r="B20" s="440"/>
      <c r="C20" s="444"/>
      <c r="D20" s="431"/>
      <c r="E20" s="445"/>
      <c r="F20" s="445"/>
      <c r="G20" s="445"/>
      <c r="H20" s="445"/>
      <c r="I20" s="445"/>
      <c r="J20" s="445"/>
      <c r="K20" s="445"/>
      <c r="L20" s="445"/>
      <c r="M20" s="443"/>
      <c r="O20" s="431"/>
      <c r="P20" s="440"/>
      <c r="Q20" s="444"/>
      <c r="R20" s="431"/>
      <c r="S20" s="446"/>
      <c r="T20" s="446"/>
      <c r="U20" s="446"/>
      <c r="V20" s="446"/>
      <c r="W20" s="446"/>
      <c r="X20" s="446"/>
      <c r="Y20" s="446"/>
      <c r="Z20" s="446"/>
      <c r="AA20" s="443"/>
      <c r="AD20" s="440"/>
      <c r="AE20" s="444"/>
      <c r="AF20" s="431"/>
      <c r="AG20" s="446"/>
      <c r="AH20" s="446"/>
      <c r="AI20" s="446"/>
      <c r="AJ20" s="446"/>
      <c r="AK20" s="446"/>
      <c r="AL20" s="446"/>
      <c r="AM20" s="446"/>
      <c r="AN20" s="446"/>
      <c r="AO20" s="443"/>
      <c r="AR20" s="440"/>
      <c r="AS20" s="444"/>
      <c r="AT20" s="431"/>
      <c r="AU20" s="446"/>
      <c r="AV20" s="446"/>
      <c r="AW20" s="446"/>
      <c r="AX20" s="446"/>
      <c r="AY20" s="446"/>
      <c r="AZ20" s="446"/>
      <c r="BA20" s="446"/>
      <c r="BB20" s="446"/>
      <c r="BC20" s="443"/>
    </row>
    <row r="21" spans="1:55" ht="12.75">
      <c r="A21" s="431"/>
      <c r="B21" s="440"/>
      <c r="C21" s="444"/>
      <c r="D21" s="431"/>
      <c r="E21" s="431"/>
      <c r="F21" s="431"/>
      <c r="G21" s="431"/>
      <c r="H21" s="431"/>
      <c r="I21" s="431"/>
      <c r="J21" s="431"/>
      <c r="K21" s="431"/>
      <c r="L21" s="431"/>
      <c r="M21" s="443"/>
      <c r="O21" s="431"/>
      <c r="P21" s="440"/>
      <c r="Q21" s="444"/>
      <c r="R21" s="431"/>
      <c r="S21" s="431"/>
      <c r="T21" s="431"/>
      <c r="U21" s="431"/>
      <c r="V21" s="431"/>
      <c r="W21" s="431"/>
      <c r="X21" s="431"/>
      <c r="Y21" s="431"/>
      <c r="Z21" s="431"/>
      <c r="AA21" s="443"/>
      <c r="AD21" s="440"/>
      <c r="AE21" s="444"/>
      <c r="AF21" s="431"/>
      <c r="AG21" s="431"/>
      <c r="AH21" s="431"/>
      <c r="AI21" s="431"/>
      <c r="AJ21" s="431"/>
      <c r="AK21" s="431"/>
      <c r="AL21" s="431"/>
      <c r="AM21" s="431"/>
      <c r="AN21" s="431"/>
      <c r="AO21" s="443"/>
      <c r="AR21" s="440"/>
      <c r="AS21" s="444"/>
      <c r="AT21" s="431"/>
      <c r="AU21" s="431"/>
      <c r="AV21" s="431"/>
      <c r="AW21" s="431"/>
      <c r="AX21" s="431"/>
      <c r="AY21" s="431"/>
      <c r="AZ21" s="431"/>
      <c r="BA21" s="431"/>
      <c r="BB21" s="431"/>
      <c r="BC21" s="443"/>
    </row>
    <row r="22" spans="1:55" ht="12.75">
      <c r="A22" s="431"/>
      <c r="B22" s="440"/>
      <c r="C22" s="444"/>
      <c r="D22" s="431"/>
      <c r="E22" s="445"/>
      <c r="F22" s="445"/>
      <c r="G22" s="445"/>
      <c r="H22" s="445"/>
      <c r="I22" s="445"/>
      <c r="J22" s="445"/>
      <c r="K22" s="445"/>
      <c r="L22" s="445"/>
      <c r="M22" s="443"/>
      <c r="O22" s="431"/>
      <c r="P22" s="440"/>
      <c r="Q22" s="444"/>
      <c r="R22" s="431"/>
      <c r="S22" s="446"/>
      <c r="T22" s="446"/>
      <c r="U22" s="446"/>
      <c r="V22" s="446"/>
      <c r="W22" s="446"/>
      <c r="X22" s="446"/>
      <c r="Y22" s="446"/>
      <c r="Z22" s="446"/>
      <c r="AA22" s="443"/>
      <c r="AD22" s="440"/>
      <c r="AE22" s="444"/>
      <c r="AF22" s="431"/>
      <c r="AG22" s="446"/>
      <c r="AH22" s="446"/>
      <c r="AI22" s="446"/>
      <c r="AJ22" s="446"/>
      <c r="AK22" s="446"/>
      <c r="AL22" s="446"/>
      <c r="AM22" s="446"/>
      <c r="AN22" s="446"/>
      <c r="AO22" s="443"/>
      <c r="AR22" s="440"/>
      <c r="AS22" s="444"/>
      <c r="AT22" s="431"/>
      <c r="AU22" s="446"/>
      <c r="AV22" s="446"/>
      <c r="AW22" s="446"/>
      <c r="AX22" s="446"/>
      <c r="AY22" s="446"/>
      <c r="AZ22" s="446"/>
      <c r="BA22" s="446"/>
      <c r="BB22" s="446"/>
      <c r="BC22" s="443"/>
    </row>
    <row r="23" spans="1:55" ht="12.75">
      <c r="A23" s="431"/>
      <c r="B23" s="440"/>
      <c r="C23" s="444"/>
      <c r="D23" s="431"/>
      <c r="E23" s="445"/>
      <c r="F23" s="445"/>
      <c r="G23" s="445"/>
      <c r="H23" s="445"/>
      <c r="I23" s="445"/>
      <c r="J23" s="445"/>
      <c r="K23" s="445"/>
      <c r="L23" s="445"/>
      <c r="M23" s="443"/>
      <c r="O23" s="431"/>
      <c r="P23" s="440"/>
      <c r="Q23" s="444"/>
      <c r="R23" s="431"/>
      <c r="S23" s="446"/>
      <c r="T23" s="446"/>
      <c r="U23" s="446"/>
      <c r="V23" s="446"/>
      <c r="W23" s="446"/>
      <c r="X23" s="446"/>
      <c r="Y23" s="446"/>
      <c r="Z23" s="446"/>
      <c r="AA23" s="443"/>
      <c r="AD23" s="440"/>
      <c r="AE23" s="444"/>
      <c r="AF23" s="431"/>
      <c r="AG23" s="446"/>
      <c r="AH23" s="446"/>
      <c r="AI23" s="446"/>
      <c r="AJ23" s="446"/>
      <c r="AK23" s="446"/>
      <c r="AL23" s="446"/>
      <c r="AM23" s="446"/>
      <c r="AN23" s="446"/>
      <c r="AO23" s="443"/>
      <c r="AR23" s="440"/>
      <c r="AS23" s="444"/>
      <c r="AT23" s="431"/>
      <c r="AU23" s="446"/>
      <c r="AV23" s="446"/>
      <c r="AW23" s="446"/>
      <c r="AX23" s="446"/>
      <c r="AY23" s="446"/>
      <c r="AZ23" s="446"/>
      <c r="BA23" s="446"/>
      <c r="BB23" s="446"/>
      <c r="BC23" s="443"/>
    </row>
    <row r="24" spans="1:55" ht="12.75">
      <c r="A24" s="431"/>
      <c r="B24" s="440"/>
      <c r="C24" s="444"/>
      <c r="D24" s="431"/>
      <c r="E24" s="445"/>
      <c r="F24" s="445"/>
      <c r="G24" s="445"/>
      <c r="H24" s="445"/>
      <c r="I24" s="445"/>
      <c r="J24" s="445"/>
      <c r="K24" s="445"/>
      <c r="L24" s="445"/>
      <c r="M24" s="443"/>
      <c r="O24" s="431"/>
      <c r="P24" s="440"/>
      <c r="Q24" s="444"/>
      <c r="R24" s="431"/>
      <c r="S24" s="446"/>
      <c r="T24" s="446"/>
      <c r="U24" s="446"/>
      <c r="V24" s="446"/>
      <c r="W24" s="446"/>
      <c r="X24" s="446"/>
      <c r="Y24" s="446"/>
      <c r="Z24" s="446"/>
      <c r="AA24" s="443"/>
      <c r="AD24" s="440"/>
      <c r="AE24" s="444"/>
      <c r="AF24" s="431"/>
      <c r="AG24" s="446"/>
      <c r="AH24" s="446"/>
      <c r="AI24" s="446"/>
      <c r="AJ24" s="446"/>
      <c r="AK24" s="446"/>
      <c r="AL24" s="446"/>
      <c r="AM24" s="446"/>
      <c r="AN24" s="446"/>
      <c r="AO24" s="443"/>
      <c r="AR24" s="440"/>
      <c r="AS24" s="444"/>
      <c r="AT24" s="431"/>
      <c r="AU24" s="446"/>
      <c r="AV24" s="446"/>
      <c r="AW24" s="446"/>
      <c r="AX24" s="446"/>
      <c r="AY24" s="446"/>
      <c r="AZ24" s="446"/>
      <c r="BA24" s="446"/>
      <c r="BB24" s="446"/>
      <c r="BC24" s="443"/>
    </row>
    <row r="25" spans="1:55" ht="12.75">
      <c r="A25" s="431"/>
      <c r="B25" s="440"/>
      <c r="C25" s="444"/>
      <c r="D25" s="431"/>
      <c r="E25" s="431"/>
      <c r="F25" s="431"/>
      <c r="G25" s="431"/>
      <c r="H25" s="431"/>
      <c r="I25" s="431"/>
      <c r="J25" s="431"/>
      <c r="K25" s="431"/>
      <c r="L25" s="431"/>
      <c r="M25" s="443"/>
      <c r="O25" s="431"/>
      <c r="P25" s="440"/>
      <c r="Q25" s="444"/>
      <c r="R25" s="431"/>
      <c r="S25" s="431"/>
      <c r="T25" s="431"/>
      <c r="U25" s="431"/>
      <c r="V25" s="431"/>
      <c r="W25" s="431"/>
      <c r="X25" s="431"/>
      <c r="Y25" s="431"/>
      <c r="Z25" s="431"/>
      <c r="AA25" s="443"/>
      <c r="AD25" s="440"/>
      <c r="AE25" s="444"/>
      <c r="AF25" s="431"/>
      <c r="AG25" s="431"/>
      <c r="AH25" s="431"/>
      <c r="AI25" s="431"/>
      <c r="AJ25" s="431"/>
      <c r="AK25" s="431"/>
      <c r="AL25" s="431"/>
      <c r="AM25" s="431"/>
      <c r="AN25" s="431"/>
      <c r="AO25" s="443"/>
      <c r="AR25" s="440"/>
      <c r="AS25" s="444"/>
      <c r="AT25" s="431"/>
      <c r="AU25" s="431"/>
      <c r="AV25" s="431"/>
      <c r="AW25" s="431"/>
      <c r="AX25" s="431"/>
      <c r="AY25" s="431"/>
      <c r="AZ25" s="431"/>
      <c r="BA25" s="431"/>
      <c r="BB25" s="431"/>
      <c r="BC25" s="443"/>
    </row>
    <row r="26" spans="1:55" ht="12.75">
      <c r="A26" s="431"/>
      <c r="B26" s="440"/>
      <c r="C26" s="444"/>
      <c r="D26" s="431"/>
      <c r="E26" s="14"/>
      <c r="F26" s="431"/>
      <c r="G26" s="447"/>
      <c r="H26" s="1"/>
      <c r="I26" s="445"/>
      <c r="J26" s="445"/>
      <c r="K26" s="431"/>
      <c r="L26" s="431"/>
      <c r="M26" s="443"/>
      <c r="O26" s="431"/>
      <c r="P26" s="440"/>
      <c r="Q26" s="444"/>
      <c r="R26" s="431"/>
      <c r="S26" s="425"/>
      <c r="T26" s="425"/>
      <c r="U26" s="447"/>
      <c r="V26" s="426"/>
      <c r="W26" s="426"/>
      <c r="X26" s="426"/>
      <c r="Y26" s="426"/>
      <c r="Z26" s="426"/>
      <c r="AA26" s="443"/>
      <c r="AD26" s="440"/>
      <c r="AE26" s="444"/>
      <c r="AF26" s="431"/>
      <c r="AG26" s="425"/>
      <c r="AH26" s="425"/>
      <c r="AI26" s="447"/>
      <c r="AJ26" s="426"/>
      <c r="AK26" s="426"/>
      <c r="AL26" s="426"/>
      <c r="AM26" s="426"/>
      <c r="AN26" s="426"/>
      <c r="AO26" s="443"/>
      <c r="AR26" s="440"/>
      <c r="AS26" s="444"/>
      <c r="AT26" s="431"/>
      <c r="AU26" s="425"/>
      <c r="AV26" s="425"/>
      <c r="AW26" s="447"/>
      <c r="AX26" s="426"/>
      <c r="AY26" s="426"/>
      <c r="AZ26" s="426"/>
      <c r="BA26" s="426"/>
      <c r="BB26" s="426"/>
      <c r="BC26" s="443"/>
    </row>
    <row r="27" spans="1:55" ht="12.75">
      <c r="A27" s="431"/>
      <c r="B27" s="440"/>
      <c r="C27" s="431"/>
      <c r="D27" s="431"/>
      <c r="E27" s="431"/>
      <c r="F27" s="431"/>
      <c r="G27" s="431"/>
      <c r="H27" s="431"/>
      <c r="I27" s="431"/>
      <c r="J27" s="431"/>
      <c r="K27" s="431"/>
      <c r="L27" s="431"/>
      <c r="M27" s="443"/>
      <c r="O27" s="431"/>
      <c r="P27" s="440"/>
      <c r="Q27" s="431"/>
      <c r="R27" s="431"/>
      <c r="S27" s="431"/>
      <c r="T27" s="431"/>
      <c r="U27" s="431"/>
      <c r="V27" s="431"/>
      <c r="W27" s="431"/>
      <c r="X27" s="431"/>
      <c r="Y27" s="431"/>
      <c r="Z27" s="431"/>
      <c r="AA27" s="443"/>
      <c r="AD27" s="440"/>
      <c r="AE27" s="431"/>
      <c r="AF27" s="431"/>
      <c r="AG27" s="431"/>
      <c r="AH27" s="431"/>
      <c r="AI27" s="431"/>
      <c r="AJ27" s="431"/>
      <c r="AK27" s="431"/>
      <c r="AL27" s="431"/>
      <c r="AM27" s="431"/>
      <c r="AN27" s="431"/>
      <c r="AO27" s="443"/>
      <c r="AR27" s="440"/>
      <c r="AS27" s="431"/>
      <c r="AT27" s="431"/>
      <c r="AU27" s="431"/>
      <c r="AV27" s="431"/>
      <c r="AW27" s="431"/>
      <c r="AX27" s="431"/>
      <c r="AY27" s="431"/>
      <c r="AZ27" s="431"/>
      <c r="BA27" s="431"/>
      <c r="BB27" s="431"/>
      <c r="BC27" s="443"/>
    </row>
    <row r="28" spans="1:55" ht="12.75">
      <c r="A28" s="431"/>
      <c r="B28" s="440"/>
      <c r="C28" s="448"/>
      <c r="D28" s="431"/>
      <c r="E28" s="431"/>
      <c r="F28" s="431"/>
      <c r="G28" s="431"/>
      <c r="H28" s="431"/>
      <c r="I28" s="431"/>
      <c r="J28" s="431"/>
      <c r="K28" s="431"/>
      <c r="L28" s="431"/>
      <c r="M28" s="443"/>
      <c r="O28" s="431"/>
      <c r="P28" s="440"/>
      <c r="Q28" s="448"/>
      <c r="R28" s="431"/>
      <c r="S28" s="431"/>
      <c r="T28" s="431"/>
      <c r="U28" s="431"/>
      <c r="V28" s="431"/>
      <c r="W28" s="431"/>
      <c r="X28" s="431"/>
      <c r="Y28" s="431"/>
      <c r="Z28" s="431"/>
      <c r="AA28" s="443"/>
      <c r="AD28" s="440"/>
      <c r="AE28" s="448"/>
      <c r="AF28" s="431"/>
      <c r="AG28" s="431"/>
      <c r="AH28" s="431"/>
      <c r="AI28" s="431"/>
      <c r="AJ28" s="431"/>
      <c r="AK28" s="431"/>
      <c r="AL28" s="431"/>
      <c r="AM28" s="431"/>
      <c r="AN28" s="431"/>
      <c r="AO28" s="443"/>
      <c r="AR28" s="440"/>
      <c r="AS28" s="448"/>
      <c r="AT28" s="431"/>
      <c r="AU28" s="431"/>
      <c r="AV28" s="431"/>
      <c r="AW28" s="431"/>
      <c r="AX28" s="431"/>
      <c r="AY28" s="431"/>
      <c r="AZ28" s="431"/>
      <c r="BA28" s="431"/>
      <c r="BB28" s="431"/>
      <c r="BC28" s="443"/>
    </row>
    <row r="29" spans="1:55" ht="12.75">
      <c r="A29" s="431"/>
      <c r="B29" s="440"/>
      <c r="C29" s="449"/>
      <c r="D29" s="449"/>
      <c r="E29" s="449"/>
      <c r="F29" s="449"/>
      <c r="G29" s="449"/>
      <c r="H29" s="449"/>
      <c r="I29" s="449"/>
      <c r="J29" s="449"/>
      <c r="K29" s="449"/>
      <c r="L29" s="449"/>
      <c r="M29" s="443"/>
      <c r="O29" s="431"/>
      <c r="P29" s="440"/>
      <c r="Q29" s="450"/>
      <c r="R29" s="450"/>
      <c r="S29" s="450"/>
      <c r="T29" s="450"/>
      <c r="U29" s="450"/>
      <c r="V29" s="450"/>
      <c r="W29" s="450"/>
      <c r="X29" s="450"/>
      <c r="Y29" s="450"/>
      <c r="Z29" s="450"/>
      <c r="AA29" s="443"/>
      <c r="AD29" s="440"/>
      <c r="AE29" s="450"/>
      <c r="AF29" s="450"/>
      <c r="AG29" s="450"/>
      <c r="AH29" s="450"/>
      <c r="AI29" s="450"/>
      <c r="AJ29" s="450"/>
      <c r="AK29" s="450"/>
      <c r="AL29" s="450"/>
      <c r="AM29" s="450"/>
      <c r="AN29" s="450"/>
      <c r="AO29" s="443"/>
      <c r="AR29" s="440"/>
      <c r="AS29" s="450"/>
      <c r="AT29" s="450"/>
      <c r="AU29" s="450"/>
      <c r="AV29" s="450"/>
      <c r="AW29" s="450"/>
      <c r="AX29" s="450"/>
      <c r="AY29" s="450"/>
      <c r="AZ29" s="450"/>
      <c r="BA29" s="450"/>
      <c r="BB29" s="450"/>
      <c r="BC29" s="443"/>
    </row>
    <row r="30" spans="1:55" ht="12.75">
      <c r="A30" s="431"/>
      <c r="B30" s="440"/>
      <c r="C30" s="445"/>
      <c r="D30" s="445"/>
      <c r="E30" s="445"/>
      <c r="F30" s="445"/>
      <c r="G30" s="445"/>
      <c r="H30" s="445"/>
      <c r="I30" s="445"/>
      <c r="J30" s="451"/>
      <c r="K30" s="452"/>
      <c r="L30" s="452"/>
      <c r="M30" s="443"/>
      <c r="O30" s="431"/>
      <c r="P30" s="440"/>
      <c r="Q30" s="446"/>
      <c r="R30" s="446"/>
      <c r="S30" s="446"/>
      <c r="T30" s="446"/>
      <c r="U30" s="446"/>
      <c r="V30" s="446"/>
      <c r="W30" s="446"/>
      <c r="X30" s="453"/>
      <c r="Y30" s="453"/>
      <c r="Z30" s="453"/>
      <c r="AA30" s="443"/>
      <c r="AD30" s="440"/>
      <c r="AE30" s="446"/>
      <c r="AF30" s="446"/>
      <c r="AG30" s="446"/>
      <c r="AH30" s="446"/>
      <c r="AI30" s="446"/>
      <c r="AJ30" s="446"/>
      <c r="AK30" s="446"/>
      <c r="AL30" s="453"/>
      <c r="AM30" s="453"/>
      <c r="AN30" s="453"/>
      <c r="AO30" s="443"/>
      <c r="AR30" s="440"/>
      <c r="AS30" s="446"/>
      <c r="AT30" s="446"/>
      <c r="AU30" s="446"/>
      <c r="AV30" s="446"/>
      <c r="AW30" s="446"/>
      <c r="AX30" s="446"/>
      <c r="AY30" s="446"/>
      <c r="AZ30" s="453"/>
      <c r="BA30" s="453"/>
      <c r="BB30" s="453"/>
      <c r="BC30" s="443"/>
    </row>
    <row r="31" spans="1:55" ht="12.75">
      <c r="A31" s="431"/>
      <c r="B31" s="440"/>
      <c r="C31" s="445"/>
      <c r="D31" s="445"/>
      <c r="E31" s="445"/>
      <c r="F31" s="445"/>
      <c r="G31" s="445"/>
      <c r="H31" s="445"/>
      <c r="I31" s="445"/>
      <c r="J31" s="451"/>
      <c r="K31" s="452"/>
      <c r="L31" s="452"/>
      <c r="M31" s="443"/>
      <c r="O31" s="431"/>
      <c r="P31" s="440"/>
      <c r="Q31" s="446"/>
      <c r="R31" s="446"/>
      <c r="S31" s="446"/>
      <c r="T31" s="446"/>
      <c r="U31" s="446"/>
      <c r="V31" s="446"/>
      <c r="W31" s="446"/>
      <c r="X31" s="453"/>
      <c r="Y31" s="453"/>
      <c r="Z31" s="453"/>
      <c r="AA31" s="443"/>
      <c r="AD31" s="440"/>
      <c r="AE31" s="446"/>
      <c r="AF31" s="446"/>
      <c r="AG31" s="446"/>
      <c r="AH31" s="446"/>
      <c r="AI31" s="446"/>
      <c r="AJ31" s="446"/>
      <c r="AK31" s="446"/>
      <c r="AL31" s="453"/>
      <c r="AM31" s="453"/>
      <c r="AN31" s="453"/>
      <c r="AO31" s="443"/>
      <c r="AR31" s="440"/>
      <c r="AS31" s="446"/>
      <c r="AT31" s="446"/>
      <c r="AU31" s="446"/>
      <c r="AV31" s="446"/>
      <c r="AW31" s="446"/>
      <c r="AX31" s="446"/>
      <c r="AY31" s="446"/>
      <c r="AZ31" s="453"/>
      <c r="BA31" s="453"/>
      <c r="BB31" s="453"/>
      <c r="BC31" s="443"/>
    </row>
    <row r="32" spans="1:55" ht="18">
      <c r="A32" s="431"/>
      <c r="B32" s="440"/>
      <c r="C32" s="454"/>
      <c r="D32" s="455"/>
      <c r="E32" s="455"/>
      <c r="F32" s="455"/>
      <c r="G32" s="455"/>
      <c r="H32" s="455"/>
      <c r="I32" s="455"/>
      <c r="M32" s="443"/>
      <c r="O32" s="431"/>
      <c r="P32" s="440"/>
      <c r="Q32" s="435"/>
      <c r="R32" s="435"/>
      <c r="S32" s="435"/>
      <c r="T32" s="435"/>
      <c r="U32" s="435"/>
      <c r="V32" s="435"/>
      <c r="W32" s="435"/>
      <c r="X32" s="435"/>
      <c r="Y32" s="435"/>
      <c r="Z32" s="435"/>
      <c r="AA32" s="443"/>
      <c r="AD32" s="440"/>
      <c r="AO32" s="443"/>
      <c r="AR32" s="440"/>
      <c r="BC32" s="443"/>
    </row>
    <row r="33" spans="1:55" ht="12.75">
      <c r="A33" s="431"/>
      <c r="B33" s="440"/>
      <c r="C33" s="445"/>
      <c r="D33" s="456"/>
      <c r="E33" s="456"/>
      <c r="F33" s="456"/>
      <c r="G33" s="456"/>
      <c r="H33" s="456"/>
      <c r="I33" s="456"/>
      <c r="J33" s="451"/>
      <c r="K33" s="452"/>
      <c r="L33" s="452"/>
      <c r="M33" s="443"/>
      <c r="O33" s="431"/>
      <c r="P33" s="440"/>
      <c r="Q33" s="446"/>
      <c r="R33" s="446"/>
      <c r="S33" s="446"/>
      <c r="T33" s="446"/>
      <c r="U33" s="446"/>
      <c r="V33" s="446"/>
      <c r="W33" s="446"/>
      <c r="X33" s="453"/>
      <c r="Y33" s="453"/>
      <c r="Z33" s="453"/>
      <c r="AA33" s="443"/>
      <c r="AD33" s="440"/>
      <c r="AE33" s="446"/>
      <c r="AF33" s="446"/>
      <c r="AG33" s="446"/>
      <c r="AH33" s="446"/>
      <c r="AI33" s="446"/>
      <c r="AJ33" s="446"/>
      <c r="AK33" s="446"/>
      <c r="AL33" s="453"/>
      <c r="AM33" s="453"/>
      <c r="AN33" s="453"/>
      <c r="AO33" s="443"/>
      <c r="AR33" s="440"/>
      <c r="AS33" s="446"/>
      <c r="AT33" s="446"/>
      <c r="AU33" s="446"/>
      <c r="AV33" s="446"/>
      <c r="AW33" s="446"/>
      <c r="AX33" s="446"/>
      <c r="AY33" s="446"/>
      <c r="AZ33" s="453"/>
      <c r="BA33" s="453"/>
      <c r="BB33" s="453"/>
      <c r="BC33" s="443"/>
    </row>
    <row r="34" spans="1:55" ht="12.75">
      <c r="A34" s="431"/>
      <c r="B34" s="440"/>
      <c r="C34" s="445"/>
      <c r="D34" s="456"/>
      <c r="E34" s="456"/>
      <c r="F34" s="456"/>
      <c r="G34" s="456"/>
      <c r="H34" s="456"/>
      <c r="I34" s="456"/>
      <c r="J34" s="451"/>
      <c r="K34" s="452"/>
      <c r="L34" s="452"/>
      <c r="M34" s="443"/>
      <c r="O34" s="431"/>
      <c r="P34" s="440"/>
      <c r="Q34" s="446"/>
      <c r="R34" s="446"/>
      <c r="S34" s="446"/>
      <c r="T34" s="446"/>
      <c r="U34" s="446"/>
      <c r="V34" s="446"/>
      <c r="W34" s="446"/>
      <c r="X34" s="453"/>
      <c r="Y34" s="453"/>
      <c r="Z34" s="453"/>
      <c r="AA34" s="443"/>
      <c r="AD34" s="440"/>
      <c r="AE34" s="446"/>
      <c r="AF34" s="446"/>
      <c r="AG34" s="446"/>
      <c r="AH34" s="446"/>
      <c r="AI34" s="446"/>
      <c r="AJ34" s="446"/>
      <c r="AK34" s="446"/>
      <c r="AL34" s="453"/>
      <c r="AM34" s="453"/>
      <c r="AN34" s="453"/>
      <c r="AO34" s="443"/>
      <c r="AR34" s="440"/>
      <c r="AS34" s="446"/>
      <c r="AT34" s="446"/>
      <c r="AU34" s="446"/>
      <c r="AV34" s="446"/>
      <c r="AW34" s="446"/>
      <c r="AX34" s="446"/>
      <c r="AY34" s="446"/>
      <c r="AZ34" s="453"/>
      <c r="BA34" s="453"/>
      <c r="BB34" s="453"/>
      <c r="BC34" s="443"/>
    </row>
    <row r="35" spans="1:55" ht="12.75">
      <c r="A35" s="431"/>
      <c r="B35" s="440"/>
      <c r="C35" s="445"/>
      <c r="D35" s="456"/>
      <c r="E35" s="456"/>
      <c r="F35" s="456"/>
      <c r="G35" s="456"/>
      <c r="H35" s="456"/>
      <c r="I35" s="456"/>
      <c r="J35" s="451"/>
      <c r="K35" s="452"/>
      <c r="L35" s="452"/>
      <c r="M35" s="443"/>
      <c r="O35" s="431"/>
      <c r="P35" s="440"/>
      <c r="Q35" s="446"/>
      <c r="R35" s="446"/>
      <c r="S35" s="446"/>
      <c r="T35" s="446"/>
      <c r="U35" s="446"/>
      <c r="V35" s="446"/>
      <c r="W35" s="446"/>
      <c r="X35" s="453"/>
      <c r="Y35" s="453"/>
      <c r="Z35" s="453"/>
      <c r="AA35" s="443"/>
      <c r="AD35" s="440"/>
      <c r="AE35" s="446"/>
      <c r="AF35" s="446"/>
      <c r="AG35" s="446"/>
      <c r="AH35" s="446"/>
      <c r="AI35" s="446"/>
      <c r="AJ35" s="446"/>
      <c r="AK35" s="446"/>
      <c r="AL35" s="453"/>
      <c r="AM35" s="453"/>
      <c r="AN35" s="453"/>
      <c r="AO35" s="443"/>
      <c r="AR35" s="440"/>
      <c r="AS35" s="446"/>
      <c r="AT35" s="446"/>
      <c r="AU35" s="446"/>
      <c r="AV35" s="446"/>
      <c r="AW35" s="446"/>
      <c r="AX35" s="446"/>
      <c r="AY35" s="446"/>
      <c r="AZ35" s="453"/>
      <c r="BA35" s="453"/>
      <c r="BB35" s="453"/>
      <c r="BC35" s="443"/>
    </row>
    <row r="36" spans="1:55" ht="12.75">
      <c r="A36" s="431"/>
      <c r="B36" s="440"/>
      <c r="C36" s="445"/>
      <c r="D36" s="456"/>
      <c r="E36" s="456"/>
      <c r="F36" s="456"/>
      <c r="G36" s="456"/>
      <c r="H36" s="456"/>
      <c r="I36" s="456"/>
      <c r="J36" s="451"/>
      <c r="K36" s="452"/>
      <c r="L36" s="452"/>
      <c r="M36" s="443"/>
      <c r="O36" s="431"/>
      <c r="P36" s="440"/>
      <c r="Q36" s="446"/>
      <c r="R36" s="446"/>
      <c r="S36" s="446"/>
      <c r="T36" s="446"/>
      <c r="U36" s="446"/>
      <c r="V36" s="446"/>
      <c r="W36" s="446"/>
      <c r="X36" s="453"/>
      <c r="Y36" s="453"/>
      <c r="Z36" s="453"/>
      <c r="AA36" s="443"/>
      <c r="AD36" s="440"/>
      <c r="AE36" s="446"/>
      <c r="AF36" s="446"/>
      <c r="AG36" s="446"/>
      <c r="AH36" s="446"/>
      <c r="AI36" s="446"/>
      <c r="AJ36" s="446"/>
      <c r="AK36" s="446"/>
      <c r="AL36" s="453"/>
      <c r="AM36" s="453"/>
      <c r="AN36" s="453"/>
      <c r="AO36" s="443"/>
      <c r="AR36" s="440"/>
      <c r="AS36" s="446"/>
      <c r="AT36" s="446"/>
      <c r="AU36" s="446"/>
      <c r="AV36" s="446"/>
      <c r="AW36" s="446"/>
      <c r="AX36" s="446"/>
      <c r="AY36" s="446"/>
      <c r="AZ36" s="453"/>
      <c r="BA36" s="453"/>
      <c r="BB36" s="453"/>
      <c r="BC36" s="443"/>
    </row>
    <row r="37" spans="1:55" ht="12.75">
      <c r="A37" s="431"/>
      <c r="B37" s="440"/>
      <c r="C37" s="445"/>
      <c r="J37" s="451"/>
      <c r="M37" s="443"/>
      <c r="O37" s="431"/>
      <c r="P37" s="440"/>
      <c r="Q37" s="446"/>
      <c r="R37" s="446"/>
      <c r="S37" s="446"/>
      <c r="T37" s="446"/>
      <c r="U37" s="446"/>
      <c r="V37" s="446"/>
      <c r="W37" s="446"/>
      <c r="X37" s="453"/>
      <c r="Y37" s="453"/>
      <c r="Z37" s="453"/>
      <c r="AA37" s="443"/>
      <c r="AD37" s="440"/>
      <c r="AE37" s="446"/>
      <c r="AF37" s="446"/>
      <c r="AG37" s="446"/>
      <c r="AH37" s="446"/>
      <c r="AI37" s="446"/>
      <c r="AJ37" s="446"/>
      <c r="AK37" s="446"/>
      <c r="AL37" s="453"/>
      <c r="AM37" s="453"/>
      <c r="AN37" s="453"/>
      <c r="AO37" s="443"/>
      <c r="AR37" s="440"/>
      <c r="AS37" s="446"/>
      <c r="AT37" s="446"/>
      <c r="AU37" s="446"/>
      <c r="AV37" s="446"/>
      <c r="AW37" s="446"/>
      <c r="AX37" s="446"/>
      <c r="AY37" s="446"/>
      <c r="AZ37" s="453"/>
      <c r="BA37" s="453"/>
      <c r="BB37" s="453"/>
      <c r="BC37" s="443"/>
    </row>
    <row r="38" spans="1:55" ht="12.75">
      <c r="A38" s="431"/>
      <c r="B38" s="440"/>
      <c r="C38" s="445"/>
      <c r="J38" s="451"/>
      <c r="M38" s="443"/>
      <c r="O38" s="431"/>
      <c r="P38" s="440"/>
      <c r="Q38" s="446"/>
      <c r="R38" s="446"/>
      <c r="S38" s="446"/>
      <c r="T38" s="446"/>
      <c r="U38" s="446"/>
      <c r="V38" s="446"/>
      <c r="W38" s="446"/>
      <c r="X38" s="453"/>
      <c r="Y38" s="453"/>
      <c r="Z38" s="453"/>
      <c r="AA38" s="443"/>
      <c r="AD38" s="440"/>
      <c r="AE38" s="446"/>
      <c r="AF38" s="446"/>
      <c r="AG38" s="446"/>
      <c r="AH38" s="446"/>
      <c r="AI38" s="446"/>
      <c r="AJ38" s="446"/>
      <c r="AK38" s="446"/>
      <c r="AL38" s="453"/>
      <c r="AM38" s="453"/>
      <c r="AN38" s="453"/>
      <c r="AO38" s="443"/>
      <c r="AR38" s="440"/>
      <c r="AS38" s="446"/>
      <c r="AT38" s="446"/>
      <c r="AU38" s="446"/>
      <c r="AV38" s="446"/>
      <c r="AW38" s="446"/>
      <c r="AX38" s="446"/>
      <c r="AY38" s="446"/>
      <c r="AZ38" s="453"/>
      <c r="BA38" s="453"/>
      <c r="BB38" s="453"/>
      <c r="BC38" s="443"/>
    </row>
    <row r="39" spans="1:55" ht="12.75">
      <c r="A39" s="431"/>
      <c r="B39" s="440"/>
      <c r="C39" s="445"/>
      <c r="D39" s="445"/>
      <c r="E39" s="445"/>
      <c r="F39" s="445"/>
      <c r="G39" s="445"/>
      <c r="H39" s="445"/>
      <c r="I39" s="445"/>
      <c r="J39" s="451"/>
      <c r="K39" s="451"/>
      <c r="L39" s="451"/>
      <c r="M39" s="443"/>
      <c r="O39" s="431"/>
      <c r="P39" s="440"/>
      <c r="Q39" s="446"/>
      <c r="R39" s="446"/>
      <c r="S39" s="446"/>
      <c r="T39" s="446"/>
      <c r="U39" s="446"/>
      <c r="V39" s="446"/>
      <c r="W39" s="446"/>
      <c r="X39" s="453"/>
      <c r="Y39" s="453"/>
      <c r="Z39" s="453"/>
      <c r="AA39" s="443"/>
      <c r="AD39" s="440"/>
      <c r="AE39" s="446"/>
      <c r="AF39" s="446"/>
      <c r="AG39" s="446"/>
      <c r="AH39" s="446"/>
      <c r="AI39" s="446"/>
      <c r="AJ39" s="446"/>
      <c r="AK39" s="446"/>
      <c r="AL39" s="453"/>
      <c r="AM39" s="453"/>
      <c r="AN39" s="453"/>
      <c r="AO39" s="443"/>
      <c r="AR39" s="440"/>
      <c r="AS39" s="446"/>
      <c r="AT39" s="446"/>
      <c r="AU39" s="446"/>
      <c r="AV39" s="446"/>
      <c r="AW39" s="446"/>
      <c r="AX39" s="446"/>
      <c r="AY39" s="446"/>
      <c r="AZ39" s="453"/>
      <c r="BA39" s="453"/>
      <c r="BB39" s="453"/>
      <c r="BC39" s="443"/>
    </row>
    <row r="40" spans="1:55" ht="12.75">
      <c r="A40" s="431"/>
      <c r="B40" s="440"/>
      <c r="C40" s="445"/>
      <c r="J40" s="451"/>
      <c r="K40" s="451"/>
      <c r="L40" s="451"/>
      <c r="M40" s="443"/>
      <c r="O40" s="431"/>
      <c r="P40" s="440"/>
      <c r="Q40" s="446"/>
      <c r="R40" s="446"/>
      <c r="S40" s="446"/>
      <c r="T40" s="446"/>
      <c r="U40" s="446"/>
      <c r="V40" s="446"/>
      <c r="W40" s="446"/>
      <c r="X40" s="453"/>
      <c r="Y40" s="453"/>
      <c r="Z40" s="453"/>
      <c r="AA40" s="443"/>
      <c r="AD40" s="440"/>
      <c r="AE40" s="446"/>
      <c r="AF40" s="446"/>
      <c r="AG40" s="446"/>
      <c r="AH40" s="446"/>
      <c r="AI40" s="446"/>
      <c r="AJ40" s="446"/>
      <c r="AK40" s="446"/>
      <c r="AL40" s="453"/>
      <c r="AM40" s="453"/>
      <c r="AN40" s="453"/>
      <c r="AO40" s="443"/>
      <c r="AR40" s="440"/>
      <c r="AS40" s="446"/>
      <c r="AT40" s="446"/>
      <c r="AU40" s="446"/>
      <c r="AV40" s="446"/>
      <c r="AW40" s="446"/>
      <c r="AX40" s="446"/>
      <c r="AY40" s="446"/>
      <c r="AZ40" s="453"/>
      <c r="BA40" s="453"/>
      <c r="BB40" s="453"/>
      <c r="BC40" s="443"/>
    </row>
    <row r="41" spans="1:55" ht="12.75">
      <c r="A41" s="431"/>
      <c r="B41" s="440"/>
      <c r="C41" s="457"/>
      <c r="D41" s="458"/>
      <c r="E41" s="458"/>
      <c r="F41" s="458"/>
      <c r="G41" s="458"/>
      <c r="H41" s="458"/>
      <c r="I41" s="458"/>
      <c r="J41" s="459"/>
      <c r="M41" s="443"/>
      <c r="O41" s="431"/>
      <c r="P41" s="440"/>
      <c r="Q41" s="460"/>
      <c r="R41" s="460"/>
      <c r="S41" s="460"/>
      <c r="T41" s="460"/>
      <c r="U41" s="460"/>
      <c r="V41" s="460"/>
      <c r="W41" s="460"/>
      <c r="X41" s="461"/>
      <c r="Y41" s="461"/>
      <c r="Z41" s="461"/>
      <c r="AA41" s="443"/>
      <c r="AD41" s="440"/>
      <c r="AE41" s="460"/>
      <c r="AF41" s="460"/>
      <c r="AG41" s="460"/>
      <c r="AH41" s="460"/>
      <c r="AI41" s="460"/>
      <c r="AJ41" s="460"/>
      <c r="AK41" s="460"/>
      <c r="AL41" s="461"/>
      <c r="AM41" s="461"/>
      <c r="AN41" s="461"/>
      <c r="AO41" s="443"/>
      <c r="AR41" s="440"/>
      <c r="AS41" s="460"/>
      <c r="AT41" s="460"/>
      <c r="AU41" s="460"/>
      <c r="AV41" s="460"/>
      <c r="AW41" s="460"/>
      <c r="AX41" s="460"/>
      <c r="AY41" s="460"/>
      <c r="AZ41" s="461"/>
      <c r="BA41" s="461"/>
      <c r="BB41" s="461"/>
      <c r="BC41" s="443"/>
    </row>
    <row r="42" spans="1:55" ht="12.75">
      <c r="A42" s="431"/>
      <c r="B42" s="440"/>
      <c r="C42" s="445"/>
      <c r="J42" s="451"/>
      <c r="K42" s="452"/>
      <c r="L42" s="452"/>
      <c r="M42" s="443"/>
      <c r="O42" s="431"/>
      <c r="P42" s="440"/>
      <c r="Q42" s="446"/>
      <c r="R42" s="446"/>
      <c r="S42" s="446"/>
      <c r="T42" s="446"/>
      <c r="U42" s="446"/>
      <c r="V42" s="446"/>
      <c r="W42" s="446"/>
      <c r="X42" s="453"/>
      <c r="Y42" s="453"/>
      <c r="Z42" s="453"/>
      <c r="AA42" s="443"/>
      <c r="AD42" s="440"/>
      <c r="AE42" s="446"/>
      <c r="AF42" s="446"/>
      <c r="AG42" s="446"/>
      <c r="AH42" s="446"/>
      <c r="AI42" s="446"/>
      <c r="AJ42" s="446"/>
      <c r="AK42" s="446"/>
      <c r="AL42" s="453"/>
      <c r="AM42" s="453"/>
      <c r="AN42" s="453"/>
      <c r="AO42" s="443"/>
      <c r="AR42" s="440"/>
      <c r="AS42" s="446"/>
      <c r="AT42" s="446"/>
      <c r="AU42" s="446"/>
      <c r="AV42" s="446"/>
      <c r="AW42" s="446"/>
      <c r="AX42" s="446"/>
      <c r="AY42" s="446"/>
      <c r="AZ42" s="453"/>
      <c r="BA42" s="453"/>
      <c r="BB42" s="453"/>
      <c r="BC42" s="443"/>
    </row>
    <row r="43" spans="1:55" ht="12.75">
      <c r="A43" s="431"/>
      <c r="B43" s="440"/>
      <c r="C43" s="458"/>
      <c r="D43" s="458"/>
      <c r="E43" s="458"/>
      <c r="F43" s="458"/>
      <c r="G43" s="458"/>
      <c r="H43" s="458"/>
      <c r="I43" s="458"/>
      <c r="J43" s="462"/>
      <c r="K43" s="462"/>
      <c r="L43" s="462"/>
      <c r="M43" s="443"/>
      <c r="O43" s="431"/>
      <c r="P43" s="440"/>
      <c r="Q43" s="463"/>
      <c r="R43" s="463"/>
      <c r="S43" s="463"/>
      <c r="T43" s="463"/>
      <c r="U43" s="463"/>
      <c r="V43" s="463"/>
      <c r="W43" s="463"/>
      <c r="X43" s="464"/>
      <c r="Y43" s="464"/>
      <c r="Z43" s="464"/>
      <c r="AA43" s="443"/>
      <c r="AD43" s="440"/>
      <c r="AE43" s="463"/>
      <c r="AF43" s="463"/>
      <c r="AG43" s="463"/>
      <c r="AH43" s="463"/>
      <c r="AI43" s="463"/>
      <c r="AJ43" s="463"/>
      <c r="AK43" s="463"/>
      <c r="AL43" s="464"/>
      <c r="AM43" s="464"/>
      <c r="AN43" s="464"/>
      <c r="AO43" s="443"/>
      <c r="AR43" s="440"/>
      <c r="AS43" s="463"/>
      <c r="AT43" s="463"/>
      <c r="AU43" s="463"/>
      <c r="AV43" s="463"/>
      <c r="AW43" s="463"/>
      <c r="AX43" s="463"/>
      <c r="AY43" s="463"/>
      <c r="AZ43" s="464"/>
      <c r="BA43" s="464"/>
      <c r="BB43" s="464"/>
      <c r="BC43" s="443"/>
    </row>
    <row r="44" spans="1:55" ht="12.75">
      <c r="A44" s="431"/>
      <c r="B44" s="440"/>
      <c r="C44" s="431"/>
      <c r="D44" s="431"/>
      <c r="E44" s="431"/>
      <c r="F44" s="431"/>
      <c r="G44" s="431"/>
      <c r="H44" s="431"/>
      <c r="I44" s="431"/>
      <c r="J44" s="431"/>
      <c r="K44" s="431"/>
      <c r="L44" s="431"/>
      <c r="M44" s="443"/>
      <c r="O44" s="431"/>
      <c r="P44" s="440"/>
      <c r="Q44" s="431"/>
      <c r="R44" s="431"/>
      <c r="S44" s="431"/>
      <c r="T44" s="431"/>
      <c r="U44" s="431"/>
      <c r="V44" s="431"/>
      <c r="W44" s="431"/>
      <c r="X44" s="431"/>
      <c r="Y44" s="431"/>
      <c r="Z44" s="431"/>
      <c r="AA44" s="443"/>
      <c r="AD44" s="440"/>
      <c r="AE44" s="431"/>
      <c r="AF44" s="431"/>
      <c r="AG44" s="431"/>
      <c r="AH44" s="431"/>
      <c r="AI44" s="431"/>
      <c r="AJ44" s="431"/>
      <c r="AK44" s="431"/>
      <c r="AL44" s="431"/>
      <c r="AM44" s="431"/>
      <c r="AN44" s="431"/>
      <c r="AO44" s="443"/>
      <c r="AR44" s="440"/>
      <c r="AS44" s="431"/>
      <c r="AT44" s="431"/>
      <c r="AU44" s="431"/>
      <c r="AV44" s="431"/>
      <c r="AW44" s="431"/>
      <c r="AX44" s="431"/>
      <c r="AY44" s="431"/>
      <c r="AZ44" s="431"/>
      <c r="BA44" s="431"/>
      <c r="BB44" s="431"/>
      <c r="BC44" s="443"/>
    </row>
    <row r="45" spans="1:55" ht="12.75">
      <c r="A45" s="431"/>
      <c r="B45" s="440"/>
      <c r="C45" s="431"/>
      <c r="D45" s="431"/>
      <c r="E45" s="431"/>
      <c r="F45" s="431"/>
      <c r="G45" s="431"/>
      <c r="H45" s="431"/>
      <c r="I45" s="431"/>
      <c r="J45" s="431"/>
      <c r="K45" s="431"/>
      <c r="L45" s="431"/>
      <c r="M45" s="443"/>
      <c r="O45" s="431"/>
      <c r="P45" s="440"/>
      <c r="Q45" s="431"/>
      <c r="R45" s="431"/>
      <c r="S45" s="431"/>
      <c r="T45" s="431"/>
      <c r="U45" s="431"/>
      <c r="V45" s="431"/>
      <c r="W45" s="431"/>
      <c r="X45" s="431"/>
      <c r="Y45" s="431"/>
      <c r="Z45" s="431"/>
      <c r="AA45" s="443"/>
      <c r="AD45" s="440"/>
      <c r="AE45" s="431"/>
      <c r="AF45" s="431"/>
      <c r="AG45" s="431"/>
      <c r="AH45" s="431"/>
      <c r="AI45" s="431"/>
      <c r="AJ45" s="431"/>
      <c r="AK45" s="431"/>
      <c r="AL45" s="431"/>
      <c r="AM45" s="431"/>
      <c r="AN45" s="431"/>
      <c r="AO45" s="443"/>
      <c r="AR45" s="440"/>
      <c r="AS45" s="431"/>
      <c r="AT45" s="431"/>
      <c r="AU45" s="431"/>
      <c r="AV45" s="431"/>
      <c r="AW45" s="431"/>
      <c r="AX45" s="431"/>
      <c r="AY45" s="431"/>
      <c r="AZ45" s="431"/>
      <c r="BA45" s="431"/>
      <c r="BB45" s="431"/>
      <c r="BC45" s="443"/>
    </row>
    <row r="46" spans="1:55" ht="12.75">
      <c r="A46" s="431"/>
      <c r="B46" s="440"/>
      <c r="C46" s="465"/>
      <c r="D46" s="431"/>
      <c r="E46" s="431"/>
      <c r="F46" s="431"/>
      <c r="G46" s="431"/>
      <c r="H46" s="431"/>
      <c r="I46" s="431"/>
      <c r="J46" s="431"/>
      <c r="K46" s="431"/>
      <c r="L46" s="431"/>
      <c r="M46" s="443"/>
      <c r="O46" s="431"/>
      <c r="P46" s="440"/>
      <c r="Q46" s="465"/>
      <c r="R46" s="431"/>
      <c r="S46" s="431"/>
      <c r="T46" s="431"/>
      <c r="U46" s="431"/>
      <c r="V46" s="431"/>
      <c r="W46" s="431"/>
      <c r="X46" s="431"/>
      <c r="Y46" s="431"/>
      <c r="Z46" s="431"/>
      <c r="AA46" s="443"/>
      <c r="AD46" s="440"/>
      <c r="AE46" s="465"/>
      <c r="AF46" s="431"/>
      <c r="AG46" s="431"/>
      <c r="AH46" s="431"/>
      <c r="AI46" s="431"/>
      <c r="AJ46" s="431"/>
      <c r="AK46" s="431"/>
      <c r="AL46" s="431"/>
      <c r="AM46" s="431"/>
      <c r="AN46" s="431"/>
      <c r="AO46" s="443"/>
      <c r="AR46" s="440"/>
      <c r="AS46" s="465"/>
      <c r="AT46" s="431"/>
      <c r="AU46" s="431"/>
      <c r="AV46" s="431"/>
      <c r="AW46" s="431"/>
      <c r="AX46" s="431"/>
      <c r="AY46" s="431"/>
      <c r="AZ46" s="431"/>
      <c r="BA46" s="431"/>
      <c r="BB46" s="431"/>
      <c r="BC46" s="443"/>
    </row>
    <row r="47" spans="1:55" ht="12.75">
      <c r="A47" s="431"/>
      <c r="B47" s="440"/>
      <c r="C47" s="465"/>
      <c r="D47" s="431"/>
      <c r="E47" s="431"/>
      <c r="F47" s="431"/>
      <c r="G47" s="431"/>
      <c r="H47" s="431"/>
      <c r="I47" s="431"/>
      <c r="J47" s="431"/>
      <c r="K47" s="431"/>
      <c r="L47" s="431"/>
      <c r="M47" s="443"/>
      <c r="O47" s="431"/>
      <c r="P47" s="440"/>
      <c r="Q47" s="465"/>
      <c r="R47" s="431"/>
      <c r="S47" s="431"/>
      <c r="T47" s="431"/>
      <c r="U47" s="431"/>
      <c r="V47" s="431"/>
      <c r="W47" s="431"/>
      <c r="X47" s="431"/>
      <c r="Y47" s="431"/>
      <c r="Z47" s="431"/>
      <c r="AA47" s="443"/>
      <c r="AD47" s="440"/>
      <c r="AE47" s="465"/>
      <c r="AF47" s="431"/>
      <c r="AG47" s="431"/>
      <c r="AH47" s="431"/>
      <c r="AI47" s="431"/>
      <c r="AJ47" s="431"/>
      <c r="AK47" s="431"/>
      <c r="AL47" s="431"/>
      <c r="AM47" s="431"/>
      <c r="AN47" s="431"/>
      <c r="AO47" s="443"/>
      <c r="AR47" s="440"/>
      <c r="AS47" s="465"/>
      <c r="AT47" s="431"/>
      <c r="AU47" s="431"/>
      <c r="AV47" s="431"/>
      <c r="AW47" s="431"/>
      <c r="AX47" s="431"/>
      <c r="AY47" s="431"/>
      <c r="AZ47" s="431"/>
      <c r="BA47" s="431"/>
      <c r="BB47" s="431"/>
      <c r="BC47" s="443"/>
    </row>
    <row r="48" spans="1:55" ht="12.75">
      <c r="A48" s="431"/>
      <c r="B48" s="440"/>
      <c r="C48" s="465"/>
      <c r="D48" s="431"/>
      <c r="E48" s="431"/>
      <c r="F48" s="431"/>
      <c r="G48" s="431"/>
      <c r="H48" s="431"/>
      <c r="I48" s="431"/>
      <c r="J48" s="431"/>
      <c r="K48" s="431"/>
      <c r="L48" s="431"/>
      <c r="M48" s="443"/>
      <c r="O48" s="431"/>
      <c r="P48" s="440"/>
      <c r="Q48" s="465"/>
      <c r="R48" s="431"/>
      <c r="S48" s="431"/>
      <c r="T48" s="431"/>
      <c r="U48" s="431"/>
      <c r="V48" s="431"/>
      <c r="W48" s="431"/>
      <c r="X48" s="431"/>
      <c r="Y48" s="431"/>
      <c r="Z48" s="431"/>
      <c r="AA48" s="443"/>
      <c r="AD48" s="440"/>
      <c r="AE48" s="465"/>
      <c r="AF48" s="431"/>
      <c r="AG48" s="431"/>
      <c r="AH48" s="431"/>
      <c r="AI48" s="431"/>
      <c r="AJ48" s="431"/>
      <c r="AK48" s="431"/>
      <c r="AL48" s="431"/>
      <c r="AM48" s="431"/>
      <c r="AN48" s="431"/>
      <c r="AO48" s="443"/>
      <c r="AR48" s="440"/>
      <c r="AS48" s="465"/>
      <c r="AT48" s="431"/>
      <c r="AU48" s="431"/>
      <c r="AV48" s="431"/>
      <c r="AW48" s="431"/>
      <c r="AX48" s="431"/>
      <c r="AY48" s="431"/>
      <c r="AZ48" s="431"/>
      <c r="BA48" s="431"/>
      <c r="BB48" s="431"/>
      <c r="BC48" s="443"/>
    </row>
    <row r="49" spans="1:55" ht="15">
      <c r="A49" s="431"/>
      <c r="B49" s="440"/>
      <c r="C49" s="431"/>
      <c r="D49" s="466" t="s">
        <v>258</v>
      </c>
      <c r="E49" s="431"/>
      <c r="F49" s="431"/>
      <c r="G49" s="466">
        <v>45336</v>
      </c>
      <c r="H49" s="431"/>
      <c r="I49" s="431"/>
      <c r="J49" s="467" t="s">
        <v>3287</v>
      </c>
      <c r="K49" s="431"/>
      <c r="L49" s="431"/>
      <c r="M49" s="443"/>
      <c r="O49" s="431"/>
      <c r="P49" s="440"/>
      <c r="Q49" s="431"/>
      <c r="R49" s="468" t="str">
        <f>D49</f>
        <v>ESR/2015/1824</v>
      </c>
      <c r="S49" s="431"/>
      <c r="T49" s="431"/>
      <c r="U49" s="466">
        <f>G49</f>
        <v>45336</v>
      </c>
      <c r="V49" s="431"/>
      <c r="W49" s="431"/>
      <c r="X49" s="467" t="str">
        <f>J49</f>
        <v>Version 5.04</v>
      </c>
      <c r="Y49" s="431"/>
      <c r="Z49" s="431"/>
      <c r="AA49" s="443"/>
      <c r="AD49" s="440"/>
      <c r="AE49" s="431"/>
      <c r="AF49" s="468" t="str">
        <f>D49</f>
        <v>ESR/2015/1824</v>
      </c>
      <c r="AG49" s="431"/>
      <c r="AH49" s="431"/>
      <c r="AI49" s="466">
        <f>G49</f>
        <v>45336</v>
      </c>
      <c r="AJ49" s="431"/>
      <c r="AK49" s="431"/>
      <c r="AL49" s="467" t="str">
        <f>J49</f>
        <v>Version 5.04</v>
      </c>
      <c r="AM49" s="431"/>
      <c r="AN49" s="431"/>
      <c r="AO49" s="443"/>
      <c r="AR49" s="440"/>
      <c r="AS49" s="431"/>
      <c r="AT49" s="468" t="str">
        <f>D49</f>
        <v>ESR/2015/1824</v>
      </c>
      <c r="AU49" s="431"/>
      <c r="AV49" s="431"/>
      <c r="AW49" s="466">
        <f>G49</f>
        <v>45336</v>
      </c>
      <c r="AX49" s="431"/>
      <c r="AY49" s="431"/>
      <c r="AZ49" s="467" t="str">
        <f>J49</f>
        <v>Version 5.04</v>
      </c>
      <c r="BA49" s="431"/>
      <c r="BB49" s="431"/>
      <c r="BC49" s="443"/>
    </row>
    <row r="50" spans="1:55" ht="12.75">
      <c r="A50" s="431"/>
      <c r="B50" s="440"/>
      <c r="C50" s="431"/>
      <c r="D50" s="431"/>
      <c r="E50" s="431"/>
      <c r="F50" s="431"/>
      <c r="G50" s="431"/>
      <c r="H50" s="431"/>
      <c r="I50" s="431"/>
      <c r="J50" s="431"/>
      <c r="K50" s="431"/>
      <c r="L50" s="431"/>
      <c r="M50" s="443"/>
      <c r="O50" s="431"/>
      <c r="P50" s="440"/>
      <c r="Q50" s="431"/>
      <c r="R50" s="431"/>
      <c r="S50" s="431"/>
      <c r="T50" s="431"/>
      <c r="U50" s="431"/>
      <c r="V50" s="431"/>
      <c r="W50" s="431"/>
      <c r="X50" s="431"/>
      <c r="Y50" s="431"/>
      <c r="Z50" s="431"/>
      <c r="AA50" s="443"/>
      <c r="AD50" s="440"/>
      <c r="AE50" s="431"/>
      <c r="AF50" s="431"/>
      <c r="AG50" s="431"/>
      <c r="AH50" s="431"/>
      <c r="AI50" s="431"/>
      <c r="AJ50" s="431"/>
      <c r="AK50" s="431"/>
      <c r="AL50" s="431"/>
      <c r="AM50" s="431"/>
      <c r="AN50" s="431"/>
      <c r="AO50" s="443"/>
      <c r="AR50" s="440"/>
      <c r="AS50" s="431"/>
      <c r="AT50" s="431"/>
      <c r="AU50" s="431"/>
      <c r="AV50" s="431"/>
      <c r="BA50" s="431"/>
      <c r="BB50" s="431"/>
      <c r="BC50" s="443"/>
    </row>
    <row r="51" spans="1:55" ht="12.75">
      <c r="A51" s="431"/>
      <c r="B51" s="440"/>
      <c r="C51" s="431"/>
      <c r="D51" s="431"/>
      <c r="E51" s="431"/>
      <c r="F51" s="431"/>
      <c r="G51" s="431"/>
      <c r="H51" s="431"/>
      <c r="I51" s="431"/>
      <c r="J51" s="431"/>
      <c r="K51" s="431"/>
      <c r="L51" s="431"/>
      <c r="M51" s="443"/>
      <c r="O51" s="431"/>
      <c r="P51" s="440"/>
      <c r="Q51" s="431"/>
      <c r="R51" s="431"/>
      <c r="S51" s="431"/>
      <c r="T51" s="431"/>
      <c r="U51" s="431"/>
      <c r="V51" s="431"/>
      <c r="W51" s="431"/>
      <c r="X51" s="431"/>
      <c r="Y51" s="431"/>
      <c r="Z51" s="431"/>
      <c r="AA51" s="443"/>
      <c r="AD51" s="440"/>
      <c r="AE51" s="431"/>
      <c r="AF51" s="431"/>
      <c r="AG51" s="431"/>
      <c r="AH51" s="431"/>
      <c r="AI51" s="431"/>
      <c r="AJ51" s="431"/>
      <c r="AK51" s="431"/>
      <c r="AL51" s="431"/>
      <c r="AM51" s="431"/>
      <c r="AN51" s="431"/>
      <c r="AO51" s="443"/>
      <c r="AR51" s="440"/>
      <c r="AS51" s="431"/>
      <c r="AT51" s="431"/>
      <c r="AU51" s="431"/>
      <c r="AV51" s="431"/>
      <c r="AW51" s="431"/>
      <c r="AX51" s="431"/>
      <c r="AY51" s="431"/>
      <c r="AZ51" s="431"/>
      <c r="BA51" s="431"/>
      <c r="BB51" s="431"/>
      <c r="BC51" s="443"/>
    </row>
    <row r="52" spans="1:55" ht="12.75">
      <c r="A52" s="431"/>
      <c r="B52" s="440"/>
      <c r="C52" s="431"/>
      <c r="D52" s="431"/>
      <c r="E52" s="431"/>
      <c r="F52" s="431"/>
      <c r="G52" s="431"/>
      <c r="H52" s="431"/>
      <c r="I52" s="431"/>
      <c r="J52" s="431"/>
      <c r="K52" s="431"/>
      <c r="L52" s="431"/>
      <c r="M52" s="443"/>
      <c r="O52" s="431"/>
      <c r="P52" s="440"/>
      <c r="Q52" s="431"/>
      <c r="R52" s="431"/>
      <c r="S52" s="431"/>
      <c r="T52" s="431"/>
      <c r="U52" s="431"/>
      <c r="V52" s="431"/>
      <c r="W52" s="431"/>
      <c r="X52" s="431"/>
      <c r="Y52" s="431"/>
      <c r="Z52" s="431"/>
      <c r="AA52" s="443"/>
      <c r="AD52" s="440"/>
      <c r="AE52" s="431"/>
      <c r="AF52" s="431"/>
      <c r="AG52" s="431"/>
      <c r="AH52" s="431"/>
      <c r="AI52" s="431"/>
      <c r="AJ52" s="431"/>
      <c r="AK52" s="431"/>
      <c r="AL52" s="431"/>
      <c r="AM52" s="431"/>
      <c r="AN52" s="431"/>
      <c r="AO52" s="443"/>
      <c r="AR52" s="440"/>
      <c r="AS52" s="431"/>
      <c r="AT52" s="431"/>
      <c r="AU52" s="431"/>
      <c r="AV52" s="431"/>
      <c r="AW52" s="431"/>
      <c r="AX52" s="431"/>
      <c r="AY52" s="431"/>
      <c r="AZ52" s="431"/>
      <c r="BA52" s="431"/>
      <c r="BB52" s="431"/>
      <c r="BC52" s="443"/>
    </row>
    <row r="53" spans="1:55" ht="12.75">
      <c r="A53" s="431"/>
      <c r="B53" s="440"/>
      <c r="C53" s="469"/>
      <c r="D53" s="431"/>
      <c r="E53" s="431"/>
      <c r="F53" s="431"/>
      <c r="G53" s="431"/>
      <c r="H53" s="431"/>
      <c r="I53" s="431"/>
      <c r="J53" s="431"/>
      <c r="K53" s="469"/>
      <c r="L53" s="431"/>
      <c r="M53" s="443"/>
      <c r="O53" s="431"/>
      <c r="P53" s="440"/>
      <c r="Q53" s="469"/>
      <c r="R53" s="431"/>
      <c r="S53" s="431"/>
      <c r="T53" s="431"/>
      <c r="U53" s="431"/>
      <c r="V53" s="431"/>
      <c r="W53" s="431"/>
      <c r="X53" s="431"/>
      <c r="Y53" s="469"/>
      <c r="Z53" s="431"/>
      <c r="AA53" s="443"/>
      <c r="AD53" s="440"/>
      <c r="AE53" s="469"/>
      <c r="AF53" s="431"/>
      <c r="AG53" s="431"/>
      <c r="AH53" s="431"/>
      <c r="AI53" s="431"/>
      <c r="AJ53" s="431"/>
      <c r="AK53" s="431"/>
      <c r="AL53" s="431"/>
      <c r="AM53" s="469"/>
      <c r="AN53" s="431"/>
      <c r="AO53" s="443"/>
      <c r="AR53" s="440"/>
      <c r="AS53" s="469"/>
      <c r="AT53" s="431"/>
      <c r="AU53" s="431"/>
      <c r="AV53" s="431"/>
      <c r="AW53" s="431"/>
      <c r="AX53" s="431"/>
      <c r="AY53" s="431"/>
      <c r="AZ53" s="431"/>
      <c r="BA53" s="469"/>
      <c r="BB53" s="431"/>
      <c r="BC53" s="443"/>
    </row>
    <row r="54" spans="1:55" ht="15.75">
      <c r="A54" s="431"/>
      <c r="B54" s="470" t="s">
        <v>3288</v>
      </c>
      <c r="C54" s="471"/>
      <c r="D54" s="471"/>
      <c r="E54" s="471"/>
      <c r="F54" s="471"/>
      <c r="G54" s="471"/>
      <c r="H54" s="471"/>
      <c r="I54" s="471"/>
      <c r="J54" s="471"/>
      <c r="K54" s="471"/>
      <c r="L54" s="471"/>
      <c r="M54" s="472"/>
      <c r="O54" s="431"/>
      <c r="P54" s="470" t="str">
        <f>B54</f>
        <v>©State of Queensland, 2024</v>
      </c>
      <c r="Q54" s="471"/>
      <c r="R54" s="471"/>
      <c r="S54" s="471"/>
      <c r="T54" s="471"/>
      <c r="U54" s="471"/>
      <c r="V54" s="471"/>
      <c r="W54" s="471"/>
      <c r="X54" s="471"/>
      <c r="Y54" s="471"/>
      <c r="Z54" s="471"/>
      <c r="AA54" s="472"/>
      <c r="AD54" s="470" t="str">
        <f>B54</f>
        <v>©State of Queensland, 2024</v>
      </c>
      <c r="AE54" s="471"/>
      <c r="AF54" s="471"/>
      <c r="AG54" s="471"/>
      <c r="AH54" s="471"/>
      <c r="AI54" s="471"/>
      <c r="AJ54" s="471"/>
      <c r="AK54" s="471"/>
      <c r="AL54" s="471"/>
      <c r="AM54" s="471"/>
      <c r="AN54" s="471"/>
      <c r="AO54" s="472"/>
      <c r="AR54" s="470" t="str">
        <f>B54</f>
        <v>©State of Queensland, 2024</v>
      </c>
      <c r="AS54" s="471"/>
      <c r="AT54" s="471"/>
      <c r="AU54" s="471"/>
      <c r="AV54" s="471"/>
      <c r="AW54" s="471"/>
      <c r="AX54" s="471"/>
      <c r="AY54" s="471"/>
      <c r="AZ54" s="471"/>
      <c r="BA54" s="471"/>
      <c r="BB54" s="471"/>
      <c r="BC54" s="472"/>
    </row>
    <row r="55" spans="1:55" ht="6" customHeight="1">
      <c r="A55" s="431"/>
      <c r="B55" s="431"/>
      <c r="C55" s="473"/>
      <c r="D55" s="473"/>
      <c r="E55" s="473"/>
      <c r="F55" s="473"/>
      <c r="G55" s="473"/>
      <c r="H55" s="473"/>
      <c r="I55" s="473"/>
      <c r="J55" s="473"/>
      <c r="K55" s="473"/>
      <c r="L55" s="473"/>
      <c r="M55" s="473"/>
      <c r="O55" s="431"/>
      <c r="P55" s="431"/>
      <c r="Q55" s="473"/>
      <c r="R55" s="473"/>
      <c r="S55" s="473"/>
      <c r="T55" s="473"/>
      <c r="U55" s="473"/>
      <c r="V55" s="473"/>
      <c r="W55" s="473"/>
      <c r="X55" s="473"/>
      <c r="Y55" s="473"/>
      <c r="Z55" s="473"/>
      <c r="AA55" s="473"/>
      <c r="AD55" s="431"/>
      <c r="AE55" s="473"/>
      <c r="AF55" s="473"/>
      <c r="AG55" s="473"/>
      <c r="AH55" s="473"/>
      <c r="AI55" s="473"/>
      <c r="AJ55" s="473"/>
      <c r="AK55" s="473"/>
      <c r="AL55" s="473"/>
      <c r="AM55" s="473"/>
      <c r="AN55" s="473"/>
      <c r="AO55" s="473"/>
      <c r="AR55" s="431"/>
      <c r="AS55" s="473"/>
      <c r="AT55" s="473"/>
      <c r="AU55" s="473"/>
      <c r="AV55" s="473"/>
      <c r="AW55" s="473"/>
      <c r="AX55" s="473"/>
      <c r="AY55" s="473"/>
      <c r="AZ55" s="473"/>
      <c r="BA55" s="473"/>
      <c r="BB55" s="473"/>
      <c r="BC55" s="473"/>
    </row>
    <row r="56" spans="1:55" ht="12.75">
      <c r="A56" s="431"/>
      <c r="B56" s="431"/>
      <c r="C56" s="431"/>
      <c r="D56" s="431"/>
      <c r="E56" s="431"/>
      <c r="F56" s="431"/>
      <c r="G56" s="431"/>
      <c r="H56" s="431"/>
      <c r="I56" s="431"/>
      <c r="J56" s="431"/>
      <c r="K56" s="431"/>
      <c r="L56" s="431"/>
      <c r="M56" s="431"/>
      <c r="O56" s="431"/>
      <c r="P56" s="431"/>
      <c r="Q56" s="431"/>
      <c r="R56" s="431"/>
      <c r="S56" s="431"/>
      <c r="T56" s="431"/>
      <c r="U56" s="431"/>
      <c r="V56" s="431"/>
      <c r="W56" s="431"/>
      <c r="X56" s="431"/>
      <c r="Y56" s="431"/>
      <c r="Z56" s="431"/>
      <c r="AA56" s="431"/>
      <c r="AD56" s="431"/>
      <c r="AE56" s="431"/>
      <c r="AF56" s="431"/>
      <c r="AG56" s="431"/>
      <c r="AH56" s="431"/>
      <c r="AI56" s="431"/>
      <c r="AJ56" s="431"/>
      <c r="AK56" s="431"/>
      <c r="AL56" s="431"/>
      <c r="AM56" s="431"/>
      <c r="AN56" s="431"/>
      <c r="AO56" s="431"/>
      <c r="AR56" s="431"/>
      <c r="AS56" s="431"/>
      <c r="AT56" s="431"/>
      <c r="AU56" s="431"/>
      <c r="AV56" s="431"/>
      <c r="AW56" s="431"/>
      <c r="AX56" s="431"/>
      <c r="AY56" s="431"/>
      <c r="AZ56" s="431"/>
      <c r="BA56" s="431"/>
      <c r="BB56" s="431"/>
      <c r="BC56" s="431"/>
    </row>
    <row r="57" spans="1:55" ht="12.75" hidden="1" customHeight="1"/>
    <row r="58" spans="1:55" ht="12.75" hidden="1" customHeight="1"/>
    <row r="59" spans="1:55" ht="12.75" hidden="1" customHeight="1"/>
    <row r="60" spans="1:55" ht="12.75" hidden="1" customHeight="1"/>
  </sheetData>
  <sheetProtection algorithmName="SHA-512" hashValue="J4OoCJnjx75A3LfjGyYX02WqJ8r9eNGbCTj+jZOFn0vVZ8EzxfP5HjV4anm441TTGwBbMhfV9GOZa6o9+teIUQ==" saltValue="5znJPgNpEeX+HQYMomKO1g==" spinCount="100000" sheet="1" objects="1" scenarios="1" autoFilter="0"/>
  <hyperlinks>
    <hyperlink ref="C1" location="CONTENTS!A1" display="Contents" xr:uid="{00000000-0004-0000-2E00-000000000000}"/>
  </hyperlinks>
  <pageMargins left="0.18" right="0.16" top="0.78" bottom="0.61" header="0.5" footer="0.5"/>
  <pageSetup paperSize="9" orientation="portrait" r:id="rId1"/>
  <headerFooter alignWithMargins="0"/>
  <colBreaks count="2" manualBreakCount="2">
    <brk id="14" max="1048575" man="1"/>
    <brk id="2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9" tint="-0.249977111117893"/>
  </sheetPr>
  <dimension ref="B1:X161"/>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75"/>
  <cols>
    <col min="1" max="1" width="3.42578125" style="434" customWidth="1"/>
    <col min="2" max="2" width="20.7109375" style="434" customWidth="1"/>
    <col min="3" max="3" width="9.28515625" style="434" customWidth="1"/>
    <col min="4" max="4" width="115.28515625" style="434" customWidth="1"/>
    <col min="5" max="24" width="18.7109375" style="434" customWidth="1"/>
    <col min="25" max="16384" width="9" style="434"/>
  </cols>
  <sheetData>
    <row r="1" spans="2:24" s="475" customFormat="1" ht="14.25">
      <c r="B1" s="433" t="s">
        <v>0</v>
      </c>
      <c r="C1" s="808"/>
      <c r="D1" s="520"/>
      <c r="G1" s="474"/>
      <c r="H1" s="474"/>
      <c r="I1" s="474"/>
      <c r="J1" s="474"/>
      <c r="K1" s="474"/>
      <c r="L1" s="474"/>
      <c r="M1" s="474"/>
      <c r="N1" s="474"/>
      <c r="O1" s="474"/>
      <c r="P1" s="474"/>
      <c r="Q1" s="474"/>
      <c r="R1" s="474"/>
      <c r="S1" s="474"/>
    </row>
    <row r="2" spans="2:24" s="475" customFormat="1" ht="18" customHeight="1">
      <c r="B2" s="286" t="s">
        <v>256</v>
      </c>
      <c r="C2" s="476" t="s">
        <v>1744</v>
      </c>
      <c r="D2" s="944"/>
      <c r="E2" s="944"/>
      <c r="F2" s="944"/>
      <c r="G2" s="944"/>
      <c r="H2" s="944"/>
      <c r="I2" s="944"/>
      <c r="J2" s="944"/>
    </row>
    <row r="3" spans="2:24" s="475" customFormat="1" ht="18" customHeight="1">
      <c r="B3" s="945">
        <f>K56</f>
        <v>0</v>
      </c>
      <c r="C3" s="736" t="s">
        <v>1516</v>
      </c>
      <c r="G3" s="474"/>
      <c r="H3" s="474"/>
    </row>
    <row r="4" spans="2:24" s="475" customFormat="1" ht="18" customHeight="1">
      <c r="B4" s="946">
        <f>Summary!$G$122</f>
        <v>0</v>
      </c>
      <c r="C4" s="736" t="s">
        <v>1484</v>
      </c>
      <c r="G4" s="474"/>
      <c r="H4" s="474"/>
    </row>
    <row r="5" spans="2:24" s="475" customFormat="1" ht="131.25" customHeight="1">
      <c r="B5" s="947"/>
      <c r="C5" s="948"/>
      <c r="E5" s="474"/>
      <c r="K5" s="474"/>
      <c r="L5" s="474"/>
      <c r="M5" s="474"/>
      <c r="Q5" s="474"/>
      <c r="R5" s="474"/>
      <c r="S5" s="474"/>
      <c r="T5" s="474"/>
      <c r="U5" s="474"/>
      <c r="V5" s="474"/>
      <c r="W5" s="474"/>
      <c r="X5" s="474"/>
    </row>
    <row r="7" spans="2:24" ht="29.65" customHeight="1">
      <c r="B7" s="773" t="s">
        <v>1517</v>
      </c>
      <c r="C7" s="773" t="s">
        <v>27</v>
      </c>
      <c r="D7" s="773" t="s">
        <v>1590</v>
      </c>
      <c r="E7" s="773" t="s">
        <v>1485</v>
      </c>
      <c r="F7" s="773" t="s">
        <v>1745</v>
      </c>
      <c r="G7" s="773" t="s">
        <v>2</v>
      </c>
      <c r="H7" s="773" t="s">
        <v>1521</v>
      </c>
      <c r="I7" s="773" t="s">
        <v>1746</v>
      </c>
      <c r="J7" s="773" t="s">
        <v>1747</v>
      </c>
      <c r="K7" s="775" t="s">
        <v>32</v>
      </c>
      <c r="L7" s="776" t="s">
        <v>1526</v>
      </c>
      <c r="M7" s="777"/>
      <c r="N7" s="777"/>
      <c r="O7" s="777"/>
      <c r="P7" s="777"/>
      <c r="Q7" s="777"/>
      <c r="R7" s="777"/>
      <c r="S7" s="778"/>
    </row>
    <row r="8" spans="2:24">
      <c r="E8" s="949" t="s">
        <v>1748</v>
      </c>
      <c r="L8" s="748"/>
      <c r="M8" s="474"/>
      <c r="N8" s="474"/>
      <c r="O8" s="474"/>
      <c r="P8" s="474"/>
      <c r="Q8" s="474"/>
      <c r="R8" s="474"/>
      <c r="S8" s="779"/>
    </row>
    <row r="9" spans="2:24">
      <c r="B9" s="308"/>
      <c r="C9" s="950">
        <v>1</v>
      </c>
      <c r="D9" s="951" t="str">
        <f>VLOOKUP(H9,TOV!$C$261:$G$296,TOV!$E$1,FALSE)</f>
        <v xml:space="preserve">Demolish and remove processing plant </v>
      </c>
      <c r="E9" s="94"/>
      <c r="G9" s="782" t="str">
        <f>VLOOKUP(H9,TOV!$C$261:$G$296,TOV!$G$1,FALSE)</f>
        <v>m2/floor</v>
      </c>
      <c r="H9" s="782" t="str">
        <f>TOV!C261</f>
        <v>#4.01</v>
      </c>
      <c r="I9" s="115">
        <f>VLOOKUP(H9,TOV!$C$261:$G$296,TOV!$F$1,FALSE)</f>
        <v>216.0563333333333</v>
      </c>
      <c r="J9" s="417"/>
      <c r="K9" s="219">
        <f t="shared" ref="K9:K31" si="0">IF(J9="",I9,J9)*E9</f>
        <v>0</v>
      </c>
      <c r="L9" s="215"/>
      <c r="M9" s="217"/>
      <c r="N9" s="217"/>
      <c r="O9" s="217"/>
      <c r="P9" s="217"/>
      <c r="Q9" s="217"/>
      <c r="R9" s="217"/>
      <c r="S9" s="218"/>
    </row>
    <row r="10" spans="2:24">
      <c r="B10" s="308"/>
      <c r="C10" s="950">
        <f t="shared" ref="C10:C54" si="1">C9+1</f>
        <v>2</v>
      </c>
      <c r="D10" s="951" t="str">
        <f>VLOOKUP(H10,TOV!$C$261:$G$296,TOV!$E$1,FALSE)</f>
        <v>Remove stacker or reclaimer</v>
      </c>
      <c r="E10" s="343"/>
      <c r="G10" s="782" t="str">
        <f>VLOOKUP(H10,TOV!$C$261:$G$296,TOV!$G$1,FALSE)</f>
        <v>Item</v>
      </c>
      <c r="H10" s="782" t="str">
        <f>TOV!C262</f>
        <v>#4.02</v>
      </c>
      <c r="I10" s="115">
        <f>VLOOKUP(H10,TOV!$C$261:$G$296,TOV!$F$1,FALSE)</f>
        <v>750000</v>
      </c>
      <c r="J10" s="417"/>
      <c r="K10" s="219">
        <f t="shared" si="0"/>
        <v>0</v>
      </c>
      <c r="L10" s="215"/>
      <c r="M10" s="217"/>
      <c r="N10" s="217"/>
      <c r="O10" s="217"/>
      <c r="P10" s="217"/>
      <c r="Q10" s="217"/>
      <c r="R10" s="217"/>
      <c r="S10" s="218"/>
    </row>
    <row r="11" spans="2:24">
      <c r="B11" s="308"/>
      <c r="C11" s="950">
        <f t="shared" si="1"/>
        <v>3</v>
      </c>
      <c r="D11" s="951" t="str">
        <f>VLOOKUP(H11,TOV!$C$261:$G$296,TOV!$E$1,FALSE)</f>
        <v>Demolish and remove bucket wheel stacker/reclaimer or wing stacker</v>
      </c>
      <c r="E11" s="343"/>
      <c r="G11" s="782" t="str">
        <f>VLOOKUP(H11,TOV!$C$261:$G$296,TOV!$G$1,FALSE)</f>
        <v>Item</v>
      </c>
      <c r="H11" s="782" t="str">
        <f>TOV!C263</f>
        <v>#4.03</v>
      </c>
      <c r="I11" s="115">
        <f>VLOOKUP(H11,TOV!$C$261:$G$296,TOV!$F$1,FALSE)</f>
        <v>2000000</v>
      </c>
      <c r="J11" s="417"/>
      <c r="K11" s="219">
        <f>IF(J11="",I11,J11)*E11</f>
        <v>0</v>
      </c>
      <c r="L11" s="215"/>
      <c r="M11" s="217"/>
      <c r="N11" s="217"/>
      <c r="O11" s="217"/>
      <c r="P11" s="217"/>
      <c r="Q11" s="217"/>
      <c r="R11" s="217"/>
      <c r="S11" s="218"/>
    </row>
    <row r="12" spans="2:24">
      <c r="B12" s="308"/>
      <c r="C12" s="950">
        <f t="shared" si="1"/>
        <v>4</v>
      </c>
      <c r="D12" s="951" t="str">
        <f>VLOOKUP(H12,TOV!$C$261:$G$296,TOV!$E$1,FALSE)</f>
        <v>Remove rails and ballast for stacker and/or reclaimer</v>
      </c>
      <c r="E12" s="94"/>
      <c r="G12" s="782" t="str">
        <f>VLOOKUP(H12,TOV!$C$261:$G$296,TOV!$G$1,FALSE)</f>
        <v>m</v>
      </c>
      <c r="H12" s="782" t="str">
        <f>TOV!C264</f>
        <v>#4.04</v>
      </c>
      <c r="I12" s="115">
        <f>VLOOKUP(H12,TOV!$C$261:$G$296,TOV!$F$1,FALSE)</f>
        <v>75</v>
      </c>
      <c r="J12" s="417"/>
      <c r="K12" s="219">
        <f t="shared" si="0"/>
        <v>0</v>
      </c>
      <c r="L12" s="215"/>
      <c r="M12" s="217"/>
      <c r="N12" s="217"/>
      <c r="O12" s="217"/>
      <c r="P12" s="217"/>
      <c r="Q12" s="217"/>
      <c r="R12" s="217"/>
      <c r="S12" s="218"/>
    </row>
    <row r="13" spans="2:24">
      <c r="B13" s="308"/>
      <c r="C13" s="950">
        <f t="shared" si="1"/>
        <v>5</v>
      </c>
      <c r="D13" s="951" t="str">
        <f>VLOOKUP(H13,TOV!$C$261:$G$296,TOV!$E$1,FALSE)</f>
        <v>Demolish and remove on-ground conveyors and gantries</v>
      </c>
      <c r="E13" s="94"/>
      <c r="G13" s="782" t="str">
        <f>VLOOKUP(H13,TOV!$C$261:$G$296,TOV!$G$1,FALSE)</f>
        <v>m</v>
      </c>
      <c r="H13" s="782" t="str">
        <f>TOV!C265</f>
        <v>#4.05</v>
      </c>
      <c r="I13" s="115">
        <f>VLOOKUP(H13,TOV!$C$261:$G$296,TOV!$F$1,FALSE)</f>
        <v>185</v>
      </c>
      <c r="J13" s="417"/>
      <c r="K13" s="219">
        <f t="shared" si="0"/>
        <v>0</v>
      </c>
      <c r="L13" s="215"/>
      <c r="M13" s="217"/>
      <c r="N13" s="217"/>
      <c r="O13" s="217"/>
      <c r="P13" s="217"/>
      <c r="Q13" s="217"/>
      <c r="R13" s="217"/>
      <c r="S13" s="218"/>
    </row>
    <row r="14" spans="2:24">
      <c r="B14" s="308"/>
      <c r="C14" s="950">
        <f t="shared" si="1"/>
        <v>6</v>
      </c>
      <c r="D14" s="951" t="str">
        <f>VLOOKUP(H14,TOV!$C$261:$G$296,TOV!$E$1,FALSE)</f>
        <v xml:space="preserve">Demolish and remove overhead conveyors and gantries </v>
      </c>
      <c r="E14" s="94"/>
      <c r="G14" s="782" t="str">
        <f>VLOOKUP(H14,TOV!$C$261:$G$296,TOV!$G$1,FALSE)</f>
        <v>m</v>
      </c>
      <c r="H14" s="782" t="str">
        <f>TOV!C266</f>
        <v>#4.06</v>
      </c>
      <c r="I14" s="115">
        <f>VLOOKUP(H14,TOV!$C$261:$G$296,TOV!$F$1,FALSE)</f>
        <v>297.90019999999998</v>
      </c>
      <c r="J14" s="417"/>
      <c r="K14" s="219">
        <f t="shared" si="0"/>
        <v>0</v>
      </c>
      <c r="L14" s="215"/>
      <c r="M14" s="217"/>
      <c r="N14" s="217"/>
      <c r="O14" s="217"/>
      <c r="P14" s="217"/>
      <c r="Q14" s="217"/>
      <c r="R14" s="217"/>
      <c r="S14" s="218"/>
    </row>
    <row r="15" spans="2:24">
      <c r="B15" s="308"/>
      <c r="C15" s="950">
        <f t="shared" si="1"/>
        <v>7</v>
      </c>
      <c r="D15" s="951" t="str">
        <f>VLOOKUP(H15,TOV!$C$261:$G$296,TOV!$E$1,FALSE)</f>
        <v xml:space="preserve">Demolish and remove elevated conveyors and gantries </v>
      </c>
      <c r="E15" s="94"/>
      <c r="G15" s="782" t="str">
        <f>VLOOKUP(H15,TOV!$C$261:$G$296,TOV!$G$1,FALSE)</f>
        <v>m</v>
      </c>
      <c r="H15" s="782" t="str">
        <f>TOV!C267</f>
        <v>#4.07</v>
      </c>
      <c r="I15" s="115">
        <f>VLOOKUP(H15,TOV!$C$261:$G$296,TOV!$F$1,FALSE)</f>
        <v>850</v>
      </c>
      <c r="J15" s="417"/>
      <c r="K15" s="219">
        <f t="shared" si="0"/>
        <v>0</v>
      </c>
      <c r="L15" s="215"/>
      <c r="M15" s="217"/>
      <c r="N15" s="217"/>
      <c r="O15" s="217"/>
      <c r="P15" s="217"/>
      <c r="Q15" s="217"/>
      <c r="R15" s="217"/>
      <c r="S15" s="218"/>
    </row>
    <row r="16" spans="2:24">
      <c r="B16" s="308"/>
      <c r="C16" s="950">
        <f t="shared" si="1"/>
        <v>8</v>
      </c>
      <c r="D16" s="951" t="str">
        <f>VLOOKUP(H16,TOV!$C$261:$G$296,TOV!$E$1,FALSE)</f>
        <v xml:space="preserve">Demolish reclaim tunnel, cut reo and expose reclaim conveyor, then collapse into the reclaim tunnel void </v>
      </c>
      <c r="E16" s="94"/>
      <c r="G16" s="782" t="str">
        <f>VLOOKUP(H16,TOV!$C$261:$G$296,TOV!$G$1,FALSE)</f>
        <v>m2</v>
      </c>
      <c r="H16" s="782" t="str">
        <f>TOV!C268</f>
        <v>#4.08</v>
      </c>
      <c r="I16" s="115">
        <f>VLOOKUP(H16,TOV!$C$261:$G$296,TOV!$F$1,FALSE)</f>
        <v>80</v>
      </c>
      <c r="J16" s="417"/>
      <c r="K16" s="219">
        <f t="shared" si="0"/>
        <v>0</v>
      </c>
      <c r="L16" s="215"/>
      <c r="M16" s="217"/>
      <c r="N16" s="217"/>
      <c r="O16" s="217"/>
      <c r="P16" s="217"/>
      <c r="Q16" s="217"/>
      <c r="R16" s="217"/>
      <c r="S16" s="218"/>
    </row>
    <row r="17" spans="2:19">
      <c r="B17" s="308"/>
      <c r="C17" s="950">
        <f t="shared" si="1"/>
        <v>9</v>
      </c>
      <c r="D17" s="951" t="str">
        <f>VLOOKUP(H17,TOV!$C$261:$G$296,TOV!$E$1,FALSE)</f>
        <v xml:space="preserve">Remove and demolish conveyor from reclaim tunnel </v>
      </c>
      <c r="E17" s="94"/>
      <c r="G17" s="782" t="str">
        <f>VLOOKUP(H17,TOV!$C$261:$G$296,TOV!$G$1,FALSE)</f>
        <v>m</v>
      </c>
      <c r="H17" s="782" t="str">
        <f>TOV!C269</f>
        <v>#4.09</v>
      </c>
      <c r="I17" s="115">
        <f>VLOOKUP(H17,TOV!$C$261:$G$296,TOV!$F$1,FALSE)</f>
        <v>150</v>
      </c>
      <c r="J17" s="417"/>
      <c r="K17" s="219">
        <f t="shared" si="0"/>
        <v>0</v>
      </c>
      <c r="L17" s="215"/>
      <c r="M17" s="217"/>
      <c r="N17" s="217"/>
      <c r="O17" s="217"/>
      <c r="P17" s="217"/>
      <c r="Q17" s="217"/>
      <c r="R17" s="217"/>
      <c r="S17" s="218"/>
    </row>
    <row r="18" spans="2:19">
      <c r="B18" s="308"/>
      <c r="C18" s="950">
        <f t="shared" si="1"/>
        <v>10</v>
      </c>
      <c r="D18" s="951" t="str">
        <f>VLOOKUP(H18,TOV!$C$261:$G$296,TOV!$E$1,FALSE)</f>
        <v xml:space="preserve">Demolition of reclaim tunnel concrete </v>
      </c>
      <c r="E18" s="94"/>
      <c r="G18" s="782" t="str">
        <f>VLOOKUP(H18,TOV!$C$261:$G$296,TOV!$G$1,FALSE)</f>
        <v>m2</v>
      </c>
      <c r="H18" s="782" t="str">
        <f>TOV!C270</f>
        <v>#4.10</v>
      </c>
      <c r="I18" s="115">
        <f>VLOOKUP(H18,TOV!$C$261:$G$296,TOV!$F$1,FALSE)</f>
        <v>950</v>
      </c>
      <c r="J18" s="417"/>
      <c r="K18" s="219">
        <f t="shared" si="0"/>
        <v>0</v>
      </c>
      <c r="L18" s="215"/>
      <c r="M18" s="217"/>
      <c r="N18" s="217"/>
      <c r="O18" s="217"/>
      <c r="P18" s="217"/>
      <c r="Q18" s="217"/>
      <c r="R18" s="217"/>
      <c r="S18" s="218"/>
    </row>
    <row r="19" spans="2:19">
      <c r="B19" s="308"/>
      <c r="C19" s="950">
        <f t="shared" si="1"/>
        <v>11</v>
      </c>
      <c r="D19" s="951" t="str">
        <f>VLOOKUP(H19,TOV!$C$261:$G$296,TOV!$E$1,FALSE)</f>
        <v>Dismantle on-ground conveyors for reuse/resale</v>
      </c>
      <c r="E19" s="94"/>
      <c r="G19" s="782" t="str">
        <f>VLOOKUP(H19,TOV!$C$261:$G$296,TOV!$G$1,FALSE)</f>
        <v>m</v>
      </c>
      <c r="H19" s="782" t="str">
        <f>TOV!C271</f>
        <v>#4.11</v>
      </c>
      <c r="I19" s="115">
        <f>VLOOKUP(H19,TOV!$C$261:$G$296,TOV!$F$1,FALSE)</f>
        <v>462.5</v>
      </c>
      <c r="J19" s="417"/>
      <c r="K19" s="219">
        <f t="shared" si="0"/>
        <v>0</v>
      </c>
      <c r="L19" s="215"/>
      <c r="M19" s="217"/>
      <c r="N19" s="217"/>
      <c r="O19" s="217"/>
      <c r="P19" s="217"/>
      <c r="Q19" s="217"/>
      <c r="R19" s="217"/>
      <c r="S19" s="218"/>
    </row>
    <row r="20" spans="2:19">
      <c r="B20" s="308"/>
      <c r="C20" s="950">
        <f t="shared" si="1"/>
        <v>12</v>
      </c>
      <c r="D20" s="951" t="str">
        <f>VLOOKUP(H20,TOV!$C$261:$G$296,TOV!$E$1,FALSE)</f>
        <v>Dismantle overhead conveyors for reuse/resale</v>
      </c>
      <c r="E20" s="94"/>
      <c r="G20" s="782" t="str">
        <f>VLOOKUP(H20,TOV!$C$261:$G$296,TOV!$G$1,FALSE)</f>
        <v>m</v>
      </c>
      <c r="H20" s="782" t="str">
        <f>TOV!C272</f>
        <v>#4.12</v>
      </c>
      <c r="I20" s="115">
        <f>VLOOKUP(H20,TOV!$C$261:$G$296,TOV!$F$1,FALSE)</f>
        <v>750</v>
      </c>
      <c r="J20" s="417"/>
      <c r="K20" s="219">
        <f t="shared" si="0"/>
        <v>0</v>
      </c>
      <c r="L20" s="215"/>
      <c r="M20" s="217"/>
      <c r="N20" s="217"/>
      <c r="O20" s="217"/>
      <c r="P20" s="217"/>
      <c r="Q20" s="217"/>
      <c r="R20" s="217"/>
      <c r="S20" s="218"/>
    </row>
    <row r="21" spans="2:19">
      <c r="B21" s="308"/>
      <c r="C21" s="950">
        <f t="shared" si="1"/>
        <v>13</v>
      </c>
      <c r="D21" s="951" t="str">
        <f>VLOOKUP(H21,TOV!$C$261:$G$296,TOV!$E$1,FALSE)</f>
        <v>Collapse, cut and remove 1250 t silo / bin / hopper</v>
      </c>
      <c r="E21" s="343"/>
      <c r="G21" s="782" t="str">
        <f>VLOOKUP(H21,TOV!$C$261:$G$296,TOV!$G$1,FALSE)</f>
        <v>Item</v>
      </c>
      <c r="H21" s="782" t="str">
        <f>TOV!C273</f>
        <v>#4.13</v>
      </c>
      <c r="I21" s="115">
        <f>VLOOKUP(H21,TOV!$C$261:$G$296,TOV!$F$1,FALSE)</f>
        <v>75881.256249999991</v>
      </c>
      <c r="J21" s="417"/>
      <c r="K21" s="219">
        <f t="shared" si="0"/>
        <v>0</v>
      </c>
      <c r="L21" s="215"/>
      <c r="M21" s="217"/>
      <c r="N21" s="217"/>
      <c r="O21" s="217"/>
      <c r="P21" s="217"/>
      <c r="Q21" s="217"/>
      <c r="R21" s="217"/>
      <c r="S21" s="218"/>
    </row>
    <row r="22" spans="2:19">
      <c r="B22" s="308"/>
      <c r="C22" s="950">
        <f t="shared" si="1"/>
        <v>14</v>
      </c>
      <c r="D22" s="951" t="str">
        <f>VLOOKUP(H22,TOV!$C$261:$G$296,TOV!$E$1,FALSE)</f>
        <v>Collapse, cut and remove 3000 t silo / bin / hopper</v>
      </c>
      <c r="E22" s="343"/>
      <c r="G22" s="782" t="str">
        <f>VLOOKUP(H22,TOV!$C$261:$G$296,TOV!$G$1,FALSE)</f>
        <v>Item</v>
      </c>
      <c r="H22" s="782" t="str">
        <f>TOV!C274</f>
        <v>#4.14</v>
      </c>
      <c r="I22" s="115">
        <f>VLOOKUP(H22,TOV!$C$261:$G$296,TOV!$F$1,FALSE)</f>
        <v>107362.51249999998</v>
      </c>
      <c r="J22" s="417"/>
      <c r="K22" s="219">
        <f t="shared" si="0"/>
        <v>0</v>
      </c>
      <c r="L22" s="215"/>
      <c r="M22" s="217"/>
      <c r="N22" s="217"/>
      <c r="O22" s="217"/>
      <c r="P22" s="217"/>
      <c r="Q22" s="217"/>
      <c r="R22" s="217"/>
      <c r="S22" s="218"/>
    </row>
    <row r="23" spans="2:19">
      <c r="B23" s="308"/>
      <c r="C23" s="950">
        <f t="shared" si="1"/>
        <v>15</v>
      </c>
      <c r="D23" s="951" t="str">
        <f>VLOOKUP(H23,TOV!$C$261:$G$296,TOV!$E$1,FALSE)</f>
        <v>Collapse, cut and remove 5000 t silo / bin / hopper</v>
      </c>
      <c r="E23" s="343"/>
      <c r="G23" s="782" t="str">
        <f>VLOOKUP(H23,TOV!$C$261:$G$296,TOV!$G$1,FALSE)</f>
        <v>Item</v>
      </c>
      <c r="H23" s="782" t="str">
        <f>TOV!C275</f>
        <v>#4.15</v>
      </c>
      <c r="I23" s="115">
        <f>VLOOKUP(H23,TOV!$C$261:$G$296,TOV!$F$1,FALSE)</f>
        <v>143603.15</v>
      </c>
      <c r="J23" s="417"/>
      <c r="K23" s="219">
        <f t="shared" si="0"/>
        <v>0</v>
      </c>
      <c r="L23" s="215"/>
      <c r="M23" s="217"/>
      <c r="N23" s="217"/>
      <c r="O23" s="217"/>
      <c r="P23" s="217"/>
      <c r="Q23" s="217"/>
      <c r="R23" s="217"/>
      <c r="S23" s="218"/>
    </row>
    <row r="24" spans="2:19">
      <c r="B24" s="308"/>
      <c r="C24" s="950">
        <f t="shared" si="1"/>
        <v>16</v>
      </c>
      <c r="D24" s="951" t="str">
        <f>VLOOKUP(H24,TOV!$C$261:$G$296,TOV!$E$1,FALSE)</f>
        <v>Demolish and remove above ground small tank clean (Fuel storage, thickener etc. 3 - 9 m diameter)</v>
      </c>
      <c r="E24" s="343"/>
      <c r="G24" s="782" t="str">
        <f>VLOOKUP(H24,TOV!$C$261:$G$296,TOV!$G$1,FALSE)</f>
        <v>item</v>
      </c>
      <c r="H24" s="782" t="str">
        <f>TOV!C276</f>
        <v>#4.16</v>
      </c>
      <c r="I24" s="115">
        <f>VLOOKUP(H24,TOV!$C$261:$G$296,TOV!$F$1,FALSE)</f>
        <v>10000</v>
      </c>
      <c r="J24" s="417"/>
      <c r="K24" s="219">
        <f t="shared" si="0"/>
        <v>0</v>
      </c>
      <c r="L24" s="215"/>
      <c r="M24" s="217"/>
      <c r="N24" s="217"/>
      <c r="O24" s="217"/>
      <c r="P24" s="217"/>
      <c r="Q24" s="217"/>
      <c r="R24" s="217"/>
      <c r="S24" s="218"/>
    </row>
    <row r="25" spans="2:19">
      <c r="B25" s="308"/>
      <c r="C25" s="950">
        <f t="shared" si="1"/>
        <v>17</v>
      </c>
      <c r="D25" s="951" t="str">
        <f>VLOOKUP(H25,TOV!$C$261:$G$296,TOV!$E$1,FALSE)</f>
        <v>Demolish and remove above ground medium tank clean (Fuel storage, thickener etc. 10 - 15 m diameter)</v>
      </c>
      <c r="E25" s="343"/>
      <c r="G25" s="782" t="str">
        <f>VLOOKUP(H25,TOV!$C$261:$G$296,TOV!$G$1,FALSE)</f>
        <v>item</v>
      </c>
      <c r="H25" s="782" t="str">
        <f>TOV!C277</f>
        <v>#4.17</v>
      </c>
      <c r="I25" s="115">
        <f>VLOOKUP(H25,TOV!$C$261:$G$296,TOV!$F$1,FALSE)</f>
        <v>30000</v>
      </c>
      <c r="J25" s="417"/>
      <c r="K25" s="219">
        <f t="shared" si="0"/>
        <v>0</v>
      </c>
      <c r="L25" s="215"/>
      <c r="M25" s="217"/>
      <c r="N25" s="217"/>
      <c r="O25" s="217"/>
      <c r="P25" s="217"/>
      <c r="Q25" s="217"/>
      <c r="R25" s="217"/>
      <c r="S25" s="218"/>
    </row>
    <row r="26" spans="2:19">
      <c r="B26" s="308"/>
      <c r="C26" s="950">
        <f t="shared" si="1"/>
        <v>18</v>
      </c>
      <c r="D26" s="951" t="str">
        <f>VLOOKUP(H26,TOV!$C$261:$G$296,TOV!$E$1,FALSE)</f>
        <v>Demolish and remove above ground large tank clean (Fuel storage, thickener etc. 16 - 25 m diameter)</v>
      </c>
      <c r="E26" s="343"/>
      <c r="G26" s="782" t="str">
        <f>VLOOKUP(H26,TOV!$C$261:$G$296,TOV!$G$1,FALSE)</f>
        <v>item</v>
      </c>
      <c r="H26" s="782" t="str">
        <f>TOV!C278</f>
        <v>#4.18</v>
      </c>
      <c r="I26" s="115">
        <f>VLOOKUP(H26,TOV!$C$261:$G$296,TOV!$F$1,FALSE)</f>
        <v>45000</v>
      </c>
      <c r="J26" s="417"/>
      <c r="K26" s="219">
        <f t="shared" si="0"/>
        <v>0</v>
      </c>
      <c r="L26" s="215"/>
      <c r="M26" s="217"/>
      <c r="N26" s="217"/>
      <c r="O26" s="217"/>
      <c r="P26" s="217"/>
      <c r="Q26" s="217"/>
      <c r="R26" s="217"/>
      <c r="S26" s="218"/>
    </row>
    <row r="27" spans="2:19">
      <c r="B27" s="308"/>
      <c r="C27" s="950">
        <f t="shared" si="1"/>
        <v>19</v>
      </c>
      <c r="D27" s="951" t="str">
        <f>VLOOKUP(H27,TOV!$C$261:$G$296,TOV!$E$1,FALSE)</f>
        <v>Demolish and remove above ground extra large tank clean (Fuel storage, thickener etc. 26 - 50 m diameter)</v>
      </c>
      <c r="E27" s="343"/>
      <c r="G27" s="782" t="str">
        <f>VLOOKUP(H27,TOV!$C$261:$G$296,TOV!$G$1,FALSE)</f>
        <v>item</v>
      </c>
      <c r="H27" s="782" t="str">
        <f>TOV!C279</f>
        <v>#4.19</v>
      </c>
      <c r="I27" s="115">
        <f>VLOOKUP(H27,TOV!$C$261:$G$296,TOV!$F$1,FALSE)</f>
        <v>100000</v>
      </c>
      <c r="J27" s="417"/>
      <c r="K27" s="219">
        <f t="shared" si="0"/>
        <v>0</v>
      </c>
      <c r="L27" s="215"/>
      <c r="M27" s="217"/>
      <c r="N27" s="217"/>
      <c r="O27" s="217"/>
      <c r="P27" s="217"/>
      <c r="Q27" s="217"/>
      <c r="R27" s="217"/>
      <c r="S27" s="218"/>
    </row>
    <row r="28" spans="2:19">
      <c r="B28" s="308"/>
      <c r="C28" s="950">
        <f t="shared" si="1"/>
        <v>20</v>
      </c>
      <c r="D28" s="951" t="str">
        <f>VLOOKUP(H28,TOV!$C$261:$G$296,TOV!$E$1,FALSE)</f>
        <v>Demolish and remove above ground extra extra large tank clean (Fuel storage, thickener etc. &gt;50 m diameter)</v>
      </c>
      <c r="E28" s="343"/>
      <c r="G28" s="782" t="str">
        <f>VLOOKUP(H28,TOV!$C$261:$G$296,TOV!$G$1,FALSE)</f>
        <v>item</v>
      </c>
      <c r="H28" s="782" t="str">
        <f>TOV!C280</f>
        <v>#4.20</v>
      </c>
      <c r="I28" s="115">
        <f>VLOOKUP(H28,TOV!$C$261:$G$296,TOV!$F$1,FALSE)</f>
        <v>175000</v>
      </c>
      <c r="J28" s="417"/>
      <c r="K28" s="219">
        <f t="shared" si="0"/>
        <v>0</v>
      </c>
      <c r="L28" s="215"/>
      <c r="M28" s="217"/>
      <c r="N28" s="217"/>
      <c r="O28" s="217"/>
      <c r="P28" s="217"/>
      <c r="Q28" s="217"/>
      <c r="R28" s="217"/>
      <c r="S28" s="218"/>
    </row>
    <row r="29" spans="2:19">
      <c r="B29" s="308"/>
      <c r="C29" s="950">
        <f t="shared" si="1"/>
        <v>21</v>
      </c>
      <c r="D29" s="951" t="str">
        <f>VLOOKUP(H29,TOV!$C$261:$G$296,TOV!$E$1,FALSE)</f>
        <v xml:space="preserve">Removal of small underground tank (&lt;5000 L) - including pipes, bunds etc. </v>
      </c>
      <c r="E29" s="343"/>
      <c r="G29" s="782" t="str">
        <f>VLOOKUP(H29,TOV!$C$261:$G$296,TOV!$G$1,FALSE)</f>
        <v>item</v>
      </c>
      <c r="H29" s="782" t="str">
        <f>TOV!C281</f>
        <v>#4.21</v>
      </c>
      <c r="I29" s="115">
        <f>VLOOKUP(H29,TOV!$C$261:$G$296,TOV!$F$1,FALSE)</f>
        <v>21000</v>
      </c>
      <c r="J29" s="417"/>
      <c r="K29" s="219">
        <f t="shared" si="0"/>
        <v>0</v>
      </c>
      <c r="L29" s="215"/>
      <c r="M29" s="217"/>
      <c r="N29" s="217"/>
      <c r="O29" s="217"/>
      <c r="P29" s="217"/>
      <c r="Q29" s="217"/>
      <c r="R29" s="217"/>
      <c r="S29" s="218"/>
    </row>
    <row r="30" spans="2:19">
      <c r="B30" s="308"/>
      <c r="C30" s="950">
        <f t="shared" si="1"/>
        <v>22</v>
      </c>
      <c r="D30" s="951" t="str">
        <f>VLOOKUP(H30,TOV!$C$261:$G$296,TOV!$E$1,FALSE)</f>
        <v>Removal of large underground tank (&gt;5000 L) - including pipes, bunds etc.</v>
      </c>
      <c r="E30" s="343"/>
      <c r="G30" s="782" t="str">
        <f>VLOOKUP(H30,TOV!$C$261:$G$296,TOV!$G$1,FALSE)</f>
        <v>item</v>
      </c>
      <c r="H30" s="782" t="str">
        <f>TOV!C282</f>
        <v>#4.22</v>
      </c>
      <c r="I30" s="115">
        <f>VLOOKUP(H30,TOV!$C$261:$G$296,TOV!$F$1,FALSE)</f>
        <v>30000</v>
      </c>
      <c r="J30" s="417"/>
      <c r="K30" s="219">
        <f t="shared" si="0"/>
        <v>0</v>
      </c>
      <c r="L30" s="215"/>
      <c r="M30" s="217"/>
      <c r="N30" s="217"/>
      <c r="O30" s="217"/>
      <c r="P30" s="217"/>
      <c r="Q30" s="217"/>
      <c r="R30" s="217"/>
      <c r="S30" s="218"/>
    </row>
    <row r="31" spans="2:19">
      <c r="B31" s="308"/>
      <c r="C31" s="950">
        <f t="shared" si="1"/>
        <v>23</v>
      </c>
      <c r="D31" s="951" t="str">
        <f>VLOOKUP(H31,TOV!$C$261:$G$296,TOV!$E$1,FALSE)</f>
        <v>Transport small tank and dispose</v>
      </c>
      <c r="E31" s="343"/>
      <c r="G31" s="782" t="str">
        <f>VLOOKUP(H31,TOV!$C$261:$G$296,TOV!$G$1,FALSE)</f>
        <v>item</v>
      </c>
      <c r="H31" s="782" t="str">
        <f>TOV!C283</f>
        <v>#4.23</v>
      </c>
      <c r="I31" s="115">
        <f>VLOOKUP(H31,TOV!$C$261:$G$296,TOV!$F$1,FALSE)</f>
        <v>5000</v>
      </c>
      <c r="J31" s="417"/>
      <c r="K31" s="219">
        <f t="shared" si="0"/>
        <v>0</v>
      </c>
      <c r="L31" s="215"/>
      <c r="M31" s="217"/>
      <c r="N31" s="217"/>
      <c r="O31" s="217"/>
      <c r="P31" s="217"/>
      <c r="Q31" s="217"/>
      <c r="R31" s="217"/>
      <c r="S31" s="218"/>
    </row>
    <row r="32" spans="2:19">
      <c r="B32" s="308"/>
      <c r="C32" s="950">
        <f t="shared" si="1"/>
        <v>24</v>
      </c>
      <c r="D32" s="951" t="str">
        <f>VLOOKUP(H32,TOV!$C$261:$G$296,TOV!$E$1,FALSE)</f>
        <v>Small Pump Set</v>
      </c>
      <c r="E32" s="343"/>
      <c r="G32" s="782" t="str">
        <f>VLOOKUP(H32,TOV!$C$261:$G$296,TOV!$G$1,FALSE)</f>
        <v>item</v>
      </c>
      <c r="H32" s="782" t="str">
        <f>TOV!C284</f>
        <v>#4.24</v>
      </c>
      <c r="I32" s="115">
        <f>VLOOKUP(H32,TOV!$C$261:$G$296,TOV!$F$1,FALSE)</f>
        <v>431.16750536680615</v>
      </c>
      <c r="J32" s="417"/>
      <c r="K32" s="219">
        <f>IF(J32="",I32,J32)*E32</f>
        <v>0</v>
      </c>
      <c r="L32" s="215"/>
      <c r="M32" s="217"/>
      <c r="N32" s="217"/>
      <c r="O32" s="217"/>
      <c r="P32" s="217"/>
      <c r="Q32" s="217"/>
      <c r="R32" s="217"/>
      <c r="S32" s="218"/>
    </row>
    <row r="33" spans="2:19">
      <c r="B33" s="308"/>
      <c r="C33" s="950">
        <f t="shared" si="1"/>
        <v>25</v>
      </c>
      <c r="D33" s="951" t="str">
        <f>VLOOKUP(H33,TOV!$C$261:$G$296,TOV!$E$1,FALSE)</f>
        <v>Large Pump Set</v>
      </c>
      <c r="E33" s="343"/>
      <c r="G33" s="782" t="str">
        <f>VLOOKUP(H33,TOV!$C$261:$G$296,TOV!$G$1,FALSE)</f>
        <v>Item</v>
      </c>
      <c r="H33" s="782" t="str">
        <f>TOV!C285</f>
        <v>#4.25</v>
      </c>
      <c r="I33" s="115">
        <f>VLOOKUP(H33,TOV!$C$261:$G$296,TOV!$F$1,FALSE)</f>
        <v>2587.0050322008369</v>
      </c>
      <c r="J33" s="417"/>
      <c r="K33" s="219">
        <f>IF(J33="",I33,J33)*E33</f>
        <v>0</v>
      </c>
      <c r="L33" s="215"/>
      <c r="M33" s="217"/>
      <c r="N33" s="217"/>
      <c r="O33" s="217"/>
      <c r="P33" s="217"/>
      <c r="Q33" s="217"/>
      <c r="R33" s="217"/>
      <c r="S33" s="218"/>
    </row>
    <row r="34" spans="2:19">
      <c r="B34" s="308"/>
      <c r="C34" s="950">
        <f t="shared" si="1"/>
        <v>26</v>
      </c>
      <c r="D34" s="951" t="str">
        <f>VLOOKUP(H34,TOV!$C$261:$G$296,TOV!$E$1,FALSE)</f>
        <v>Dismantle and remove dragline up to 2,000 t</v>
      </c>
      <c r="E34" s="343"/>
      <c r="G34" s="782" t="str">
        <f>VLOOKUP(H34,TOV!$C$261:$G$296,TOV!$G$1,FALSE)</f>
        <v>item</v>
      </c>
      <c r="H34" s="782" t="str">
        <f>TOV!C286</f>
        <v>#4.26</v>
      </c>
      <c r="I34" s="115">
        <f>VLOOKUP(H34,TOV!$C$261:$G$296,TOV!$F$1,FALSE)</f>
        <v>1500000</v>
      </c>
      <c r="J34" s="417"/>
      <c r="K34" s="219">
        <f>IF(J34="",I34,J34)*E34</f>
        <v>0</v>
      </c>
      <c r="L34" s="215"/>
      <c r="M34" s="217"/>
      <c r="N34" s="217"/>
      <c r="O34" s="217"/>
      <c r="P34" s="217"/>
      <c r="Q34" s="217"/>
      <c r="R34" s="217"/>
      <c r="S34" s="218"/>
    </row>
    <row r="35" spans="2:19">
      <c r="B35" s="308"/>
      <c r="C35" s="950">
        <f t="shared" si="1"/>
        <v>27</v>
      </c>
      <c r="D35" s="951" t="str">
        <f>VLOOKUP(H35,TOV!$C$261:$G$296,TOV!$E$1,FALSE)</f>
        <v>Dismantle and remove dragline &gt;2,000 t to 5,000 t</v>
      </c>
      <c r="E35" s="343"/>
      <c r="G35" s="782" t="str">
        <f>VLOOKUP(H35,TOV!$C$261:$G$296,TOV!$G$1,FALSE)</f>
        <v>item</v>
      </c>
      <c r="H35" s="782" t="str">
        <f>TOV!C287</f>
        <v>#4.27</v>
      </c>
      <c r="I35" s="115">
        <f>VLOOKUP(H35,TOV!$C$261:$G$296,TOV!$F$1,FALSE)</f>
        <v>2000000</v>
      </c>
      <c r="J35" s="417"/>
      <c r="K35" s="219">
        <f>IF(J35="",I35,J35)*E35</f>
        <v>0</v>
      </c>
      <c r="L35" s="215"/>
      <c r="M35" s="217"/>
      <c r="N35" s="217"/>
      <c r="O35" s="217"/>
      <c r="P35" s="217"/>
      <c r="Q35" s="217"/>
      <c r="R35" s="217"/>
      <c r="S35" s="218"/>
    </row>
    <row r="36" spans="2:19">
      <c r="B36" s="308"/>
      <c r="C36" s="950">
        <f t="shared" si="1"/>
        <v>28</v>
      </c>
      <c r="D36" s="951" t="str">
        <f>VLOOKUP(H36,TOV!$C$261:$G$296,TOV!$E$1,FALSE)</f>
        <v>Dismantle and remove dragline &gt; 5,000 t</v>
      </c>
      <c r="E36" s="343"/>
      <c r="G36" s="782" t="str">
        <f>VLOOKUP(H36,TOV!$C$261:$G$296,TOV!$G$1,FALSE)</f>
        <v>item</v>
      </c>
      <c r="H36" s="782" t="str">
        <f>TOV!C288</f>
        <v>#4.28</v>
      </c>
      <c r="I36" s="115">
        <f>VLOOKUP(H36,TOV!$C$261:$G$296,TOV!$F$1,FALSE)</f>
        <v>2500000</v>
      </c>
      <c r="J36" s="417"/>
      <c r="K36" s="219">
        <f>IF(J36="",I36,J36)*E36</f>
        <v>0</v>
      </c>
      <c r="L36" s="215"/>
      <c r="M36" s="217"/>
      <c r="N36" s="217"/>
      <c r="O36" s="217"/>
      <c r="P36" s="217"/>
      <c r="Q36" s="217"/>
      <c r="R36" s="217"/>
      <c r="S36" s="218"/>
    </row>
    <row r="37" spans="2:19">
      <c r="B37" s="308"/>
      <c r="C37" s="950">
        <f t="shared" si="1"/>
        <v>29</v>
      </c>
      <c r="D37" s="951" t="str">
        <f>VLOOKUP(H37,TOV!$C$261:$G$296,TOV!$E$1,FALSE)</f>
        <v>Remove bitumen (aprons, sealed areas) for dumping in a void on-site</v>
      </c>
      <c r="E37" s="94"/>
      <c r="F37" s="952">
        <f>J$58</f>
        <v>0</v>
      </c>
      <c r="G37" s="782" t="str">
        <f>VLOOKUP(H37,TOV!$C$261:$G$296,TOV!$G$1,FALSE)</f>
        <v>m2</v>
      </c>
      <c r="H37" s="782" t="str">
        <f>TOV!C289</f>
        <v>#4.29</v>
      </c>
      <c r="I37" s="115">
        <f>VLOOKUP(H37,TOV!$C$261:$G$296,TOV!$F$1,FALSE)</f>
        <v>10</v>
      </c>
      <c r="J37" s="417"/>
      <c r="K37" s="219">
        <f>IF(J37="",I37,J37)*(E37+F37)</f>
        <v>0</v>
      </c>
      <c r="L37" s="215"/>
      <c r="M37" s="217"/>
      <c r="N37" s="217"/>
      <c r="O37" s="217"/>
      <c r="P37" s="217"/>
      <c r="Q37" s="217"/>
      <c r="R37" s="217"/>
      <c r="S37" s="218"/>
    </row>
    <row r="38" spans="2:19">
      <c r="B38" s="308"/>
      <c r="C38" s="950">
        <f t="shared" si="1"/>
        <v>30</v>
      </c>
      <c r="D38" s="951" t="str">
        <f>VLOOKUP(H38,TOV!$C$261:$G$296,TOV!$E$1,FALSE)</f>
        <v>Remove bitumen (airstrip) for dumping in a void on-site</v>
      </c>
      <c r="E38" s="94"/>
      <c r="F38" s="952">
        <f>K$58</f>
        <v>0</v>
      </c>
      <c r="G38" s="782" t="str">
        <f>VLOOKUP(H38,TOV!$C$261:$G$296,TOV!$G$1,FALSE)</f>
        <v>m2</v>
      </c>
      <c r="H38" s="782" t="str">
        <f>TOV!C290</f>
        <v>#4.30</v>
      </c>
      <c r="I38" s="115">
        <f>VLOOKUP(H38,TOV!$C$261:$G$296,TOV!$F$1,FALSE)</f>
        <v>20</v>
      </c>
      <c r="J38" s="417"/>
      <c r="K38" s="219">
        <f t="shared" ref="K38:K44" si="2">IF(J38="",I38,J38)*(E38+F38)</f>
        <v>0</v>
      </c>
      <c r="L38" s="215"/>
      <c r="M38" s="217"/>
      <c r="N38" s="217"/>
      <c r="O38" s="217"/>
      <c r="P38" s="217"/>
      <c r="Q38" s="217"/>
      <c r="R38" s="217"/>
      <c r="S38" s="218"/>
    </row>
    <row r="39" spans="2:19">
      <c r="B39" s="308"/>
      <c r="C39" s="950">
        <f t="shared" si="1"/>
        <v>31</v>
      </c>
      <c r="D39" s="951" t="str">
        <f>VLOOKUP(H39,TOV!$C$261:$G$296,TOV!$E$1,FALSE)</f>
        <v>Remove concrete pads &amp; footings (&lt;=0.3 m thickness) and dumping in void</v>
      </c>
      <c r="E39" s="94"/>
      <c r="F39" s="952">
        <f>E$58</f>
        <v>0</v>
      </c>
      <c r="G39" s="782" t="str">
        <f>VLOOKUP(H39,TOV!$C$261:$G$296,TOV!$G$1,FALSE)</f>
        <v>m2</v>
      </c>
      <c r="H39" s="782" t="str">
        <f>TOV!C291</f>
        <v>#4.31</v>
      </c>
      <c r="I39" s="115">
        <f>VLOOKUP(H39,TOV!$C$261:$G$296,TOV!$F$1,FALSE)</f>
        <v>37</v>
      </c>
      <c r="J39" s="417"/>
      <c r="K39" s="219">
        <f t="shared" si="2"/>
        <v>0</v>
      </c>
      <c r="L39" s="215"/>
      <c r="M39" s="217"/>
      <c r="N39" s="217"/>
      <c r="O39" s="217"/>
      <c r="P39" s="217"/>
      <c r="Q39" s="217"/>
      <c r="R39" s="217"/>
      <c r="S39" s="218"/>
    </row>
    <row r="40" spans="2:19">
      <c r="B40" s="308"/>
      <c r="C40" s="950">
        <f t="shared" si="1"/>
        <v>32</v>
      </c>
      <c r="D40" s="951" t="str">
        <f>VLOOKUP(H40,TOV!$C$261:$G$296,TOV!$E$1,FALSE)</f>
        <v>Remove concrete pads &amp; footings (&gt;0.3 m thickness) and dumping in void</v>
      </c>
      <c r="E40" s="94"/>
      <c r="F40" s="952">
        <f>F$58</f>
        <v>0</v>
      </c>
      <c r="G40" s="782" t="str">
        <f>VLOOKUP(H40,TOV!$C$261:$G$296,TOV!$G$1,FALSE)</f>
        <v>m2</v>
      </c>
      <c r="H40" s="782" t="str">
        <f>TOV!C292</f>
        <v>#4.32</v>
      </c>
      <c r="I40" s="115">
        <f>VLOOKUP(H40,TOV!$C$261:$G$296,TOV!$F$1,FALSE)</f>
        <v>75</v>
      </c>
      <c r="J40" s="417"/>
      <c r="K40" s="219">
        <f t="shared" si="2"/>
        <v>0</v>
      </c>
      <c r="L40" s="215"/>
      <c r="M40" s="217"/>
      <c r="N40" s="217"/>
      <c r="O40" s="217"/>
      <c r="P40" s="217"/>
      <c r="Q40" s="217"/>
      <c r="R40" s="217"/>
      <c r="S40" s="218"/>
    </row>
    <row r="41" spans="2:19">
      <c r="B41" s="308"/>
      <c r="C41" s="950">
        <f t="shared" si="1"/>
        <v>33</v>
      </c>
      <c r="D41" s="951" t="str">
        <f>VLOOKUP(H41,TOV!$C$261:$G$296,TOV!$E$1,FALSE)</f>
        <v>Crush concrete to make road aggregate - 75 mm</v>
      </c>
      <c r="E41" s="94"/>
      <c r="F41" s="952">
        <f>G$58</f>
        <v>0</v>
      </c>
      <c r="G41" s="782" t="str">
        <f>VLOOKUP(H41,TOV!$C$261:$G$296,TOV!$G$1,FALSE)</f>
        <v>t</v>
      </c>
      <c r="H41" s="782" t="str">
        <f>TOV!C293</f>
        <v>#4.33</v>
      </c>
      <c r="I41" s="115">
        <f>VLOOKUP(H41,TOV!$C$261:$G$296,TOV!$F$1,FALSE)</f>
        <v>10</v>
      </c>
      <c r="J41" s="417"/>
      <c r="K41" s="219">
        <f t="shared" si="2"/>
        <v>0</v>
      </c>
      <c r="L41" s="215"/>
      <c r="M41" s="217"/>
      <c r="N41" s="217"/>
      <c r="O41" s="217"/>
      <c r="P41" s="217"/>
      <c r="Q41" s="217"/>
      <c r="R41" s="217"/>
      <c r="S41" s="218"/>
    </row>
    <row r="42" spans="2:19">
      <c r="B42" s="308"/>
      <c r="C42" s="950">
        <f t="shared" si="1"/>
        <v>34</v>
      </c>
      <c r="D42" s="951" t="str">
        <f>VLOOKUP(H42,TOV!$C$261:$G$296,TOV!$E$1,FALSE)</f>
        <v>Crush concrete to make road aggregate - 50 mm</v>
      </c>
      <c r="E42" s="94"/>
      <c r="F42" s="952">
        <f>H$58</f>
        <v>0</v>
      </c>
      <c r="G42" s="782" t="str">
        <f>VLOOKUP(H42,TOV!$C$261:$G$296,TOV!$G$1,FALSE)</f>
        <v>t</v>
      </c>
      <c r="H42" s="782" t="str">
        <f>TOV!C294</f>
        <v>#4.34</v>
      </c>
      <c r="I42" s="115">
        <f>VLOOKUP(H42,TOV!$C$261:$G$296,TOV!$F$1,FALSE)</f>
        <v>13</v>
      </c>
      <c r="J42" s="417"/>
      <c r="K42" s="219">
        <f t="shared" si="2"/>
        <v>0</v>
      </c>
      <c r="L42" s="215"/>
      <c r="M42" s="217"/>
      <c r="N42" s="217"/>
      <c r="O42" s="217"/>
      <c r="P42" s="217"/>
      <c r="Q42" s="217"/>
      <c r="R42" s="217"/>
      <c r="S42" s="218"/>
    </row>
    <row r="43" spans="2:19">
      <c r="B43" s="308"/>
      <c r="C43" s="950">
        <f t="shared" si="1"/>
        <v>35</v>
      </c>
      <c r="D43" s="951" t="str">
        <f>VLOOKUP(H43,TOV!$C$261:$G$296,TOV!$E$1,FALSE)</f>
        <v>Crush concrete to make road aggregate - 30 mm</v>
      </c>
      <c r="E43" s="94"/>
      <c r="F43" s="952">
        <f>I$58</f>
        <v>0</v>
      </c>
      <c r="G43" s="782" t="str">
        <f>VLOOKUP(H43,TOV!$C$261:$G$296,TOV!$G$1,FALSE)</f>
        <v>t</v>
      </c>
      <c r="H43" s="782" t="str">
        <f>TOV!C295</f>
        <v>#4.35</v>
      </c>
      <c r="I43" s="115">
        <f>VLOOKUP(H43,TOV!$C$261:$G$296,TOV!$F$1,FALSE)</f>
        <v>15</v>
      </c>
      <c r="J43" s="417"/>
      <c r="K43" s="219">
        <f t="shared" si="2"/>
        <v>0</v>
      </c>
      <c r="L43" s="215"/>
      <c r="M43" s="217"/>
      <c r="N43" s="217"/>
      <c r="O43" s="217"/>
      <c r="P43" s="217"/>
      <c r="Q43" s="217"/>
      <c r="R43" s="217"/>
      <c r="S43" s="218"/>
    </row>
    <row r="44" spans="2:19">
      <c r="B44" s="308"/>
      <c r="C44" s="950">
        <f t="shared" si="1"/>
        <v>36</v>
      </c>
      <c r="D44" s="951" t="str">
        <f>VLOOKUP(H44,TOV!$C$261:$G$296,TOV!$E$1,FALSE)</f>
        <v>Rehabilitation of infrastructure footprints</v>
      </c>
      <c r="E44" s="94"/>
      <c r="F44" s="952">
        <f>L$58</f>
        <v>0</v>
      </c>
      <c r="G44" s="782" t="str">
        <f>VLOOKUP(H44,TOV!$C$261:$G$296,TOV!$G$1,FALSE)</f>
        <v>m2</v>
      </c>
      <c r="H44" s="782" t="str">
        <f>TOV!C296</f>
        <v>#4.36</v>
      </c>
      <c r="I44" s="115">
        <f>VLOOKUP(H44,TOV!$C$261:$G$296,TOV!$F$1,FALSE)</f>
        <v>0.65</v>
      </c>
      <c r="J44" s="417"/>
      <c r="K44" s="219">
        <f t="shared" si="2"/>
        <v>0</v>
      </c>
      <c r="L44" s="215"/>
      <c r="M44" s="217"/>
      <c r="N44" s="217"/>
      <c r="O44" s="217"/>
      <c r="P44" s="217"/>
      <c r="Q44" s="217"/>
      <c r="R44" s="217"/>
      <c r="S44" s="218"/>
    </row>
    <row r="45" spans="2:19">
      <c r="B45" s="308"/>
      <c r="C45" s="950">
        <f t="shared" si="1"/>
        <v>37</v>
      </c>
      <c r="D45" s="958"/>
      <c r="E45" s="94"/>
      <c r="G45" s="80"/>
      <c r="I45" s="518" t="str">
        <f>IF(AND(E45&gt;0,OR(J45="",J45=0)),"Enter Rate","No alert")</f>
        <v>No alert</v>
      </c>
      <c r="J45" s="417"/>
      <c r="K45" s="219">
        <f t="shared" ref="K45:K54" si="3">E45*J45</f>
        <v>0</v>
      </c>
      <c r="L45" s="215"/>
      <c r="M45" s="217"/>
      <c r="N45" s="217"/>
      <c r="O45" s="217"/>
      <c r="P45" s="217"/>
      <c r="Q45" s="217"/>
      <c r="R45" s="217"/>
      <c r="S45" s="218"/>
    </row>
    <row r="46" spans="2:19">
      <c r="B46" s="308"/>
      <c r="C46" s="950">
        <f t="shared" si="1"/>
        <v>38</v>
      </c>
      <c r="D46" s="958"/>
      <c r="E46" s="94"/>
      <c r="G46" s="80"/>
      <c r="I46" s="518" t="str">
        <f t="shared" ref="I46:I54" si="4">IF(AND(E46&gt;0,OR(J46="",J46=0)),"Enter Rate","No alert")</f>
        <v>No alert</v>
      </c>
      <c r="J46" s="417"/>
      <c r="K46" s="219">
        <f t="shared" si="3"/>
        <v>0</v>
      </c>
      <c r="L46" s="215"/>
      <c r="M46" s="217"/>
      <c r="N46" s="217"/>
      <c r="O46" s="217"/>
      <c r="P46" s="217"/>
      <c r="Q46" s="217"/>
      <c r="R46" s="217"/>
      <c r="S46" s="218"/>
    </row>
    <row r="47" spans="2:19">
      <c r="B47" s="308"/>
      <c r="C47" s="950">
        <f t="shared" si="1"/>
        <v>39</v>
      </c>
      <c r="D47" s="958"/>
      <c r="E47" s="94"/>
      <c r="G47" s="80"/>
      <c r="I47" s="518" t="str">
        <f t="shared" si="4"/>
        <v>No alert</v>
      </c>
      <c r="J47" s="417"/>
      <c r="K47" s="219">
        <f t="shared" si="3"/>
        <v>0</v>
      </c>
      <c r="L47" s="215"/>
      <c r="M47" s="217"/>
      <c r="N47" s="217"/>
      <c r="O47" s="217"/>
      <c r="P47" s="217"/>
      <c r="Q47" s="217"/>
      <c r="R47" s="217"/>
      <c r="S47" s="218"/>
    </row>
    <row r="48" spans="2:19">
      <c r="B48" s="308"/>
      <c r="C48" s="950">
        <f t="shared" si="1"/>
        <v>40</v>
      </c>
      <c r="D48" s="958"/>
      <c r="E48" s="94"/>
      <c r="G48" s="80"/>
      <c r="I48" s="518" t="str">
        <f t="shared" si="4"/>
        <v>No alert</v>
      </c>
      <c r="J48" s="417"/>
      <c r="K48" s="219">
        <f t="shared" si="3"/>
        <v>0</v>
      </c>
      <c r="L48" s="215"/>
      <c r="M48" s="217"/>
      <c r="N48" s="217"/>
      <c r="O48" s="217"/>
      <c r="P48" s="217"/>
      <c r="Q48" s="217"/>
      <c r="R48" s="217"/>
      <c r="S48" s="218"/>
    </row>
    <row r="49" spans="2:19">
      <c r="B49" s="308"/>
      <c r="C49" s="950">
        <f t="shared" si="1"/>
        <v>41</v>
      </c>
      <c r="D49" s="958"/>
      <c r="E49" s="94"/>
      <c r="G49" s="80"/>
      <c r="I49" s="518" t="str">
        <f t="shared" si="4"/>
        <v>No alert</v>
      </c>
      <c r="J49" s="417"/>
      <c r="K49" s="219">
        <f t="shared" si="3"/>
        <v>0</v>
      </c>
      <c r="L49" s="215"/>
      <c r="M49" s="217"/>
      <c r="N49" s="217"/>
      <c r="O49" s="217"/>
      <c r="P49" s="217"/>
      <c r="Q49" s="217"/>
      <c r="R49" s="217"/>
      <c r="S49" s="218"/>
    </row>
    <row r="50" spans="2:19">
      <c r="B50" s="308"/>
      <c r="C50" s="950">
        <f t="shared" si="1"/>
        <v>42</v>
      </c>
      <c r="D50" s="958"/>
      <c r="E50" s="94"/>
      <c r="G50" s="80"/>
      <c r="I50" s="518" t="str">
        <f t="shared" si="4"/>
        <v>No alert</v>
      </c>
      <c r="J50" s="417"/>
      <c r="K50" s="219">
        <f t="shared" si="3"/>
        <v>0</v>
      </c>
      <c r="L50" s="215"/>
      <c r="M50" s="217"/>
      <c r="N50" s="217"/>
      <c r="O50" s="217"/>
      <c r="P50" s="217"/>
      <c r="Q50" s="217"/>
      <c r="R50" s="217"/>
      <c r="S50" s="218"/>
    </row>
    <row r="51" spans="2:19">
      <c r="B51" s="308"/>
      <c r="C51" s="950">
        <f t="shared" si="1"/>
        <v>43</v>
      </c>
      <c r="D51" s="958"/>
      <c r="E51" s="94"/>
      <c r="G51" s="80"/>
      <c r="I51" s="518" t="str">
        <f t="shared" si="4"/>
        <v>No alert</v>
      </c>
      <c r="J51" s="417"/>
      <c r="K51" s="219">
        <f t="shared" si="3"/>
        <v>0</v>
      </c>
      <c r="L51" s="215"/>
      <c r="M51" s="217"/>
      <c r="N51" s="217"/>
      <c r="O51" s="217"/>
      <c r="P51" s="217"/>
      <c r="Q51" s="217"/>
      <c r="R51" s="217"/>
      <c r="S51" s="218"/>
    </row>
    <row r="52" spans="2:19">
      <c r="B52" s="308"/>
      <c r="C52" s="950">
        <f t="shared" si="1"/>
        <v>44</v>
      </c>
      <c r="D52" s="958"/>
      <c r="E52" s="94"/>
      <c r="G52" s="80"/>
      <c r="I52" s="518" t="str">
        <f t="shared" si="4"/>
        <v>No alert</v>
      </c>
      <c r="J52" s="417"/>
      <c r="K52" s="219">
        <f t="shared" si="3"/>
        <v>0</v>
      </c>
      <c r="L52" s="215"/>
      <c r="M52" s="217"/>
      <c r="N52" s="217"/>
      <c r="O52" s="217"/>
      <c r="P52" s="217"/>
      <c r="Q52" s="217"/>
      <c r="R52" s="217"/>
      <c r="S52" s="218"/>
    </row>
    <row r="53" spans="2:19">
      <c r="B53" s="308"/>
      <c r="C53" s="950">
        <f t="shared" si="1"/>
        <v>45</v>
      </c>
      <c r="D53" s="958"/>
      <c r="E53" s="94"/>
      <c r="G53" s="80"/>
      <c r="I53" s="518" t="str">
        <f t="shared" si="4"/>
        <v>No alert</v>
      </c>
      <c r="J53" s="417"/>
      <c r="K53" s="219">
        <f t="shared" si="3"/>
        <v>0</v>
      </c>
      <c r="L53" s="215"/>
      <c r="M53" s="217"/>
      <c r="N53" s="217"/>
      <c r="O53" s="217"/>
      <c r="P53" s="217"/>
      <c r="Q53" s="217"/>
      <c r="R53" s="217"/>
      <c r="S53" s="218"/>
    </row>
    <row r="54" spans="2:19">
      <c r="B54" s="308"/>
      <c r="C54" s="950">
        <f t="shared" si="1"/>
        <v>46</v>
      </c>
      <c r="D54" s="958"/>
      <c r="E54" s="94"/>
      <c r="G54" s="80"/>
      <c r="I54" s="518" t="str">
        <f t="shared" si="4"/>
        <v>No alert</v>
      </c>
      <c r="J54" s="417"/>
      <c r="K54" s="219">
        <f t="shared" si="3"/>
        <v>0</v>
      </c>
      <c r="L54" s="215"/>
      <c r="M54" s="217"/>
      <c r="N54" s="217"/>
      <c r="O54" s="217"/>
      <c r="P54" s="217"/>
      <c r="Q54" s="217"/>
      <c r="R54" s="217"/>
      <c r="S54" s="218"/>
    </row>
    <row r="55" spans="2:19" ht="20.65" customHeight="1">
      <c r="I55" s="953"/>
      <c r="J55" s="953"/>
      <c r="K55" s="953"/>
    </row>
    <row r="56" spans="2:19" ht="19.149999999999999" customHeight="1">
      <c r="C56" s="543" t="s">
        <v>1749</v>
      </c>
      <c r="I56" s="953"/>
      <c r="J56" s="953"/>
      <c r="K56" s="122">
        <f>SUM(K8:K55)</f>
        <v>0</v>
      </c>
    </row>
    <row r="57" spans="2:19" ht="19.149999999999999" customHeight="1">
      <c r="B57" s="284" t="s">
        <v>26</v>
      </c>
      <c r="C57" s="820" t="s">
        <v>1750</v>
      </c>
      <c r="D57" s="816"/>
    </row>
    <row r="58" spans="2:19" ht="18" customHeight="1">
      <c r="D58" s="555" t="s">
        <v>59</v>
      </c>
      <c r="E58" s="372">
        <f>SUM(E60:E160)</f>
        <v>0</v>
      </c>
      <c r="F58" s="372">
        <f t="shared" ref="F58:G58" si="5">SUM(F60:F160)</f>
        <v>0</v>
      </c>
      <c r="G58" s="372">
        <f t="shared" si="5"/>
        <v>0</v>
      </c>
      <c r="H58" s="372">
        <f>SUM(H60:H160)</f>
        <v>0</v>
      </c>
      <c r="I58" s="372">
        <f>SUM(I60:I160)</f>
        <v>0</v>
      </c>
      <c r="J58" s="372">
        <f>SUM(J60:J160)</f>
        <v>0</v>
      </c>
      <c r="K58" s="372">
        <f>SUM(K60:K160)</f>
        <v>0</v>
      </c>
      <c r="L58" s="372">
        <f t="shared" ref="L58" si="6">SUM(L60:L160)</f>
        <v>0</v>
      </c>
    </row>
    <row r="59" spans="2:19" ht="52.9" customHeight="1">
      <c r="B59" s="954" t="s">
        <v>1517</v>
      </c>
      <c r="C59" s="954" t="s">
        <v>27</v>
      </c>
      <c r="D59" s="955" t="s">
        <v>38</v>
      </c>
      <c r="E59" s="955" t="str">
        <f>TOV!$E209</f>
        <v>Remove concrete pads &amp; footings (&lt;=0.3 m thickness) and dumping in void</v>
      </c>
      <c r="F59" s="955" t="str">
        <f>TOV!$E210</f>
        <v>Remove concrete pads &amp; footings (&gt;0.3 m thickness) and dumping in void</v>
      </c>
      <c r="G59" s="955" t="str">
        <f>TOV!$E211</f>
        <v>Crush concrete to make road aggregate - 75 mm</v>
      </c>
      <c r="H59" s="955" t="str">
        <f>TOV!$E212</f>
        <v>Crush concrete to make road aggregate - 50 mm</v>
      </c>
      <c r="I59" s="955" t="str">
        <f>TOV!$E213</f>
        <v>Crush concrete to make road aggregate - 30 mm</v>
      </c>
      <c r="J59" s="955" t="str">
        <f>TOV!E207</f>
        <v>Remove bitumen (aprons, sealed areas) for dumping in a void on-site</v>
      </c>
      <c r="K59" s="955" t="str">
        <f>TOV!E208</f>
        <v>Remove bitumen (airstrip) for dumping in a void on-site</v>
      </c>
      <c r="L59" s="954" t="str">
        <f>TOV!E217</f>
        <v xml:space="preserve">Rehabilitation of infrastructure footprints
</v>
      </c>
    </row>
    <row r="60" spans="2:19" ht="18" customHeight="1">
      <c r="E60" s="956" t="str">
        <f>TOV!$G209</f>
        <v>m2</v>
      </c>
      <c r="F60" s="956" t="str">
        <f>TOV!$G210</f>
        <v>m2</v>
      </c>
      <c r="G60" s="956" t="str">
        <f>TOV!$G211</f>
        <v>t</v>
      </c>
      <c r="H60" s="956" t="str">
        <f>TOV!$G212</f>
        <v>t</v>
      </c>
      <c r="I60" s="956" t="str">
        <f>TOV!$G213</f>
        <v>t</v>
      </c>
      <c r="J60" s="956" t="str">
        <f>TOV!$G207</f>
        <v>m2</v>
      </c>
      <c r="K60" s="956" t="str">
        <f>TOV!$G208</f>
        <v>m2</v>
      </c>
      <c r="L60" s="957" t="str">
        <f>TOV!G217</f>
        <v>m2</v>
      </c>
    </row>
    <row r="61" spans="2:19">
      <c r="B61" s="306"/>
      <c r="C61" s="950">
        <v>1</v>
      </c>
      <c r="D61" s="951" t="s">
        <v>1751</v>
      </c>
      <c r="E61" s="94"/>
      <c r="F61" s="94"/>
      <c r="G61" s="94"/>
      <c r="H61" s="94"/>
      <c r="I61" s="94"/>
      <c r="J61" s="94"/>
      <c r="K61" s="94"/>
      <c r="L61" s="94"/>
    </row>
    <row r="62" spans="2:19">
      <c r="B62" s="306"/>
      <c r="C62" s="950">
        <f>C61+1</f>
        <v>2</v>
      </c>
      <c r="D62" s="959"/>
      <c r="E62" s="94"/>
      <c r="F62" s="94"/>
      <c r="G62" s="94"/>
      <c r="H62" s="94"/>
      <c r="I62" s="94"/>
      <c r="J62" s="94"/>
      <c r="K62" s="94"/>
      <c r="L62" s="94"/>
    </row>
    <row r="63" spans="2:19">
      <c r="B63" s="306"/>
      <c r="C63" s="950">
        <f t="shared" ref="C63:C99" si="7">C62+1</f>
        <v>3</v>
      </c>
      <c r="D63" s="959"/>
      <c r="E63" s="94"/>
      <c r="F63" s="94"/>
      <c r="G63" s="94"/>
      <c r="H63" s="94"/>
      <c r="I63" s="94"/>
      <c r="J63" s="94"/>
      <c r="K63" s="94"/>
      <c r="L63" s="94"/>
    </row>
    <row r="64" spans="2:19">
      <c r="B64" s="306"/>
      <c r="C64" s="950">
        <f t="shared" si="7"/>
        <v>4</v>
      </c>
      <c r="D64" s="959"/>
      <c r="E64" s="94"/>
      <c r="F64" s="94"/>
      <c r="G64" s="94"/>
      <c r="H64" s="94"/>
      <c r="I64" s="94"/>
      <c r="J64" s="94"/>
      <c r="K64" s="94"/>
      <c r="L64" s="94"/>
    </row>
    <row r="65" spans="2:12">
      <c r="B65" s="306"/>
      <c r="C65" s="950">
        <f t="shared" si="7"/>
        <v>5</v>
      </c>
      <c r="D65" s="959"/>
      <c r="E65" s="94"/>
      <c r="F65" s="94"/>
      <c r="G65" s="94"/>
      <c r="H65" s="94"/>
      <c r="I65" s="94"/>
      <c r="J65" s="94"/>
      <c r="K65" s="94"/>
      <c r="L65" s="94"/>
    </row>
    <row r="66" spans="2:12">
      <c r="B66" s="306"/>
      <c r="C66" s="950">
        <f t="shared" si="7"/>
        <v>6</v>
      </c>
      <c r="D66" s="959"/>
      <c r="E66" s="94"/>
      <c r="F66" s="94"/>
      <c r="G66" s="94"/>
      <c r="H66" s="94"/>
      <c r="I66" s="94"/>
      <c r="J66" s="94"/>
      <c r="K66" s="94"/>
      <c r="L66" s="94"/>
    </row>
    <row r="67" spans="2:12">
      <c r="B67" s="306"/>
      <c r="C67" s="950">
        <f t="shared" si="7"/>
        <v>7</v>
      </c>
      <c r="D67" s="959"/>
      <c r="E67" s="94"/>
      <c r="F67" s="94"/>
      <c r="G67" s="94"/>
      <c r="H67" s="94"/>
      <c r="I67" s="94"/>
      <c r="J67" s="94"/>
      <c r="K67" s="94"/>
      <c r="L67" s="94"/>
    </row>
    <row r="68" spans="2:12">
      <c r="B68" s="306"/>
      <c r="C68" s="950">
        <f t="shared" si="7"/>
        <v>8</v>
      </c>
      <c r="D68" s="959"/>
      <c r="E68" s="94"/>
      <c r="F68" s="94"/>
      <c r="G68" s="94"/>
      <c r="H68" s="94"/>
      <c r="I68" s="94"/>
      <c r="J68" s="94"/>
      <c r="K68" s="94"/>
      <c r="L68" s="94"/>
    </row>
    <row r="69" spans="2:12">
      <c r="B69" s="306"/>
      <c r="C69" s="950">
        <f t="shared" si="7"/>
        <v>9</v>
      </c>
      <c r="D69" s="959"/>
      <c r="E69" s="94"/>
      <c r="F69" s="94"/>
      <c r="G69" s="94"/>
      <c r="H69" s="94"/>
      <c r="I69" s="94"/>
      <c r="J69" s="94"/>
      <c r="K69" s="94"/>
      <c r="L69" s="94"/>
    </row>
    <row r="70" spans="2:12">
      <c r="B70" s="306"/>
      <c r="C70" s="950">
        <f t="shared" si="7"/>
        <v>10</v>
      </c>
      <c r="D70" s="959"/>
      <c r="E70" s="94"/>
      <c r="F70" s="94"/>
      <c r="G70" s="94"/>
      <c r="H70" s="94"/>
      <c r="I70" s="94"/>
      <c r="J70" s="94"/>
      <c r="K70" s="94"/>
      <c r="L70" s="94"/>
    </row>
    <row r="71" spans="2:12">
      <c r="B71" s="306"/>
      <c r="C71" s="950">
        <f t="shared" si="7"/>
        <v>11</v>
      </c>
      <c r="D71" s="959"/>
      <c r="E71" s="94"/>
      <c r="F71" s="94"/>
      <c r="G71" s="94"/>
      <c r="H71" s="94"/>
      <c r="I71" s="94"/>
      <c r="J71" s="94"/>
      <c r="K71" s="94"/>
      <c r="L71" s="94"/>
    </row>
    <row r="72" spans="2:12">
      <c r="B72" s="306"/>
      <c r="C72" s="950">
        <f t="shared" si="7"/>
        <v>12</v>
      </c>
      <c r="D72" s="959"/>
      <c r="E72" s="94"/>
      <c r="F72" s="94"/>
      <c r="G72" s="94"/>
      <c r="H72" s="94"/>
      <c r="I72" s="94"/>
      <c r="J72" s="94"/>
      <c r="K72" s="94"/>
      <c r="L72" s="94"/>
    </row>
    <row r="73" spans="2:12">
      <c r="B73" s="306"/>
      <c r="C73" s="950">
        <f t="shared" si="7"/>
        <v>13</v>
      </c>
      <c r="D73" s="959"/>
      <c r="E73" s="94"/>
      <c r="F73" s="94"/>
      <c r="G73" s="94"/>
      <c r="H73" s="94"/>
      <c r="I73" s="94"/>
      <c r="J73" s="94"/>
      <c r="K73" s="94"/>
      <c r="L73" s="94"/>
    </row>
    <row r="74" spans="2:12">
      <c r="B74" s="306"/>
      <c r="C74" s="950">
        <f t="shared" si="7"/>
        <v>14</v>
      </c>
      <c r="D74" s="959"/>
      <c r="E74" s="94"/>
      <c r="F74" s="94"/>
      <c r="G74" s="94"/>
      <c r="H74" s="94"/>
      <c r="I74" s="94"/>
      <c r="J74" s="94"/>
      <c r="K74" s="94"/>
      <c r="L74" s="94"/>
    </row>
    <row r="75" spans="2:12">
      <c r="B75" s="306"/>
      <c r="C75" s="950">
        <f t="shared" si="7"/>
        <v>15</v>
      </c>
      <c r="D75" s="959"/>
      <c r="E75" s="94"/>
      <c r="F75" s="94"/>
      <c r="G75" s="94"/>
      <c r="H75" s="94"/>
      <c r="I75" s="94"/>
      <c r="J75" s="94"/>
      <c r="K75" s="94"/>
      <c r="L75" s="94"/>
    </row>
    <row r="76" spans="2:12">
      <c r="B76" s="306"/>
      <c r="C76" s="950">
        <f t="shared" si="7"/>
        <v>16</v>
      </c>
      <c r="D76" s="959"/>
      <c r="E76" s="94"/>
      <c r="F76" s="94"/>
      <c r="G76" s="94"/>
      <c r="H76" s="94"/>
      <c r="I76" s="94"/>
      <c r="J76" s="94"/>
      <c r="K76" s="94"/>
      <c r="L76" s="94"/>
    </row>
    <row r="77" spans="2:12">
      <c r="B77" s="306"/>
      <c r="C77" s="950">
        <f t="shared" si="7"/>
        <v>17</v>
      </c>
      <c r="D77" s="959"/>
      <c r="E77" s="94"/>
      <c r="F77" s="94"/>
      <c r="G77" s="94"/>
      <c r="H77" s="94"/>
      <c r="I77" s="94"/>
      <c r="J77" s="94"/>
      <c r="K77" s="94"/>
      <c r="L77" s="94"/>
    </row>
    <row r="78" spans="2:12">
      <c r="B78" s="306"/>
      <c r="C78" s="950">
        <f t="shared" si="7"/>
        <v>18</v>
      </c>
      <c r="D78" s="959"/>
      <c r="E78" s="94"/>
      <c r="F78" s="94"/>
      <c r="G78" s="94"/>
      <c r="H78" s="94"/>
      <c r="I78" s="94"/>
      <c r="J78" s="94"/>
      <c r="K78" s="94"/>
      <c r="L78" s="94"/>
    </row>
    <row r="79" spans="2:12">
      <c r="B79" s="306"/>
      <c r="C79" s="950">
        <f t="shared" si="7"/>
        <v>19</v>
      </c>
      <c r="D79" s="959"/>
      <c r="E79" s="94"/>
      <c r="F79" s="94"/>
      <c r="G79" s="94"/>
      <c r="H79" s="94"/>
      <c r="I79" s="94"/>
      <c r="J79" s="94"/>
      <c r="K79" s="94"/>
      <c r="L79" s="94"/>
    </row>
    <row r="80" spans="2:12">
      <c r="B80" s="306"/>
      <c r="C80" s="950">
        <f t="shared" si="7"/>
        <v>20</v>
      </c>
      <c r="D80" s="959"/>
      <c r="E80" s="94"/>
      <c r="F80" s="94"/>
      <c r="G80" s="94"/>
      <c r="H80" s="94"/>
      <c r="I80" s="94"/>
      <c r="J80" s="94"/>
      <c r="K80" s="94"/>
      <c r="L80" s="94"/>
    </row>
    <row r="81" spans="2:12">
      <c r="B81" s="306"/>
      <c r="C81" s="950">
        <f t="shared" si="7"/>
        <v>21</v>
      </c>
      <c r="D81" s="959"/>
      <c r="E81" s="94"/>
      <c r="F81" s="94"/>
      <c r="G81" s="94"/>
      <c r="H81" s="94"/>
      <c r="I81" s="94"/>
      <c r="J81" s="94"/>
      <c r="K81" s="94"/>
      <c r="L81" s="94"/>
    </row>
    <row r="82" spans="2:12">
      <c r="B82" s="306"/>
      <c r="C82" s="950">
        <f t="shared" si="7"/>
        <v>22</v>
      </c>
      <c r="D82" s="959"/>
      <c r="E82" s="94"/>
      <c r="F82" s="94"/>
      <c r="G82" s="94"/>
      <c r="H82" s="94"/>
      <c r="I82" s="94"/>
      <c r="J82" s="94"/>
      <c r="K82" s="94"/>
      <c r="L82" s="94"/>
    </row>
    <row r="83" spans="2:12">
      <c r="B83" s="306"/>
      <c r="C83" s="950">
        <f t="shared" si="7"/>
        <v>23</v>
      </c>
      <c r="D83" s="959"/>
      <c r="E83" s="94"/>
      <c r="F83" s="94"/>
      <c r="G83" s="94"/>
      <c r="H83" s="94"/>
      <c r="I83" s="94"/>
      <c r="J83" s="94"/>
      <c r="K83" s="94"/>
      <c r="L83" s="94"/>
    </row>
    <row r="84" spans="2:12">
      <c r="B84" s="306"/>
      <c r="C84" s="950">
        <f t="shared" si="7"/>
        <v>24</v>
      </c>
      <c r="D84" s="959"/>
      <c r="E84" s="94"/>
      <c r="F84" s="94"/>
      <c r="G84" s="94"/>
      <c r="H84" s="94"/>
      <c r="I84" s="94"/>
      <c r="J84" s="94"/>
      <c r="K84" s="94"/>
      <c r="L84" s="94"/>
    </row>
    <row r="85" spans="2:12">
      <c r="B85" s="306"/>
      <c r="C85" s="950">
        <f t="shared" si="7"/>
        <v>25</v>
      </c>
      <c r="D85" s="959"/>
      <c r="E85" s="94"/>
      <c r="F85" s="94"/>
      <c r="G85" s="94"/>
      <c r="H85" s="94"/>
      <c r="I85" s="94"/>
      <c r="J85" s="94"/>
      <c r="K85" s="94"/>
      <c r="L85" s="94"/>
    </row>
    <row r="86" spans="2:12">
      <c r="B86" s="306"/>
      <c r="C86" s="950">
        <f t="shared" si="7"/>
        <v>26</v>
      </c>
      <c r="D86" s="959"/>
      <c r="E86" s="94"/>
      <c r="F86" s="94"/>
      <c r="G86" s="94"/>
      <c r="H86" s="94"/>
      <c r="I86" s="94"/>
      <c r="J86" s="94"/>
      <c r="K86" s="94"/>
      <c r="L86" s="94"/>
    </row>
    <row r="87" spans="2:12">
      <c r="B87" s="306"/>
      <c r="C87" s="950">
        <f t="shared" si="7"/>
        <v>27</v>
      </c>
      <c r="D87" s="959"/>
      <c r="E87" s="94"/>
      <c r="F87" s="94"/>
      <c r="G87" s="94"/>
      <c r="H87" s="94"/>
      <c r="I87" s="94"/>
      <c r="J87" s="94"/>
      <c r="K87" s="94"/>
      <c r="L87" s="94"/>
    </row>
    <row r="88" spans="2:12">
      <c r="B88" s="306"/>
      <c r="C88" s="950">
        <f t="shared" si="7"/>
        <v>28</v>
      </c>
      <c r="D88" s="959"/>
      <c r="E88" s="94"/>
      <c r="F88" s="94"/>
      <c r="G88" s="94"/>
      <c r="H88" s="94"/>
      <c r="I88" s="94"/>
      <c r="J88" s="94"/>
      <c r="K88" s="94"/>
      <c r="L88" s="94"/>
    </row>
    <row r="89" spans="2:12">
      <c r="B89" s="306"/>
      <c r="C89" s="950">
        <f t="shared" si="7"/>
        <v>29</v>
      </c>
      <c r="D89" s="959"/>
      <c r="E89" s="94"/>
      <c r="F89" s="94"/>
      <c r="G89" s="94"/>
      <c r="H89" s="94"/>
      <c r="I89" s="94"/>
      <c r="J89" s="94"/>
      <c r="K89" s="94"/>
      <c r="L89" s="94"/>
    </row>
    <row r="90" spans="2:12">
      <c r="B90" s="306"/>
      <c r="C90" s="950">
        <f t="shared" si="7"/>
        <v>30</v>
      </c>
      <c r="D90" s="959"/>
      <c r="E90" s="94"/>
      <c r="F90" s="94"/>
      <c r="G90" s="94"/>
      <c r="H90" s="94"/>
      <c r="I90" s="94"/>
      <c r="J90" s="94"/>
      <c r="K90" s="94"/>
      <c r="L90" s="94"/>
    </row>
    <row r="91" spans="2:12">
      <c r="B91" s="306"/>
      <c r="C91" s="950">
        <f t="shared" si="7"/>
        <v>31</v>
      </c>
      <c r="D91" s="959"/>
      <c r="E91" s="94"/>
      <c r="F91" s="94"/>
      <c r="G91" s="94"/>
      <c r="H91" s="94"/>
      <c r="I91" s="94"/>
      <c r="J91" s="94"/>
      <c r="K91" s="94"/>
      <c r="L91" s="94"/>
    </row>
    <row r="92" spans="2:12">
      <c r="B92" s="306"/>
      <c r="C92" s="950">
        <f t="shared" si="7"/>
        <v>32</v>
      </c>
      <c r="D92" s="959"/>
      <c r="E92" s="94"/>
      <c r="F92" s="94"/>
      <c r="G92" s="94"/>
      <c r="H92" s="94"/>
      <c r="I92" s="94"/>
      <c r="J92" s="94"/>
      <c r="K92" s="94"/>
      <c r="L92" s="94"/>
    </row>
    <row r="93" spans="2:12">
      <c r="B93" s="306"/>
      <c r="C93" s="950">
        <f t="shared" si="7"/>
        <v>33</v>
      </c>
      <c r="D93" s="959"/>
      <c r="E93" s="94"/>
      <c r="F93" s="94"/>
      <c r="G93" s="94"/>
      <c r="H93" s="94"/>
      <c r="I93" s="94"/>
      <c r="J93" s="94"/>
      <c r="K93" s="94"/>
      <c r="L93" s="94"/>
    </row>
    <row r="94" spans="2:12">
      <c r="B94" s="306"/>
      <c r="C94" s="950">
        <f t="shared" si="7"/>
        <v>34</v>
      </c>
      <c r="D94" s="959"/>
      <c r="E94" s="94"/>
      <c r="F94" s="94"/>
      <c r="G94" s="94"/>
      <c r="H94" s="94"/>
      <c r="I94" s="94"/>
      <c r="J94" s="94"/>
      <c r="K94" s="94"/>
      <c r="L94" s="94"/>
    </row>
    <row r="95" spans="2:12">
      <c r="B95" s="306"/>
      <c r="C95" s="950">
        <f t="shared" si="7"/>
        <v>35</v>
      </c>
      <c r="D95" s="959"/>
      <c r="E95" s="94"/>
      <c r="F95" s="94"/>
      <c r="G95" s="94"/>
      <c r="H95" s="94"/>
      <c r="I95" s="94"/>
      <c r="J95" s="94"/>
      <c r="K95" s="94"/>
      <c r="L95" s="94"/>
    </row>
    <row r="96" spans="2:12">
      <c r="B96" s="306"/>
      <c r="C96" s="950">
        <f t="shared" si="7"/>
        <v>36</v>
      </c>
      <c r="D96" s="959"/>
      <c r="E96" s="94"/>
      <c r="F96" s="94"/>
      <c r="G96" s="94"/>
      <c r="H96" s="94"/>
      <c r="I96" s="94"/>
      <c r="J96" s="94"/>
      <c r="K96" s="94"/>
      <c r="L96" s="94"/>
    </row>
    <row r="97" spans="2:12">
      <c r="B97" s="306"/>
      <c r="C97" s="950">
        <f t="shared" si="7"/>
        <v>37</v>
      </c>
      <c r="D97" s="959"/>
      <c r="E97" s="94"/>
      <c r="F97" s="94"/>
      <c r="G97" s="94"/>
      <c r="H97" s="94"/>
      <c r="I97" s="94"/>
      <c r="J97" s="94"/>
      <c r="K97" s="94"/>
      <c r="L97" s="94"/>
    </row>
    <row r="98" spans="2:12">
      <c r="B98" s="306"/>
      <c r="C98" s="950">
        <f t="shared" si="7"/>
        <v>38</v>
      </c>
      <c r="D98" s="959"/>
      <c r="E98" s="94"/>
      <c r="F98" s="94"/>
      <c r="G98" s="94"/>
      <c r="H98" s="94"/>
      <c r="I98" s="94"/>
      <c r="J98" s="94"/>
      <c r="K98" s="94"/>
      <c r="L98" s="94"/>
    </row>
    <row r="99" spans="2:12">
      <c r="B99" s="306"/>
      <c r="C99" s="950">
        <f t="shared" si="7"/>
        <v>39</v>
      </c>
      <c r="D99" s="959"/>
      <c r="E99" s="94"/>
      <c r="F99" s="94"/>
      <c r="G99" s="94"/>
      <c r="H99" s="94"/>
      <c r="I99" s="94"/>
      <c r="J99" s="94"/>
      <c r="K99" s="94"/>
      <c r="L99" s="94"/>
    </row>
    <row r="100" spans="2:12">
      <c r="B100" s="306"/>
      <c r="C100" s="950">
        <f>C99+1</f>
        <v>40</v>
      </c>
      <c r="D100" s="959"/>
      <c r="E100" s="94"/>
      <c r="F100" s="94"/>
      <c r="G100" s="94"/>
      <c r="H100" s="94"/>
      <c r="I100" s="94"/>
      <c r="J100" s="94"/>
      <c r="K100" s="94"/>
      <c r="L100" s="94"/>
    </row>
    <row r="101" spans="2:12">
      <c r="B101" s="306"/>
      <c r="C101" s="950">
        <f t="shared" ref="C101:C158" si="8">C100+1</f>
        <v>41</v>
      </c>
      <c r="D101" s="959"/>
      <c r="E101" s="94"/>
      <c r="F101" s="94"/>
      <c r="G101" s="94"/>
      <c r="H101" s="94"/>
      <c r="I101" s="94"/>
      <c r="J101" s="94"/>
      <c r="K101" s="94"/>
      <c r="L101" s="94"/>
    </row>
    <row r="102" spans="2:12">
      <c r="B102" s="306"/>
      <c r="C102" s="950">
        <f t="shared" si="8"/>
        <v>42</v>
      </c>
      <c r="D102" s="959"/>
      <c r="E102" s="94"/>
      <c r="F102" s="94"/>
      <c r="G102" s="94"/>
      <c r="H102" s="94"/>
      <c r="I102" s="94"/>
      <c r="J102" s="94"/>
      <c r="K102" s="94"/>
      <c r="L102" s="94"/>
    </row>
    <row r="103" spans="2:12">
      <c r="B103" s="306"/>
      <c r="C103" s="950">
        <f t="shared" si="8"/>
        <v>43</v>
      </c>
      <c r="D103" s="959"/>
      <c r="E103" s="94"/>
      <c r="F103" s="94"/>
      <c r="G103" s="94"/>
      <c r="H103" s="94"/>
      <c r="I103" s="94"/>
      <c r="J103" s="94"/>
      <c r="K103" s="94"/>
      <c r="L103" s="94"/>
    </row>
    <row r="104" spans="2:12">
      <c r="B104" s="306"/>
      <c r="C104" s="950">
        <f t="shared" si="8"/>
        <v>44</v>
      </c>
      <c r="D104" s="959"/>
      <c r="E104" s="94"/>
      <c r="F104" s="94"/>
      <c r="G104" s="94"/>
      <c r="H104" s="94"/>
      <c r="I104" s="94"/>
      <c r="J104" s="94"/>
      <c r="K104" s="94"/>
      <c r="L104" s="94"/>
    </row>
    <row r="105" spans="2:12">
      <c r="B105" s="306"/>
      <c r="C105" s="950">
        <f t="shared" si="8"/>
        <v>45</v>
      </c>
      <c r="D105" s="959"/>
      <c r="E105" s="94"/>
      <c r="F105" s="94"/>
      <c r="G105" s="94"/>
      <c r="H105" s="94"/>
      <c r="I105" s="94"/>
      <c r="J105" s="94"/>
      <c r="K105" s="94"/>
      <c r="L105" s="94"/>
    </row>
    <row r="106" spans="2:12">
      <c r="B106" s="306"/>
      <c r="C106" s="950">
        <f t="shared" si="8"/>
        <v>46</v>
      </c>
      <c r="D106" s="959"/>
      <c r="E106" s="94"/>
      <c r="F106" s="94"/>
      <c r="G106" s="94"/>
      <c r="H106" s="94"/>
      <c r="I106" s="94"/>
      <c r="J106" s="94"/>
      <c r="K106" s="94"/>
      <c r="L106" s="94"/>
    </row>
    <row r="107" spans="2:12">
      <c r="B107" s="306"/>
      <c r="C107" s="950">
        <f t="shared" si="8"/>
        <v>47</v>
      </c>
      <c r="D107" s="959"/>
      <c r="E107" s="94"/>
      <c r="F107" s="94"/>
      <c r="G107" s="94"/>
      <c r="H107" s="94"/>
      <c r="I107" s="94"/>
      <c r="J107" s="94"/>
      <c r="K107" s="94"/>
      <c r="L107" s="94"/>
    </row>
    <row r="108" spans="2:12">
      <c r="B108" s="306"/>
      <c r="C108" s="950">
        <f t="shared" si="8"/>
        <v>48</v>
      </c>
      <c r="D108" s="959"/>
      <c r="E108" s="94"/>
      <c r="F108" s="94"/>
      <c r="G108" s="94"/>
      <c r="H108" s="94"/>
      <c r="I108" s="94"/>
      <c r="J108" s="94"/>
      <c r="K108" s="94"/>
      <c r="L108" s="94"/>
    </row>
    <row r="109" spans="2:12">
      <c r="B109" s="306"/>
      <c r="C109" s="950">
        <f t="shared" si="8"/>
        <v>49</v>
      </c>
      <c r="D109" s="959"/>
      <c r="E109" s="94"/>
      <c r="F109" s="94"/>
      <c r="G109" s="94"/>
      <c r="H109" s="94"/>
      <c r="I109" s="94"/>
      <c r="J109" s="94"/>
      <c r="K109" s="94"/>
      <c r="L109" s="94"/>
    </row>
    <row r="110" spans="2:12">
      <c r="B110" s="306"/>
      <c r="C110" s="950">
        <f t="shared" si="8"/>
        <v>50</v>
      </c>
      <c r="D110" s="959"/>
      <c r="E110" s="94"/>
      <c r="F110" s="94"/>
      <c r="G110" s="94"/>
      <c r="H110" s="94"/>
      <c r="I110" s="94"/>
      <c r="J110" s="94"/>
      <c r="K110" s="94"/>
      <c r="L110" s="94"/>
    </row>
    <row r="111" spans="2:12">
      <c r="B111" s="306"/>
      <c r="C111" s="950">
        <f t="shared" si="8"/>
        <v>51</v>
      </c>
      <c r="D111" s="959"/>
      <c r="E111" s="94"/>
      <c r="F111" s="94"/>
      <c r="G111" s="94"/>
      <c r="H111" s="94"/>
      <c r="I111" s="94"/>
      <c r="J111" s="94"/>
      <c r="K111" s="94"/>
      <c r="L111" s="94"/>
    </row>
    <row r="112" spans="2:12">
      <c r="B112" s="306"/>
      <c r="C112" s="950">
        <f t="shared" si="8"/>
        <v>52</v>
      </c>
      <c r="D112" s="959"/>
      <c r="E112" s="94"/>
      <c r="F112" s="94"/>
      <c r="G112" s="94"/>
      <c r="H112" s="94"/>
      <c r="I112" s="94"/>
      <c r="J112" s="94"/>
      <c r="K112" s="94"/>
      <c r="L112" s="94"/>
    </row>
    <row r="113" spans="2:12">
      <c r="B113" s="306"/>
      <c r="C113" s="950">
        <f t="shared" si="8"/>
        <v>53</v>
      </c>
      <c r="D113" s="959"/>
      <c r="E113" s="94"/>
      <c r="F113" s="94"/>
      <c r="G113" s="94"/>
      <c r="H113" s="94"/>
      <c r="I113" s="94"/>
      <c r="J113" s="94"/>
      <c r="K113" s="94"/>
      <c r="L113" s="94"/>
    </row>
    <row r="114" spans="2:12">
      <c r="B114" s="306"/>
      <c r="C114" s="950">
        <f t="shared" si="8"/>
        <v>54</v>
      </c>
      <c r="D114" s="959"/>
      <c r="E114" s="94"/>
      <c r="F114" s="94"/>
      <c r="G114" s="94"/>
      <c r="H114" s="94"/>
      <c r="I114" s="94"/>
      <c r="J114" s="94"/>
      <c r="K114" s="94"/>
      <c r="L114" s="94"/>
    </row>
    <row r="115" spans="2:12">
      <c r="B115" s="306"/>
      <c r="C115" s="950">
        <f t="shared" si="8"/>
        <v>55</v>
      </c>
      <c r="D115" s="959"/>
      <c r="E115" s="94"/>
      <c r="F115" s="94"/>
      <c r="G115" s="94"/>
      <c r="H115" s="94"/>
      <c r="I115" s="94"/>
      <c r="J115" s="94"/>
      <c r="K115" s="94"/>
      <c r="L115" s="94"/>
    </row>
    <row r="116" spans="2:12">
      <c r="B116" s="306"/>
      <c r="C116" s="950">
        <f t="shared" si="8"/>
        <v>56</v>
      </c>
      <c r="D116" s="959"/>
      <c r="E116" s="94"/>
      <c r="F116" s="94"/>
      <c r="G116" s="94"/>
      <c r="H116" s="94"/>
      <c r="I116" s="94"/>
      <c r="J116" s="94"/>
      <c r="K116" s="94"/>
      <c r="L116" s="94"/>
    </row>
    <row r="117" spans="2:12">
      <c r="B117" s="306"/>
      <c r="C117" s="950">
        <f t="shared" si="8"/>
        <v>57</v>
      </c>
      <c r="D117" s="959"/>
      <c r="E117" s="94"/>
      <c r="F117" s="94"/>
      <c r="G117" s="94"/>
      <c r="H117" s="94"/>
      <c r="I117" s="94"/>
      <c r="J117" s="94"/>
      <c r="K117" s="94"/>
      <c r="L117" s="94"/>
    </row>
    <row r="118" spans="2:12">
      <c r="B118" s="306"/>
      <c r="C118" s="950">
        <f t="shared" si="8"/>
        <v>58</v>
      </c>
      <c r="D118" s="959"/>
      <c r="E118" s="94"/>
      <c r="F118" s="94"/>
      <c r="G118" s="94"/>
      <c r="H118" s="94"/>
      <c r="I118" s="94"/>
      <c r="J118" s="94"/>
      <c r="K118" s="94"/>
      <c r="L118" s="94"/>
    </row>
    <row r="119" spans="2:12">
      <c r="B119" s="306"/>
      <c r="C119" s="950">
        <f t="shared" si="8"/>
        <v>59</v>
      </c>
      <c r="D119" s="959"/>
      <c r="E119" s="94"/>
      <c r="F119" s="94"/>
      <c r="G119" s="94"/>
      <c r="H119" s="94"/>
      <c r="I119" s="94"/>
      <c r="J119" s="94"/>
      <c r="K119" s="94"/>
      <c r="L119" s="94"/>
    </row>
    <row r="120" spans="2:12">
      <c r="B120" s="306"/>
      <c r="C120" s="950">
        <f t="shared" si="8"/>
        <v>60</v>
      </c>
      <c r="D120" s="959"/>
      <c r="E120" s="94"/>
      <c r="F120" s="94"/>
      <c r="G120" s="94"/>
      <c r="H120" s="94"/>
      <c r="I120" s="94"/>
      <c r="J120" s="94"/>
      <c r="K120" s="94"/>
      <c r="L120" s="94"/>
    </row>
    <row r="121" spans="2:12">
      <c r="B121" s="306"/>
      <c r="C121" s="950">
        <f t="shared" si="8"/>
        <v>61</v>
      </c>
      <c r="D121" s="959"/>
      <c r="E121" s="94"/>
      <c r="F121" s="94"/>
      <c r="G121" s="94"/>
      <c r="H121" s="94"/>
      <c r="I121" s="94"/>
      <c r="J121" s="94"/>
      <c r="K121" s="94"/>
      <c r="L121" s="94"/>
    </row>
    <row r="122" spans="2:12">
      <c r="B122" s="306"/>
      <c r="C122" s="950">
        <f t="shared" si="8"/>
        <v>62</v>
      </c>
      <c r="D122" s="959"/>
      <c r="E122" s="94"/>
      <c r="F122" s="94"/>
      <c r="G122" s="94"/>
      <c r="H122" s="94"/>
      <c r="I122" s="94"/>
      <c r="J122" s="94"/>
      <c r="K122" s="94"/>
      <c r="L122" s="94"/>
    </row>
    <row r="123" spans="2:12">
      <c r="B123" s="306"/>
      <c r="C123" s="950">
        <f t="shared" si="8"/>
        <v>63</v>
      </c>
      <c r="D123" s="959"/>
      <c r="E123" s="94"/>
      <c r="F123" s="94"/>
      <c r="G123" s="94"/>
      <c r="H123" s="94"/>
      <c r="I123" s="94"/>
      <c r="J123" s="94"/>
      <c r="K123" s="94"/>
      <c r="L123" s="94"/>
    </row>
    <row r="124" spans="2:12">
      <c r="B124" s="306"/>
      <c r="C124" s="950">
        <f t="shared" si="8"/>
        <v>64</v>
      </c>
      <c r="D124" s="959"/>
      <c r="E124" s="94"/>
      <c r="F124" s="94"/>
      <c r="G124" s="94"/>
      <c r="H124" s="94"/>
      <c r="I124" s="94"/>
      <c r="J124" s="94"/>
      <c r="K124" s="94"/>
      <c r="L124" s="94"/>
    </row>
    <row r="125" spans="2:12">
      <c r="B125" s="306"/>
      <c r="C125" s="950">
        <f t="shared" si="8"/>
        <v>65</v>
      </c>
      <c r="D125" s="959"/>
      <c r="E125" s="94"/>
      <c r="F125" s="94"/>
      <c r="G125" s="94"/>
      <c r="H125" s="94"/>
      <c r="I125" s="94"/>
      <c r="J125" s="94"/>
      <c r="K125" s="94"/>
      <c r="L125" s="94"/>
    </row>
    <row r="126" spans="2:12">
      <c r="B126" s="306"/>
      <c r="C126" s="950">
        <f t="shared" si="8"/>
        <v>66</v>
      </c>
      <c r="D126" s="959"/>
      <c r="E126" s="94"/>
      <c r="F126" s="94"/>
      <c r="G126" s="94"/>
      <c r="H126" s="94"/>
      <c r="I126" s="94"/>
      <c r="J126" s="94"/>
      <c r="K126" s="94"/>
      <c r="L126" s="94"/>
    </row>
    <row r="127" spans="2:12">
      <c r="B127" s="306"/>
      <c r="C127" s="950">
        <f t="shared" si="8"/>
        <v>67</v>
      </c>
      <c r="D127" s="959"/>
      <c r="E127" s="94"/>
      <c r="F127" s="94"/>
      <c r="G127" s="94"/>
      <c r="H127" s="94"/>
      <c r="I127" s="94"/>
      <c r="J127" s="94"/>
      <c r="K127" s="94"/>
      <c r="L127" s="94"/>
    </row>
    <row r="128" spans="2:12">
      <c r="B128" s="306"/>
      <c r="C128" s="950">
        <f t="shared" si="8"/>
        <v>68</v>
      </c>
      <c r="D128" s="959"/>
      <c r="E128" s="94"/>
      <c r="F128" s="94"/>
      <c r="G128" s="94"/>
      <c r="H128" s="94"/>
      <c r="I128" s="94"/>
      <c r="J128" s="94"/>
      <c r="K128" s="94"/>
      <c r="L128" s="94"/>
    </row>
    <row r="129" spans="2:12">
      <c r="B129" s="306"/>
      <c r="C129" s="950">
        <f t="shared" si="8"/>
        <v>69</v>
      </c>
      <c r="D129" s="959"/>
      <c r="E129" s="94"/>
      <c r="F129" s="94"/>
      <c r="G129" s="94"/>
      <c r="H129" s="94"/>
      <c r="I129" s="94"/>
      <c r="J129" s="94"/>
      <c r="K129" s="94"/>
      <c r="L129" s="94"/>
    </row>
    <row r="130" spans="2:12">
      <c r="B130" s="306"/>
      <c r="C130" s="950">
        <f t="shared" si="8"/>
        <v>70</v>
      </c>
      <c r="D130" s="959"/>
      <c r="E130" s="94"/>
      <c r="F130" s="94"/>
      <c r="G130" s="94"/>
      <c r="H130" s="94"/>
      <c r="I130" s="94"/>
      <c r="J130" s="94"/>
      <c r="K130" s="94"/>
      <c r="L130" s="94"/>
    </row>
    <row r="131" spans="2:12">
      <c r="B131" s="306"/>
      <c r="C131" s="950">
        <f t="shared" si="8"/>
        <v>71</v>
      </c>
      <c r="D131" s="959"/>
      <c r="E131" s="94"/>
      <c r="F131" s="94"/>
      <c r="G131" s="94"/>
      <c r="H131" s="94"/>
      <c r="I131" s="94"/>
      <c r="J131" s="94"/>
      <c r="K131" s="94"/>
      <c r="L131" s="94"/>
    </row>
    <row r="132" spans="2:12">
      <c r="B132" s="306"/>
      <c r="C132" s="950">
        <f t="shared" si="8"/>
        <v>72</v>
      </c>
      <c r="D132" s="959"/>
      <c r="E132" s="94"/>
      <c r="F132" s="94"/>
      <c r="G132" s="94"/>
      <c r="H132" s="94"/>
      <c r="I132" s="94"/>
      <c r="J132" s="94"/>
      <c r="K132" s="94"/>
      <c r="L132" s="94"/>
    </row>
    <row r="133" spans="2:12">
      <c r="B133" s="306"/>
      <c r="C133" s="950">
        <f t="shared" si="8"/>
        <v>73</v>
      </c>
      <c r="D133" s="959"/>
      <c r="E133" s="94"/>
      <c r="F133" s="94"/>
      <c r="G133" s="94"/>
      <c r="H133" s="94"/>
      <c r="I133" s="94"/>
      <c r="J133" s="94"/>
      <c r="K133" s="94"/>
      <c r="L133" s="94"/>
    </row>
    <row r="134" spans="2:12">
      <c r="B134" s="306"/>
      <c r="C134" s="950">
        <f t="shared" si="8"/>
        <v>74</v>
      </c>
      <c r="D134" s="959"/>
      <c r="E134" s="94"/>
      <c r="F134" s="94"/>
      <c r="G134" s="94"/>
      <c r="H134" s="94"/>
      <c r="I134" s="94"/>
      <c r="J134" s="94"/>
      <c r="K134" s="94"/>
      <c r="L134" s="94"/>
    </row>
    <row r="135" spans="2:12">
      <c r="B135" s="306"/>
      <c r="C135" s="950">
        <f t="shared" si="8"/>
        <v>75</v>
      </c>
      <c r="D135" s="959"/>
      <c r="E135" s="94"/>
      <c r="F135" s="94"/>
      <c r="G135" s="94"/>
      <c r="H135" s="94"/>
      <c r="I135" s="94"/>
      <c r="J135" s="94"/>
      <c r="K135" s="94"/>
      <c r="L135" s="94"/>
    </row>
    <row r="136" spans="2:12">
      <c r="B136" s="306"/>
      <c r="C136" s="950">
        <f t="shared" si="8"/>
        <v>76</v>
      </c>
      <c r="D136" s="959"/>
      <c r="E136" s="94"/>
      <c r="F136" s="94"/>
      <c r="G136" s="94"/>
      <c r="H136" s="94"/>
      <c r="I136" s="94"/>
      <c r="J136" s="94"/>
      <c r="K136" s="94"/>
      <c r="L136" s="94"/>
    </row>
    <row r="137" spans="2:12">
      <c r="B137" s="306"/>
      <c r="C137" s="950">
        <f t="shared" si="8"/>
        <v>77</v>
      </c>
      <c r="D137" s="959"/>
      <c r="E137" s="94"/>
      <c r="F137" s="94"/>
      <c r="G137" s="94"/>
      <c r="H137" s="94"/>
      <c r="I137" s="94"/>
      <c r="J137" s="94"/>
      <c r="K137" s="94"/>
      <c r="L137" s="94"/>
    </row>
    <row r="138" spans="2:12">
      <c r="B138" s="306"/>
      <c r="C138" s="950">
        <f t="shared" si="8"/>
        <v>78</v>
      </c>
      <c r="D138" s="959"/>
      <c r="E138" s="94"/>
      <c r="F138" s="94"/>
      <c r="G138" s="94"/>
      <c r="H138" s="94"/>
      <c r="I138" s="94"/>
      <c r="J138" s="94"/>
      <c r="K138" s="94"/>
      <c r="L138" s="94"/>
    </row>
    <row r="139" spans="2:12">
      <c r="B139" s="306"/>
      <c r="C139" s="950">
        <f t="shared" si="8"/>
        <v>79</v>
      </c>
      <c r="D139" s="959"/>
      <c r="E139" s="94"/>
      <c r="F139" s="94"/>
      <c r="G139" s="94"/>
      <c r="H139" s="94"/>
      <c r="I139" s="94"/>
      <c r="J139" s="94"/>
      <c r="K139" s="94"/>
      <c r="L139" s="94"/>
    </row>
    <row r="140" spans="2:12">
      <c r="B140" s="306"/>
      <c r="C140" s="950">
        <f t="shared" si="8"/>
        <v>80</v>
      </c>
      <c r="D140" s="959"/>
      <c r="E140" s="94"/>
      <c r="F140" s="94"/>
      <c r="G140" s="94"/>
      <c r="H140" s="94"/>
      <c r="I140" s="94"/>
      <c r="J140" s="94"/>
      <c r="K140" s="94"/>
      <c r="L140" s="94"/>
    </row>
    <row r="141" spans="2:12">
      <c r="B141" s="306"/>
      <c r="C141" s="950">
        <f t="shared" si="8"/>
        <v>81</v>
      </c>
      <c r="D141" s="959"/>
      <c r="E141" s="94"/>
      <c r="F141" s="94"/>
      <c r="G141" s="94"/>
      <c r="H141" s="94"/>
      <c r="I141" s="94"/>
      <c r="J141" s="94"/>
      <c r="K141" s="94"/>
      <c r="L141" s="94"/>
    </row>
    <row r="142" spans="2:12">
      <c r="B142" s="306"/>
      <c r="C142" s="950">
        <f t="shared" si="8"/>
        <v>82</v>
      </c>
      <c r="D142" s="959"/>
      <c r="E142" s="94"/>
      <c r="F142" s="94"/>
      <c r="G142" s="94"/>
      <c r="H142" s="94"/>
      <c r="I142" s="94"/>
      <c r="J142" s="94"/>
      <c r="K142" s="94"/>
      <c r="L142" s="94"/>
    </row>
    <row r="143" spans="2:12">
      <c r="B143" s="306"/>
      <c r="C143" s="950">
        <f t="shared" si="8"/>
        <v>83</v>
      </c>
      <c r="D143" s="959"/>
      <c r="E143" s="94"/>
      <c r="F143" s="94"/>
      <c r="G143" s="94"/>
      <c r="H143" s="94"/>
      <c r="I143" s="94"/>
      <c r="J143" s="94"/>
      <c r="K143" s="94"/>
      <c r="L143" s="94"/>
    </row>
    <row r="144" spans="2:12">
      <c r="B144" s="306"/>
      <c r="C144" s="950">
        <f t="shared" si="8"/>
        <v>84</v>
      </c>
      <c r="D144" s="959"/>
      <c r="E144" s="94"/>
      <c r="F144" s="94"/>
      <c r="G144" s="94"/>
      <c r="H144" s="94"/>
      <c r="I144" s="94"/>
      <c r="J144" s="94"/>
      <c r="K144" s="94"/>
      <c r="L144" s="94"/>
    </row>
    <row r="145" spans="2:12">
      <c r="B145" s="306"/>
      <c r="C145" s="950">
        <f t="shared" si="8"/>
        <v>85</v>
      </c>
      <c r="D145" s="959"/>
      <c r="E145" s="94"/>
      <c r="F145" s="94"/>
      <c r="G145" s="94"/>
      <c r="H145" s="94"/>
      <c r="I145" s="94"/>
      <c r="J145" s="94"/>
      <c r="K145" s="94"/>
      <c r="L145" s="94"/>
    </row>
    <row r="146" spans="2:12">
      <c r="B146" s="306"/>
      <c r="C146" s="950">
        <f t="shared" si="8"/>
        <v>86</v>
      </c>
      <c r="D146" s="959"/>
      <c r="E146" s="94"/>
      <c r="F146" s="94"/>
      <c r="G146" s="94"/>
      <c r="H146" s="94"/>
      <c r="I146" s="94"/>
      <c r="J146" s="94"/>
      <c r="K146" s="94"/>
      <c r="L146" s="94"/>
    </row>
    <row r="147" spans="2:12">
      <c r="B147" s="306"/>
      <c r="C147" s="950">
        <f t="shared" si="8"/>
        <v>87</v>
      </c>
      <c r="D147" s="959"/>
      <c r="E147" s="94"/>
      <c r="F147" s="94"/>
      <c r="G147" s="94"/>
      <c r="H147" s="94"/>
      <c r="I147" s="94"/>
      <c r="J147" s="94"/>
      <c r="K147" s="94"/>
      <c r="L147" s="94"/>
    </row>
    <row r="148" spans="2:12">
      <c r="B148" s="306"/>
      <c r="C148" s="950">
        <f t="shared" si="8"/>
        <v>88</v>
      </c>
      <c r="D148" s="959"/>
      <c r="E148" s="94"/>
      <c r="F148" s="94"/>
      <c r="G148" s="94"/>
      <c r="H148" s="94"/>
      <c r="I148" s="94"/>
      <c r="J148" s="94"/>
      <c r="K148" s="94"/>
      <c r="L148" s="94"/>
    </row>
    <row r="149" spans="2:12">
      <c r="B149" s="306"/>
      <c r="C149" s="950">
        <f t="shared" si="8"/>
        <v>89</v>
      </c>
      <c r="D149" s="959"/>
      <c r="E149" s="94"/>
      <c r="F149" s="94"/>
      <c r="G149" s="94"/>
      <c r="H149" s="94"/>
      <c r="I149" s="94"/>
      <c r="J149" s="94"/>
      <c r="K149" s="94"/>
      <c r="L149" s="94"/>
    </row>
    <row r="150" spans="2:12">
      <c r="B150" s="306"/>
      <c r="C150" s="950">
        <f t="shared" si="8"/>
        <v>90</v>
      </c>
      <c r="D150" s="959"/>
      <c r="E150" s="94"/>
      <c r="F150" s="94"/>
      <c r="G150" s="94"/>
      <c r="H150" s="94"/>
      <c r="I150" s="94"/>
      <c r="J150" s="94"/>
      <c r="K150" s="94"/>
      <c r="L150" s="94"/>
    </row>
    <row r="151" spans="2:12">
      <c r="B151" s="306"/>
      <c r="C151" s="950">
        <f t="shared" si="8"/>
        <v>91</v>
      </c>
      <c r="D151" s="959"/>
      <c r="E151" s="94"/>
      <c r="F151" s="94"/>
      <c r="G151" s="94"/>
      <c r="H151" s="94"/>
      <c r="I151" s="94"/>
      <c r="J151" s="94"/>
      <c r="K151" s="94"/>
      <c r="L151" s="94"/>
    </row>
    <row r="152" spans="2:12">
      <c r="B152" s="306"/>
      <c r="C152" s="950">
        <f t="shared" si="8"/>
        <v>92</v>
      </c>
      <c r="D152" s="959"/>
      <c r="E152" s="94"/>
      <c r="F152" s="94"/>
      <c r="G152" s="94"/>
      <c r="H152" s="94"/>
      <c r="I152" s="94"/>
      <c r="J152" s="94"/>
      <c r="K152" s="94"/>
      <c r="L152" s="94"/>
    </row>
    <row r="153" spans="2:12">
      <c r="B153" s="306"/>
      <c r="C153" s="950">
        <f t="shared" si="8"/>
        <v>93</v>
      </c>
      <c r="D153" s="959"/>
      <c r="E153" s="94"/>
      <c r="F153" s="94"/>
      <c r="G153" s="94"/>
      <c r="H153" s="94"/>
      <c r="I153" s="94"/>
      <c r="J153" s="94"/>
      <c r="K153" s="94"/>
      <c r="L153" s="94"/>
    </row>
    <row r="154" spans="2:12">
      <c r="B154" s="306"/>
      <c r="C154" s="950">
        <f t="shared" si="8"/>
        <v>94</v>
      </c>
      <c r="D154" s="959"/>
      <c r="E154" s="94"/>
      <c r="F154" s="94"/>
      <c r="G154" s="94"/>
      <c r="H154" s="94"/>
      <c r="I154" s="94"/>
      <c r="J154" s="94"/>
      <c r="K154" s="94"/>
      <c r="L154" s="94"/>
    </row>
    <row r="155" spans="2:12">
      <c r="B155" s="306"/>
      <c r="C155" s="950">
        <f t="shared" si="8"/>
        <v>95</v>
      </c>
      <c r="D155" s="959"/>
      <c r="E155" s="94"/>
      <c r="F155" s="94"/>
      <c r="G155" s="94"/>
      <c r="H155" s="94"/>
      <c r="I155" s="94"/>
      <c r="J155" s="94"/>
      <c r="K155" s="94"/>
      <c r="L155" s="94"/>
    </row>
    <row r="156" spans="2:12">
      <c r="B156" s="306"/>
      <c r="C156" s="950">
        <f t="shared" si="8"/>
        <v>96</v>
      </c>
      <c r="D156" s="959"/>
      <c r="E156" s="94"/>
      <c r="F156" s="94"/>
      <c r="G156" s="94"/>
      <c r="H156" s="94"/>
      <c r="I156" s="94"/>
      <c r="J156" s="94"/>
      <c r="K156" s="94"/>
      <c r="L156" s="94"/>
    </row>
    <row r="157" spans="2:12">
      <c r="B157" s="306"/>
      <c r="C157" s="950">
        <f t="shared" si="8"/>
        <v>97</v>
      </c>
      <c r="D157" s="959"/>
      <c r="E157" s="94"/>
      <c r="F157" s="94"/>
      <c r="G157" s="94"/>
      <c r="H157" s="94"/>
      <c r="I157" s="94"/>
      <c r="J157" s="94"/>
      <c r="K157" s="94"/>
      <c r="L157" s="94"/>
    </row>
    <row r="158" spans="2:12">
      <c r="B158" s="306"/>
      <c r="C158" s="950">
        <f t="shared" si="8"/>
        <v>98</v>
      </c>
      <c r="D158" s="959"/>
      <c r="E158" s="94"/>
      <c r="F158" s="94"/>
      <c r="G158" s="94"/>
      <c r="H158" s="94"/>
      <c r="I158" s="94"/>
      <c r="J158" s="94"/>
      <c r="K158" s="94"/>
      <c r="L158" s="94"/>
    </row>
    <row r="159" spans="2:12">
      <c r="B159" s="306"/>
      <c r="C159" s="950">
        <f>C158+1</f>
        <v>99</v>
      </c>
      <c r="D159" s="959"/>
      <c r="E159" s="94"/>
      <c r="F159" s="94"/>
      <c r="G159" s="94"/>
      <c r="H159" s="94"/>
      <c r="I159" s="94"/>
      <c r="J159" s="94"/>
      <c r="K159" s="94"/>
      <c r="L159" s="94"/>
    </row>
    <row r="160" spans="2:12">
      <c r="B160" s="306"/>
      <c r="C160" s="950">
        <f t="shared" ref="C160" si="9">C159+1</f>
        <v>100</v>
      </c>
      <c r="D160" s="959"/>
      <c r="E160" s="94"/>
      <c r="F160" s="94"/>
      <c r="G160" s="94"/>
      <c r="H160" s="94"/>
      <c r="I160" s="94"/>
      <c r="J160" s="94"/>
      <c r="K160" s="94"/>
      <c r="L160" s="94"/>
    </row>
    <row r="161" spans="2:2" ht="16.149999999999999" customHeight="1">
      <c r="B161" s="286" t="s">
        <v>26</v>
      </c>
    </row>
  </sheetData>
  <sheetProtection algorithmName="SHA-512" hashValue="TIv+M96qiE8Mcs+cyN22DbAuq2T4qmiEE3i6Rxu/Bx29rSBArmy9v9ttynzdk2VWRaW+VhF6y6nw9YQOvnkUFg==" saltValue="5TjZVlnj5x4c5amUVbMVDA==" spinCount="100000" sheet="1" objects="1" scenarios="1" autoFilter="0"/>
  <phoneticPr fontId="15" type="noConversion"/>
  <conditionalFormatting sqref="I45:I54">
    <cfRule type="containsText" dxfId="359" priority="12" operator="containsText" text="No">
      <formula>NOT(ISERROR(SEARCH("No",I45)))</formula>
    </cfRule>
  </conditionalFormatting>
  <conditionalFormatting sqref="J9:J54">
    <cfRule type="cellIs" dxfId="358" priority="5" operator="notEqual">
      <formula>""</formula>
    </cfRule>
  </conditionalFormatting>
  <conditionalFormatting sqref="L9:S54">
    <cfRule type="expression" dxfId="357" priority="1">
      <formula>$J9&lt;&gt;""</formula>
    </cfRule>
  </conditionalFormatting>
  <dataValidations count="3">
    <dataValidation allowBlank="1" showInputMessage="1" showErrorMessage="1" prompt="This column collects data from the optional table below the rates table.  " sqref="F7" xr:uid="{2FEF6C31-19D6-4B4D-A644-677F8BFF6243}"/>
    <dataValidation type="whole" allowBlank="1" showInputMessage="1" showErrorMessage="1" sqref="E10:E11" xr:uid="{3E532CBA-DD0F-4577-BD64-531E08422EF3}">
      <formula1>0</formula1>
      <formula2>1000</formula2>
    </dataValidation>
    <dataValidation type="whole" operator="greaterThan" allowBlank="1" showInputMessage="1" showErrorMessage="1" sqref="E21:E36" xr:uid="{0243C155-D137-48F4-B09F-3ADA1E6100EF}">
      <formula1>0</formula1>
    </dataValidation>
  </dataValidations>
  <hyperlinks>
    <hyperlink ref="B57" location="'4. Process Equipment'!B5" display="Top" xr:uid="{5BF33A19-1E8A-488B-BDF5-D1C798481D34}"/>
    <hyperlink ref="B2" location="CONTENTS!A1" display="Contents" xr:uid="{C3F6DD22-6E25-4138-83AB-ACEBDDC8039E}"/>
    <hyperlink ref="B161" location="'4. Process Equipment'!B5" display="Top" xr:uid="{3C20A7B8-A9E4-429A-A9EE-3842F0A7A56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theme="9" tint="-0.249977111117893"/>
  </sheetPr>
  <dimension ref="A1:FI122"/>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75"/>
  <cols>
    <col min="1" max="1" width="3.42578125" style="434" customWidth="1"/>
    <col min="2" max="2" width="20.7109375" style="579" customWidth="1"/>
    <col min="3" max="3" width="7.28515625" style="579" customWidth="1"/>
    <col min="4" max="4" width="72.7109375" style="434" customWidth="1"/>
    <col min="5" max="5" width="36.7109375" style="434" customWidth="1"/>
    <col min="6" max="6" width="19.7109375" style="434" customWidth="1"/>
    <col min="7" max="13" width="18.7109375" style="434" customWidth="1"/>
    <col min="14" max="14" width="20.7109375" style="434" customWidth="1"/>
    <col min="15" max="74" width="18.7109375" style="434" customWidth="1"/>
    <col min="75" max="16384" width="9" style="434"/>
  </cols>
  <sheetData>
    <row r="1" spans="1:161" s="475" customFormat="1" ht="14.25">
      <c r="B1" s="433" t="s">
        <v>0</v>
      </c>
      <c r="C1" s="808"/>
      <c r="D1" s="520"/>
      <c r="G1" s="474"/>
      <c r="H1" s="474"/>
      <c r="I1" s="474"/>
      <c r="J1" s="474"/>
      <c r="K1" s="474"/>
      <c r="L1" s="474"/>
      <c r="M1" s="474"/>
      <c r="N1" s="474"/>
      <c r="O1" s="474"/>
      <c r="P1" s="474"/>
      <c r="Q1" s="474"/>
    </row>
    <row r="2" spans="1:161" s="475" customFormat="1" ht="18" customHeight="1">
      <c r="B2" s="286" t="s">
        <v>256</v>
      </c>
      <c r="C2" s="476" t="s">
        <v>1752</v>
      </c>
      <c r="D2" s="944"/>
      <c r="E2" s="944"/>
      <c r="F2" s="944"/>
      <c r="G2" s="944"/>
      <c r="H2" s="944"/>
      <c r="I2" s="944"/>
      <c r="J2" s="944"/>
      <c r="K2" s="944"/>
      <c r="N2" s="474"/>
      <c r="O2" s="474"/>
      <c r="P2" s="474"/>
      <c r="Q2" s="474"/>
      <c r="R2" s="474"/>
      <c r="S2" s="474"/>
      <c r="T2" s="474"/>
      <c r="U2" s="474"/>
    </row>
    <row r="3" spans="1:161" s="475" customFormat="1" ht="18" customHeight="1">
      <c r="B3" s="960">
        <f>SUM(P36+M62+BS100)</f>
        <v>0</v>
      </c>
      <c r="C3" s="736" t="s">
        <v>1516</v>
      </c>
      <c r="N3" s="474"/>
      <c r="O3" s="474"/>
      <c r="P3" s="474"/>
      <c r="Q3" s="474"/>
      <c r="R3" s="474"/>
      <c r="S3" s="474"/>
      <c r="T3" s="474"/>
      <c r="U3" s="474"/>
    </row>
    <row r="4" spans="1:161" s="475" customFormat="1" ht="18" customHeight="1">
      <c r="B4" s="961">
        <f>Summary!$G$122</f>
        <v>0</v>
      </c>
      <c r="C4" s="736" t="s">
        <v>1484</v>
      </c>
      <c r="N4" s="474"/>
      <c r="O4" s="474"/>
      <c r="P4" s="474"/>
      <c r="Q4" s="474"/>
      <c r="R4" s="474"/>
      <c r="S4" s="474"/>
      <c r="T4" s="474"/>
      <c r="U4" s="474"/>
    </row>
    <row r="5" spans="1:161" s="475" customFormat="1" ht="108.75" customHeight="1">
      <c r="C5" s="766"/>
      <c r="D5" s="168"/>
      <c r="E5" s="474"/>
      <c r="K5" s="474"/>
      <c r="L5" s="474"/>
      <c r="M5" s="474"/>
      <c r="Q5" s="474"/>
      <c r="R5" s="474"/>
      <c r="S5" s="474"/>
      <c r="T5" s="474"/>
      <c r="U5" s="474"/>
      <c r="V5" s="474"/>
      <c r="W5" s="474"/>
      <c r="X5" s="474"/>
    </row>
    <row r="7" spans="1:161" s="475" customFormat="1" ht="18" customHeight="1">
      <c r="B7" s="234"/>
      <c r="C7" s="962" t="s">
        <v>1753</v>
      </c>
      <c r="D7" s="816"/>
      <c r="G7" s="804"/>
      <c r="M7" s="474"/>
      <c r="N7" s="474"/>
      <c r="O7" s="474"/>
      <c r="P7" s="474"/>
      <c r="Q7" s="474"/>
      <c r="R7" s="474"/>
      <c r="S7" s="474"/>
      <c r="T7" s="474"/>
      <c r="U7" s="474"/>
      <c r="V7" s="474"/>
      <c r="W7" s="474"/>
      <c r="X7" s="474"/>
      <c r="Y7" s="474"/>
      <c r="Z7" s="474"/>
      <c r="AA7" s="474"/>
      <c r="AB7" s="474"/>
      <c r="AC7" s="474"/>
      <c r="AD7" s="474"/>
      <c r="BR7" s="434"/>
    </row>
    <row r="8" spans="1:161" ht="63.6" customHeight="1">
      <c r="A8" s="642"/>
      <c r="B8" s="774" t="s">
        <v>1517</v>
      </c>
      <c r="C8" s="774" t="s">
        <v>27</v>
      </c>
      <c r="D8" s="821" t="s">
        <v>1583</v>
      </c>
      <c r="E8" s="812" t="s">
        <v>1754</v>
      </c>
      <c r="F8" s="773" t="s">
        <v>140</v>
      </c>
      <c r="G8" s="812" t="s">
        <v>1755</v>
      </c>
      <c r="H8" s="812" t="s">
        <v>1756</v>
      </c>
      <c r="I8" s="576"/>
      <c r="J8" s="963"/>
      <c r="K8" s="823" t="s">
        <v>244</v>
      </c>
      <c r="L8" s="773" t="s">
        <v>2</v>
      </c>
      <c r="M8" s="773" t="s">
        <v>1521</v>
      </c>
      <c r="N8" s="773" t="s">
        <v>1757</v>
      </c>
      <c r="O8" s="773" t="s">
        <v>1550</v>
      </c>
      <c r="P8" s="775" t="s">
        <v>1758</v>
      </c>
      <c r="Q8" s="776" t="s">
        <v>1759</v>
      </c>
      <c r="R8" s="576"/>
      <c r="S8" s="576"/>
      <c r="T8" s="576"/>
      <c r="U8" s="963"/>
      <c r="V8" s="474"/>
      <c r="W8" s="474"/>
      <c r="X8" s="474"/>
      <c r="Y8" s="474"/>
      <c r="Z8" s="474"/>
      <c r="AA8" s="474"/>
      <c r="AB8" s="474"/>
      <c r="AC8" s="474"/>
      <c r="AD8" s="474"/>
      <c r="AE8" s="474"/>
      <c r="AF8" s="474"/>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E8" s="475"/>
      <c r="BF8" s="475"/>
      <c r="BG8" s="475"/>
      <c r="BH8" s="475"/>
      <c r="BI8" s="475"/>
      <c r="BJ8" s="475"/>
      <c r="BK8" s="475"/>
      <c r="BL8" s="475"/>
      <c r="BM8" s="475"/>
      <c r="BN8" s="475"/>
      <c r="BO8" s="475"/>
      <c r="BP8" s="475"/>
      <c r="BQ8" s="475"/>
      <c r="BS8" s="475"/>
      <c r="BT8" s="475"/>
      <c r="BU8" s="475"/>
      <c r="BV8" s="475"/>
      <c r="BW8" s="475"/>
      <c r="BX8" s="475"/>
      <c r="BY8" s="475"/>
      <c r="BZ8" s="475"/>
      <c r="CA8" s="475"/>
      <c r="CB8" s="475"/>
      <c r="CC8" s="475"/>
      <c r="CD8" s="475"/>
      <c r="CE8" s="475"/>
      <c r="CF8" s="475"/>
      <c r="CG8" s="475"/>
      <c r="CH8" s="475"/>
      <c r="CI8" s="475"/>
      <c r="CJ8" s="475"/>
      <c r="CK8" s="475"/>
      <c r="CL8" s="475"/>
      <c r="CM8" s="475"/>
      <c r="CN8" s="475"/>
      <c r="CO8" s="475"/>
      <c r="CP8" s="475"/>
      <c r="CQ8" s="475"/>
      <c r="CR8" s="475"/>
      <c r="CS8" s="475"/>
      <c r="CT8" s="475"/>
      <c r="CU8" s="475"/>
      <c r="CV8" s="475"/>
      <c r="CW8" s="475"/>
      <c r="CX8" s="475"/>
      <c r="CY8" s="475"/>
      <c r="CZ8" s="475"/>
      <c r="DA8" s="475"/>
      <c r="DB8" s="475"/>
      <c r="DC8" s="475"/>
      <c r="DD8" s="475"/>
      <c r="DE8" s="475"/>
      <c r="DF8" s="475"/>
      <c r="DG8" s="475"/>
      <c r="DH8" s="475"/>
      <c r="DI8" s="475"/>
      <c r="DJ8" s="475"/>
      <c r="DK8" s="475"/>
      <c r="DL8" s="475"/>
      <c r="DM8" s="475"/>
      <c r="DN8" s="475"/>
      <c r="DO8" s="475"/>
      <c r="DP8" s="475"/>
      <c r="DQ8" s="475"/>
      <c r="DR8" s="475"/>
      <c r="DS8" s="475"/>
      <c r="DT8" s="475"/>
      <c r="DU8" s="475"/>
      <c r="DV8" s="475"/>
      <c r="DW8" s="475"/>
      <c r="DX8" s="475"/>
      <c r="DY8" s="475"/>
      <c r="DZ8" s="475"/>
      <c r="EA8" s="475"/>
      <c r="EB8" s="475"/>
      <c r="EC8" s="475"/>
      <c r="ED8" s="475"/>
      <c r="EE8" s="475"/>
      <c r="EF8" s="475"/>
      <c r="EG8" s="475"/>
      <c r="EH8" s="475"/>
      <c r="EI8" s="475"/>
      <c r="EJ8" s="475"/>
      <c r="EK8" s="475"/>
      <c r="EL8" s="475"/>
      <c r="EM8" s="475"/>
      <c r="EN8" s="475"/>
      <c r="EO8" s="475"/>
      <c r="EP8" s="475"/>
      <c r="EQ8" s="475"/>
      <c r="ER8" s="475"/>
      <c r="ES8" s="475"/>
      <c r="ET8" s="475"/>
      <c r="EU8" s="475"/>
      <c r="EV8" s="475"/>
      <c r="EW8" s="475"/>
      <c r="EX8" s="475"/>
      <c r="FB8" s="475"/>
    </row>
    <row r="9" spans="1:161" s="964" customFormat="1" ht="18" customHeight="1">
      <c r="B9" s="474"/>
      <c r="C9" s="474"/>
      <c r="E9" s="160" t="s">
        <v>1760</v>
      </c>
      <c r="F9" s="160" t="s">
        <v>1760</v>
      </c>
      <c r="G9" s="160"/>
      <c r="K9" s="125" t="s">
        <v>1563</v>
      </c>
      <c r="P9" s="474"/>
      <c r="R9" s="474"/>
      <c r="S9" s="474"/>
      <c r="T9" s="474"/>
      <c r="U9" s="474"/>
      <c r="V9" s="474"/>
      <c r="W9" s="474"/>
      <c r="X9" s="474"/>
      <c r="Y9" s="474"/>
      <c r="Z9" s="474"/>
      <c r="AA9" s="474"/>
      <c r="AB9" s="474"/>
      <c r="AC9" s="474"/>
      <c r="AD9" s="474"/>
      <c r="AE9" s="474"/>
      <c r="AF9" s="474"/>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34"/>
      <c r="BS9" s="475"/>
      <c r="BT9" s="475"/>
      <c r="BU9" s="475"/>
      <c r="BV9" s="475"/>
      <c r="BW9" s="475"/>
      <c r="BX9" s="475"/>
      <c r="BY9" s="475"/>
      <c r="BZ9" s="475"/>
      <c r="CA9" s="475"/>
      <c r="CB9" s="475"/>
      <c r="CC9" s="475"/>
      <c r="CD9" s="475"/>
      <c r="CE9" s="475"/>
      <c r="CF9" s="475"/>
      <c r="CG9" s="475"/>
      <c r="CH9" s="475"/>
      <c r="CI9" s="475"/>
      <c r="CJ9" s="475"/>
      <c r="CK9" s="475"/>
      <c r="CL9" s="475"/>
      <c r="CM9" s="475"/>
      <c r="CN9" s="475"/>
      <c r="CO9" s="475"/>
      <c r="CP9" s="475"/>
      <c r="CQ9" s="475"/>
      <c r="CR9" s="475"/>
      <c r="CS9" s="475"/>
      <c r="CT9" s="475"/>
      <c r="CU9" s="475"/>
      <c r="CV9" s="475"/>
      <c r="CW9" s="475"/>
      <c r="CX9" s="475"/>
      <c r="CY9" s="475"/>
      <c r="CZ9" s="475"/>
      <c r="DA9" s="475"/>
      <c r="DB9" s="475"/>
      <c r="DC9" s="475"/>
      <c r="DD9" s="475"/>
      <c r="DE9" s="475"/>
      <c r="DF9" s="475"/>
      <c r="DG9" s="475"/>
      <c r="DH9" s="475"/>
      <c r="DI9" s="475"/>
      <c r="DJ9" s="475"/>
      <c r="DK9" s="475"/>
      <c r="DL9" s="475"/>
      <c r="DM9" s="475"/>
      <c r="DN9" s="475"/>
      <c r="DO9" s="475"/>
      <c r="DP9" s="475"/>
      <c r="DQ9" s="475"/>
      <c r="DR9" s="475"/>
      <c r="DS9" s="475"/>
      <c r="DT9" s="475"/>
      <c r="DU9" s="475"/>
      <c r="DV9" s="475"/>
      <c r="DW9" s="475"/>
      <c r="DX9" s="475"/>
      <c r="DY9" s="475"/>
      <c r="DZ9" s="475"/>
      <c r="EA9" s="475"/>
      <c r="EB9" s="475"/>
      <c r="EC9" s="475"/>
      <c r="ED9" s="475"/>
      <c r="EE9" s="475"/>
      <c r="EF9" s="475"/>
      <c r="EG9" s="475"/>
      <c r="EH9" s="475"/>
      <c r="EI9" s="475"/>
      <c r="EJ9" s="475"/>
      <c r="EK9" s="475"/>
      <c r="EL9" s="475"/>
      <c r="EM9" s="475"/>
      <c r="EN9" s="475"/>
      <c r="EO9" s="475"/>
      <c r="EP9" s="475"/>
      <c r="EQ9" s="475"/>
      <c r="ER9" s="475"/>
      <c r="ES9" s="475"/>
      <c r="ET9" s="475"/>
      <c r="EU9" s="475"/>
      <c r="EV9" s="475"/>
      <c r="EW9" s="475"/>
      <c r="EX9" s="475"/>
    </row>
    <row r="10" spans="1:161" s="475" customFormat="1">
      <c r="B10" s="306"/>
      <c r="C10" s="824">
        <v>1</v>
      </c>
      <c r="D10" s="1023"/>
      <c r="E10" s="965" t="str">
        <f>VLOOKUP(M10,TOV!$C$298:$G$299,TOV!$E$1,FALSE)</f>
        <v>Clean water small dams/sediment control structures retained after closure</v>
      </c>
      <c r="F10" s="966"/>
      <c r="G10" s="966"/>
      <c r="H10" s="967"/>
      <c r="I10" s="968"/>
      <c r="J10" s="969"/>
      <c r="K10" s="235"/>
      <c r="L10" s="824" t="str">
        <f>VLOOKUP(M10,TOV!$C$298:$G$299,TOV!$G$1,FALSE)</f>
        <v>Item</v>
      </c>
      <c r="M10" s="970" t="str">
        <f>TOV!C298</f>
        <v>#5.01</v>
      </c>
      <c r="N10" s="971">
        <f>VLOOKUP(M10,TOV!$C$298:$G$447,TOV!$F$1,FALSE)</f>
        <v>10500</v>
      </c>
      <c r="O10" s="297"/>
      <c r="P10" s="122">
        <f t="shared" ref="P10:P28" si="0">K10*IF(O10="",N10,O10)</f>
        <v>0</v>
      </c>
      <c r="Q10" s="192"/>
      <c r="R10" s="191"/>
      <c r="S10" s="191"/>
      <c r="T10" s="191"/>
      <c r="U10" s="190"/>
      <c r="V10" s="474"/>
      <c r="W10" s="474"/>
      <c r="X10" s="474"/>
      <c r="Y10" s="474"/>
      <c r="Z10" s="474"/>
      <c r="AA10" s="474"/>
      <c r="AB10" s="474"/>
      <c r="AC10" s="474"/>
      <c r="AD10" s="474"/>
      <c r="AE10" s="474"/>
      <c r="AF10" s="474"/>
      <c r="BR10" s="434"/>
    </row>
    <row r="11" spans="1:161">
      <c r="B11" s="309"/>
      <c r="C11" s="824">
        <f>C10+1</f>
        <v>2</v>
      </c>
      <c r="D11" s="1024"/>
      <c r="E11" s="965" t="str">
        <f>VLOOKUP(M11,TOV!$C$298:$G$299,TOV!$E$1,FALSE)</f>
        <v>Clean water small mine/quarry dams/sediment control structures retained after closure</v>
      </c>
      <c r="F11" s="966"/>
      <c r="G11" s="966"/>
      <c r="H11" s="972"/>
      <c r="I11" s="576"/>
      <c r="J11" s="963"/>
      <c r="K11" s="235"/>
      <c r="L11" s="824" t="str">
        <f>VLOOKUP(M11,TOV!$C$298:$G$299,TOV!$G$1,FALSE)</f>
        <v>Item</v>
      </c>
      <c r="M11" s="970" t="str">
        <f>TOV!C299</f>
        <v>#5.02</v>
      </c>
      <c r="N11" s="971">
        <f>VLOOKUP(M11,TOV!$C$298:$G$447,TOV!$F$1,FALSE)</f>
        <v>2500</v>
      </c>
      <c r="O11" s="297"/>
      <c r="P11" s="122">
        <f t="shared" si="0"/>
        <v>0</v>
      </c>
      <c r="Q11" s="192"/>
      <c r="R11" s="191"/>
      <c r="S11" s="191"/>
      <c r="T11" s="191"/>
      <c r="U11" s="190"/>
      <c r="V11" s="474"/>
      <c r="W11" s="474"/>
      <c r="X11" s="474"/>
      <c r="Y11" s="474"/>
      <c r="Z11" s="474"/>
      <c r="AA11" s="474"/>
      <c r="AB11" s="474"/>
      <c r="AC11" s="474"/>
      <c r="AD11" s="474"/>
      <c r="AE11" s="474"/>
      <c r="AF11" s="474"/>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S11" s="475"/>
      <c r="BT11" s="475"/>
      <c r="BU11" s="475"/>
      <c r="BV11" s="475"/>
      <c r="BW11" s="475"/>
      <c r="BX11" s="475"/>
      <c r="BY11" s="475"/>
      <c r="BZ11" s="475"/>
      <c r="CA11" s="475"/>
      <c r="CB11" s="475"/>
      <c r="CC11" s="475"/>
      <c r="CD11" s="475"/>
      <c r="CE11" s="475"/>
      <c r="CF11" s="475"/>
      <c r="CG11" s="475"/>
      <c r="CH11" s="475"/>
      <c r="CI11" s="475"/>
      <c r="CJ11" s="475"/>
      <c r="CK11" s="475"/>
      <c r="CL11" s="475"/>
      <c r="CM11" s="475"/>
      <c r="CN11" s="475"/>
      <c r="CO11" s="475"/>
      <c r="CP11" s="475"/>
      <c r="CQ11" s="475"/>
      <c r="CR11" s="475"/>
      <c r="CS11" s="475"/>
      <c r="CT11" s="475"/>
      <c r="CU11" s="475"/>
      <c r="CV11" s="475"/>
      <c r="CW11" s="475"/>
      <c r="CX11" s="475"/>
      <c r="CY11" s="475"/>
      <c r="CZ11" s="475"/>
      <c r="DA11" s="475"/>
      <c r="DB11" s="475"/>
      <c r="DC11" s="475"/>
      <c r="DD11" s="475"/>
      <c r="DE11" s="475"/>
      <c r="DF11" s="475"/>
      <c r="DG11" s="475"/>
      <c r="DH11" s="475"/>
      <c r="DI11" s="475"/>
      <c r="DJ11" s="475"/>
      <c r="DK11" s="475"/>
      <c r="DL11" s="475"/>
      <c r="DM11" s="475"/>
      <c r="DN11" s="475"/>
      <c r="DO11" s="475"/>
      <c r="DP11" s="475"/>
      <c r="DQ11" s="475"/>
      <c r="DR11" s="475"/>
      <c r="DS11" s="475"/>
      <c r="DT11" s="475"/>
      <c r="DU11" s="475"/>
      <c r="DV11" s="475"/>
      <c r="DW11" s="475"/>
      <c r="DX11" s="475"/>
      <c r="DY11" s="475"/>
      <c r="DZ11" s="475"/>
      <c r="EA11" s="475"/>
      <c r="EB11" s="475"/>
      <c r="EC11" s="475"/>
      <c r="ED11" s="475"/>
      <c r="EE11" s="475"/>
      <c r="EF11" s="475"/>
      <c r="EG11" s="475"/>
      <c r="EH11" s="475"/>
      <c r="EI11" s="475"/>
      <c r="EJ11" s="475"/>
      <c r="EK11" s="475"/>
      <c r="EL11" s="475"/>
      <c r="EM11" s="475"/>
      <c r="EN11" s="475"/>
      <c r="EO11" s="475"/>
      <c r="EP11" s="475"/>
      <c r="EQ11" s="475"/>
      <c r="ER11" s="475"/>
      <c r="ES11" s="475"/>
      <c r="ET11" s="475"/>
      <c r="EU11" s="475"/>
      <c r="EV11" s="475"/>
      <c r="EW11" s="475"/>
      <c r="EX11" s="475"/>
    </row>
    <row r="12" spans="1:161">
      <c r="B12" s="309"/>
      <c r="C12" s="824">
        <f t="shared" ref="C12:C34" si="1">C11+1</f>
        <v>3</v>
      </c>
      <c r="D12" s="1024"/>
      <c r="E12" s="79" t="s">
        <v>179</v>
      </c>
      <c r="F12" s="185" t="s">
        <v>1761</v>
      </c>
      <c r="G12" s="185" t="s">
        <v>93</v>
      </c>
      <c r="H12" s="973" t="str">
        <f>CONCATENATE(E12,F12,G12)</f>
        <v>Process &gt; 0 and &lt;= 1 ML, Pasture</v>
      </c>
      <c r="I12" s="974"/>
      <c r="J12" s="493"/>
      <c r="K12" s="235"/>
      <c r="L12" s="824" t="str">
        <f>VLOOKUP(M12,TOV!$C$300:$G$447,TOV!$G$1,FALSE)</f>
        <v>structure</v>
      </c>
      <c r="M12" s="970" t="str">
        <f xml:space="preserve"> VLOOKUP(H12,CHOOSE({3,2,1},TOV!$C$300:$C$434,TOV!$D$300:$D$434,TOV!$E$300:$E$434),3,0)</f>
        <v>#5.03</v>
      </c>
      <c r="N12" s="971">
        <f>VLOOKUP(M12,TOV!$C$298:$G$447,TOV!$F$1,FALSE)</f>
        <v>7677.2044859809457</v>
      </c>
      <c r="O12" s="297"/>
      <c r="P12" s="122">
        <f t="shared" si="0"/>
        <v>0</v>
      </c>
      <c r="Q12" s="192"/>
      <c r="R12" s="191"/>
      <c r="S12" s="191"/>
      <c r="T12" s="191"/>
      <c r="U12" s="190"/>
      <c r="V12" s="474"/>
      <c r="W12" s="474"/>
      <c r="X12" s="474"/>
      <c r="Y12" s="474"/>
      <c r="Z12" s="474"/>
      <c r="AA12" s="474"/>
      <c r="AB12" s="474"/>
      <c r="AC12" s="474"/>
      <c r="AD12" s="474"/>
      <c r="AE12" s="474"/>
      <c r="AF12" s="474"/>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S12" s="475"/>
      <c r="BT12" s="475"/>
      <c r="BU12" s="475"/>
      <c r="BV12" s="475"/>
      <c r="BW12" s="475"/>
      <c r="BX12" s="475"/>
      <c r="BY12" s="475"/>
      <c r="BZ12" s="475"/>
      <c r="CA12" s="475"/>
      <c r="CB12" s="475"/>
      <c r="CC12" s="475"/>
      <c r="CD12" s="475"/>
      <c r="CE12" s="475"/>
      <c r="CF12" s="475"/>
      <c r="CG12" s="475"/>
      <c r="CH12" s="475"/>
      <c r="CI12" s="475"/>
      <c r="CJ12" s="475"/>
      <c r="CK12" s="475"/>
      <c r="CL12" s="475"/>
      <c r="CM12" s="475"/>
      <c r="CN12" s="475"/>
      <c r="CO12" s="475"/>
      <c r="CP12" s="475"/>
      <c r="CQ12" s="475"/>
      <c r="CR12" s="475"/>
      <c r="CS12" s="475"/>
      <c r="CT12" s="475"/>
      <c r="CU12" s="475"/>
      <c r="CV12" s="475"/>
      <c r="CW12" s="475"/>
      <c r="CX12" s="475"/>
      <c r="CY12" s="475"/>
      <c r="CZ12" s="475"/>
      <c r="DA12" s="475"/>
      <c r="DB12" s="475"/>
      <c r="DC12" s="475"/>
      <c r="DD12" s="475"/>
      <c r="DE12" s="475"/>
      <c r="DF12" s="475"/>
      <c r="DG12" s="475"/>
      <c r="DH12" s="475"/>
      <c r="DI12" s="475"/>
      <c r="DJ12" s="475"/>
      <c r="DK12" s="475"/>
      <c r="DL12" s="475"/>
      <c r="DM12" s="475"/>
      <c r="DN12" s="475"/>
      <c r="DO12" s="475"/>
      <c r="DP12" s="475"/>
      <c r="DQ12" s="475"/>
      <c r="DR12" s="475"/>
      <c r="DS12" s="475"/>
      <c r="DT12" s="475"/>
      <c r="DU12" s="475"/>
      <c r="DV12" s="475"/>
      <c r="DW12" s="475"/>
      <c r="DX12" s="475"/>
      <c r="DY12" s="475"/>
      <c r="DZ12" s="475"/>
      <c r="EA12" s="475"/>
      <c r="EB12" s="475"/>
      <c r="EC12" s="475"/>
      <c r="ED12" s="475"/>
      <c r="EE12" s="475"/>
      <c r="EF12" s="475"/>
      <c r="EG12" s="475"/>
      <c r="EH12" s="475"/>
      <c r="EI12" s="475"/>
      <c r="EJ12" s="475"/>
      <c r="EK12" s="475"/>
      <c r="EL12" s="475"/>
      <c r="EM12" s="475"/>
      <c r="EN12" s="475"/>
      <c r="EO12" s="475"/>
      <c r="EP12" s="475"/>
      <c r="EQ12" s="475"/>
      <c r="ER12" s="475"/>
      <c r="ES12" s="475"/>
      <c r="ET12" s="475"/>
      <c r="EU12" s="475"/>
      <c r="EV12" s="475"/>
      <c r="EW12" s="475"/>
      <c r="EX12" s="475"/>
      <c r="FA12" s="975"/>
      <c r="FE12" s="976"/>
    </row>
    <row r="13" spans="1:161">
      <c r="B13" s="309"/>
      <c r="C13" s="824">
        <f t="shared" si="1"/>
        <v>4</v>
      </c>
      <c r="D13" s="1024"/>
      <c r="E13" s="79" t="s">
        <v>179</v>
      </c>
      <c r="F13" s="185" t="s">
        <v>1761</v>
      </c>
      <c r="G13" s="185" t="s">
        <v>116</v>
      </c>
      <c r="H13" s="977" t="str">
        <f t="shared" ref="H13:H34" si="2">CONCATENATE(E13,F13,G13)</f>
        <v>Process &gt; 0 and &lt;= 1 ML, Native</v>
      </c>
      <c r="I13" s="978"/>
      <c r="J13" s="978"/>
      <c r="K13" s="236"/>
      <c r="L13" s="824" t="str">
        <f>VLOOKUP(M13,TOV!$C$300:$G$447,TOV!$G$1,FALSE)</f>
        <v>structure</v>
      </c>
      <c r="M13" s="970" t="str">
        <f xml:space="preserve"> VLOOKUP(H13,CHOOSE({3,2,1},TOV!$C$300:$C$434,TOV!$D$300:$D$434,TOV!$E$300:$E$434),3,0)</f>
        <v>#5.18</v>
      </c>
      <c r="N13" s="971">
        <f>VLOOKUP(M13,TOV!$C$298:$G$447,TOV!$F$1,FALSE)</f>
        <v>7931.3044859809452</v>
      </c>
      <c r="O13" s="297"/>
      <c r="P13" s="122">
        <f t="shared" si="0"/>
        <v>0</v>
      </c>
      <c r="Q13" s="192"/>
      <c r="R13" s="191"/>
      <c r="S13" s="191"/>
      <c r="T13" s="191"/>
      <c r="U13" s="190"/>
      <c r="V13" s="474"/>
      <c r="W13" s="474"/>
      <c r="X13" s="474"/>
      <c r="Y13" s="474"/>
      <c r="Z13" s="474"/>
      <c r="AA13" s="474"/>
      <c r="AB13" s="474"/>
      <c r="AC13" s="474"/>
      <c r="AD13" s="474"/>
      <c r="AE13" s="474"/>
      <c r="AF13" s="474"/>
      <c r="AG13" s="475"/>
      <c r="AH13" s="475"/>
      <c r="AI13" s="475"/>
      <c r="AJ13" s="475"/>
      <c r="AK13" s="475"/>
      <c r="AL13" s="475"/>
      <c r="AM13" s="475"/>
      <c r="AN13" s="475"/>
      <c r="AO13" s="475"/>
      <c r="AP13" s="475"/>
      <c r="AQ13" s="475"/>
      <c r="AR13" s="475"/>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S13" s="475"/>
      <c r="BT13" s="475"/>
      <c r="BU13" s="475"/>
      <c r="BV13" s="475"/>
      <c r="BW13" s="475"/>
      <c r="BX13" s="475"/>
      <c r="BY13" s="475"/>
      <c r="BZ13" s="475"/>
      <c r="CA13" s="475"/>
      <c r="CB13" s="475"/>
      <c r="CC13" s="475"/>
      <c r="CD13" s="475"/>
      <c r="CE13" s="475"/>
      <c r="CF13" s="475"/>
      <c r="CG13" s="475"/>
      <c r="CH13" s="475"/>
      <c r="CI13" s="475"/>
      <c r="CJ13" s="475"/>
      <c r="CK13" s="475"/>
      <c r="CL13" s="475"/>
      <c r="CM13" s="475"/>
      <c r="CN13" s="475"/>
      <c r="CO13" s="475"/>
      <c r="CP13" s="475"/>
      <c r="CQ13" s="475"/>
      <c r="CR13" s="475"/>
      <c r="CS13" s="475"/>
      <c r="CT13" s="475"/>
      <c r="CU13" s="475"/>
      <c r="CV13" s="475"/>
      <c r="CW13" s="475"/>
      <c r="CX13" s="475"/>
      <c r="CY13" s="475"/>
      <c r="CZ13" s="475"/>
      <c r="DA13" s="475"/>
      <c r="DB13" s="475"/>
      <c r="DC13" s="475"/>
      <c r="DD13" s="475"/>
      <c r="DE13" s="475"/>
      <c r="DF13" s="475"/>
      <c r="DG13" s="475"/>
      <c r="DH13" s="475"/>
      <c r="DI13" s="475"/>
      <c r="DJ13" s="475"/>
      <c r="DK13" s="475"/>
      <c r="DL13" s="475"/>
      <c r="DM13" s="475"/>
      <c r="DN13" s="475"/>
      <c r="DO13" s="475"/>
      <c r="DP13" s="475"/>
      <c r="DQ13" s="475"/>
      <c r="DR13" s="475"/>
      <c r="DS13" s="475"/>
      <c r="DT13" s="475"/>
      <c r="DU13" s="475"/>
      <c r="DV13" s="475"/>
      <c r="DW13" s="475"/>
      <c r="DX13" s="475"/>
      <c r="DY13" s="475"/>
      <c r="DZ13" s="475"/>
      <c r="EA13" s="475"/>
      <c r="EB13" s="475"/>
      <c r="EC13" s="475"/>
      <c r="ED13" s="475"/>
      <c r="EE13" s="475"/>
      <c r="EF13" s="475"/>
      <c r="EG13" s="475"/>
      <c r="EH13" s="475"/>
      <c r="EI13" s="475"/>
      <c r="EJ13" s="475"/>
      <c r="EK13" s="475"/>
      <c r="EL13" s="475"/>
      <c r="EM13" s="475"/>
      <c r="EN13" s="475"/>
      <c r="EO13" s="475"/>
      <c r="EP13" s="475"/>
      <c r="EQ13" s="475"/>
      <c r="ER13" s="475"/>
      <c r="ES13" s="475"/>
      <c r="ET13" s="475"/>
      <c r="EU13" s="475"/>
      <c r="EV13" s="475"/>
      <c r="EW13" s="475"/>
      <c r="EX13" s="475"/>
      <c r="FA13" s="975"/>
      <c r="FE13" s="976"/>
    </row>
    <row r="14" spans="1:161">
      <c r="B14" s="309"/>
      <c r="C14" s="824">
        <f t="shared" si="1"/>
        <v>5</v>
      </c>
      <c r="D14" s="1024"/>
      <c r="E14" s="79" t="s">
        <v>179</v>
      </c>
      <c r="F14" s="185" t="s">
        <v>1761</v>
      </c>
      <c r="G14" s="185" t="s">
        <v>47</v>
      </c>
      <c r="H14" s="973" t="str">
        <f t="shared" si="2"/>
        <v>Process &gt; 0 and &lt;= 1 ML, Arid</v>
      </c>
      <c r="I14" s="979"/>
      <c r="J14" s="979"/>
      <c r="K14" s="236"/>
      <c r="L14" s="824" t="str">
        <f>VLOOKUP(M14,TOV!$C$300:$G$447,TOV!$G$1,FALSE)</f>
        <v>structure</v>
      </c>
      <c r="M14" s="970" t="str">
        <f xml:space="preserve"> VLOOKUP(H14,CHOOSE({3,2,1},TOV!$C$300:$C$434,TOV!$D$300:$D$434,TOV!$E$300:$E$434),3,0)</f>
        <v>#5.33</v>
      </c>
      <c r="N14" s="971">
        <f>VLOOKUP(M14,TOV!$C$298:$G$447,TOV!$F$1,FALSE)</f>
        <v>7511.6544859809455</v>
      </c>
      <c r="O14" s="297"/>
      <c r="P14" s="122">
        <f t="shared" si="0"/>
        <v>0</v>
      </c>
      <c r="Q14" s="192"/>
      <c r="R14" s="191"/>
      <c r="S14" s="191"/>
      <c r="T14" s="191"/>
      <c r="U14" s="190"/>
      <c r="V14" s="474"/>
      <c r="W14" s="474"/>
      <c r="X14" s="474"/>
      <c r="Y14" s="474"/>
      <c r="Z14" s="474"/>
      <c r="AA14" s="474"/>
      <c r="AB14" s="474"/>
      <c r="AC14" s="474"/>
      <c r="AD14" s="474"/>
      <c r="AE14" s="474"/>
      <c r="AF14" s="474"/>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c r="BH14" s="475"/>
      <c r="BI14" s="475"/>
      <c r="BJ14" s="475"/>
      <c r="BK14" s="475"/>
      <c r="BL14" s="475"/>
      <c r="BM14" s="475"/>
      <c r="BN14" s="475"/>
      <c r="BO14" s="475"/>
      <c r="BP14" s="475"/>
      <c r="BQ14" s="475"/>
      <c r="BS14" s="475"/>
      <c r="BT14" s="475"/>
      <c r="BU14" s="475"/>
      <c r="BV14" s="475"/>
      <c r="BW14" s="475"/>
      <c r="BX14" s="475"/>
      <c r="BY14" s="475"/>
      <c r="BZ14" s="475"/>
      <c r="CA14" s="475"/>
      <c r="CB14" s="475"/>
      <c r="CC14" s="475"/>
      <c r="CD14" s="475"/>
      <c r="CE14" s="475"/>
      <c r="CF14" s="475"/>
      <c r="CG14" s="475"/>
      <c r="CH14" s="475"/>
      <c r="CI14" s="475"/>
      <c r="CJ14" s="475"/>
      <c r="CK14" s="475"/>
      <c r="CL14" s="475"/>
      <c r="CM14" s="475"/>
      <c r="CN14" s="475"/>
      <c r="CO14" s="475"/>
      <c r="CP14" s="475"/>
      <c r="CQ14" s="475"/>
      <c r="CR14" s="475"/>
      <c r="CS14" s="475"/>
      <c r="CT14" s="475"/>
      <c r="CU14" s="475"/>
      <c r="CV14" s="475"/>
      <c r="CW14" s="475"/>
      <c r="CX14" s="475"/>
      <c r="CY14" s="475"/>
      <c r="CZ14" s="475"/>
      <c r="DA14" s="475"/>
      <c r="DB14" s="475"/>
      <c r="DC14" s="475"/>
      <c r="DD14" s="475"/>
      <c r="DE14" s="475"/>
      <c r="DF14" s="475"/>
      <c r="DG14" s="475"/>
      <c r="DH14" s="475"/>
      <c r="DI14" s="475"/>
      <c r="DJ14" s="475"/>
      <c r="DK14" s="475"/>
      <c r="DL14" s="475"/>
      <c r="DM14" s="475"/>
      <c r="DN14" s="475"/>
      <c r="DO14" s="475"/>
      <c r="DP14" s="475"/>
      <c r="DQ14" s="475"/>
      <c r="DR14" s="475"/>
      <c r="DS14" s="475"/>
      <c r="DT14" s="475"/>
      <c r="DU14" s="475"/>
      <c r="DV14" s="475"/>
      <c r="DW14" s="475"/>
      <c r="DX14" s="475"/>
      <c r="DY14" s="475"/>
      <c r="DZ14" s="475"/>
      <c r="EA14" s="475"/>
      <c r="EB14" s="475"/>
      <c r="EC14" s="475"/>
      <c r="ED14" s="475"/>
      <c r="EE14" s="475"/>
      <c r="EF14" s="475"/>
      <c r="EG14" s="475"/>
      <c r="EH14" s="475"/>
      <c r="EI14" s="475"/>
      <c r="EJ14" s="475"/>
      <c r="EK14" s="475"/>
      <c r="EL14" s="475"/>
      <c r="EM14" s="475"/>
      <c r="EN14" s="475"/>
      <c r="EO14" s="475"/>
      <c r="EP14" s="475"/>
      <c r="EQ14" s="475"/>
      <c r="ER14" s="475"/>
      <c r="ES14" s="475"/>
      <c r="ET14" s="475"/>
      <c r="EU14" s="475"/>
      <c r="EV14" s="475"/>
      <c r="EW14" s="475"/>
      <c r="EX14" s="475"/>
      <c r="FA14" s="975"/>
      <c r="FE14" s="976"/>
    </row>
    <row r="15" spans="1:161">
      <c r="B15" s="309"/>
      <c r="C15" s="824">
        <f t="shared" si="1"/>
        <v>6</v>
      </c>
      <c r="D15" s="1024"/>
      <c r="E15" s="79" t="s">
        <v>179</v>
      </c>
      <c r="F15" s="185" t="s">
        <v>1762</v>
      </c>
      <c r="G15" s="185" t="s">
        <v>93</v>
      </c>
      <c r="H15" s="973" t="str">
        <f t="shared" si="2"/>
        <v>Process &gt; 4000 and &lt;= 5000 ML, Pasture</v>
      </c>
      <c r="I15" s="979"/>
      <c r="J15" s="979"/>
      <c r="K15" s="236"/>
      <c r="L15" s="824" t="str">
        <f>VLOOKUP(M15,TOV!$C$300:$G$447,TOV!$G$1,FALSE)</f>
        <v>structure</v>
      </c>
      <c r="M15" s="970" t="str">
        <f xml:space="preserve"> VLOOKUP(H15,CHOOSE({3,2,1},TOV!$C$300:$C$434,TOV!$D$300:$D$434,TOV!$E$300:$E$434),3,0)</f>
        <v>#5.17</v>
      </c>
      <c r="N15" s="971">
        <f>VLOOKUP(M15,TOV!$C$298:$G$447,TOV!$F$1,FALSE)</f>
        <v>2803157.3515085224</v>
      </c>
      <c r="O15" s="297"/>
      <c r="P15" s="122">
        <f t="shared" si="0"/>
        <v>0</v>
      </c>
      <c r="Q15" s="192"/>
      <c r="R15" s="191"/>
      <c r="S15" s="191"/>
      <c r="T15" s="191"/>
      <c r="U15" s="190"/>
      <c r="V15" s="474"/>
      <c r="W15" s="474"/>
      <c r="X15" s="474"/>
      <c r="Y15" s="474"/>
      <c r="Z15" s="474"/>
      <c r="AA15" s="474"/>
      <c r="AB15" s="474"/>
      <c r="AC15" s="474"/>
      <c r="AD15" s="474"/>
      <c r="AE15" s="474"/>
      <c r="AF15" s="474"/>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S15" s="475"/>
      <c r="BT15" s="475"/>
      <c r="BU15" s="475"/>
      <c r="BV15" s="475"/>
      <c r="BW15" s="475"/>
      <c r="BX15" s="475"/>
      <c r="BY15" s="475"/>
      <c r="BZ15" s="475"/>
      <c r="CA15" s="475"/>
      <c r="CB15" s="475"/>
      <c r="CC15" s="475"/>
      <c r="CD15" s="475"/>
      <c r="CE15" s="475"/>
      <c r="CF15" s="475"/>
      <c r="CG15" s="475"/>
      <c r="CH15" s="475"/>
      <c r="CI15" s="475"/>
      <c r="CJ15" s="475"/>
      <c r="CK15" s="475"/>
      <c r="CL15" s="475"/>
      <c r="CM15" s="475"/>
      <c r="CN15" s="475"/>
      <c r="CO15" s="475"/>
      <c r="CP15" s="475"/>
      <c r="CQ15" s="475"/>
      <c r="CR15" s="475"/>
      <c r="CS15" s="475"/>
      <c r="CT15" s="475"/>
      <c r="CU15" s="475"/>
      <c r="CV15" s="475"/>
      <c r="CW15" s="475"/>
      <c r="CX15" s="475"/>
      <c r="CY15" s="475"/>
      <c r="CZ15" s="475"/>
      <c r="DA15" s="475"/>
      <c r="DB15" s="475"/>
      <c r="DC15" s="475"/>
      <c r="DD15" s="475"/>
      <c r="DE15" s="475"/>
      <c r="DF15" s="475"/>
      <c r="DG15" s="475"/>
      <c r="DH15" s="475"/>
      <c r="DI15" s="475"/>
      <c r="DJ15" s="475"/>
      <c r="DK15" s="475"/>
      <c r="DL15" s="475"/>
      <c r="DM15" s="475"/>
      <c r="DN15" s="475"/>
      <c r="DO15" s="475"/>
      <c r="DP15" s="475"/>
      <c r="DQ15" s="475"/>
      <c r="DR15" s="475"/>
      <c r="DS15" s="475"/>
      <c r="DT15" s="475"/>
      <c r="DU15" s="475"/>
      <c r="DV15" s="475"/>
      <c r="DW15" s="475"/>
      <c r="DX15" s="475"/>
      <c r="DY15" s="475"/>
      <c r="DZ15" s="475"/>
      <c r="EA15" s="475"/>
      <c r="EB15" s="475"/>
      <c r="EC15" s="475"/>
      <c r="ED15" s="475"/>
      <c r="EE15" s="475"/>
      <c r="EF15" s="475"/>
      <c r="EG15" s="475"/>
      <c r="EH15" s="475"/>
      <c r="EI15" s="475"/>
      <c r="EJ15" s="475"/>
      <c r="EK15" s="475"/>
      <c r="EL15" s="475"/>
      <c r="EM15" s="475"/>
      <c r="EN15" s="475"/>
      <c r="EO15" s="475"/>
      <c r="EP15" s="475"/>
      <c r="EQ15" s="475"/>
      <c r="ER15" s="475"/>
      <c r="ES15" s="475"/>
      <c r="ET15" s="475"/>
      <c r="EU15" s="475"/>
      <c r="EV15" s="475"/>
      <c r="EW15" s="475"/>
      <c r="EX15" s="475"/>
      <c r="FA15" s="975"/>
      <c r="FE15" s="976"/>
    </row>
    <row r="16" spans="1:161">
      <c r="B16" s="309"/>
      <c r="C16" s="824">
        <f t="shared" si="1"/>
        <v>7</v>
      </c>
      <c r="D16" s="1024"/>
      <c r="E16" s="79" t="s">
        <v>179</v>
      </c>
      <c r="F16" s="185" t="s">
        <v>1762</v>
      </c>
      <c r="G16" s="185" t="s">
        <v>116</v>
      </c>
      <c r="H16" s="973" t="str">
        <f t="shared" si="2"/>
        <v>Process &gt; 4000 and &lt;= 5000 ML, Native</v>
      </c>
      <c r="I16" s="979"/>
      <c r="J16" s="979"/>
      <c r="K16" s="236"/>
      <c r="L16" s="824" t="str">
        <f>VLOOKUP(M16,TOV!$C$300:$G$447,TOV!$G$1,FALSE)</f>
        <v>structure</v>
      </c>
      <c r="M16" s="970" t="str">
        <f xml:space="preserve"> VLOOKUP(H16,CHOOSE({3,2,1},TOV!$C$300:$C$434,TOV!$D$300:$D$434,TOV!$E$300:$E$434),3,0)</f>
        <v>#5.32</v>
      </c>
      <c r="N16" s="971">
        <f>VLOOKUP(M16,TOV!$C$298:$G$447,TOV!$F$1,FALSE)</f>
        <v>2955617.3515085224</v>
      </c>
      <c r="O16" s="297"/>
      <c r="P16" s="122">
        <f t="shared" si="0"/>
        <v>0</v>
      </c>
      <c r="Q16" s="192"/>
      <c r="R16" s="191"/>
      <c r="S16" s="191"/>
      <c r="T16" s="191"/>
      <c r="U16" s="190"/>
      <c r="V16" s="474"/>
      <c r="W16" s="474"/>
      <c r="X16" s="474"/>
      <c r="Y16" s="474"/>
      <c r="Z16" s="474"/>
      <c r="AA16" s="474"/>
      <c r="AB16" s="474"/>
      <c r="AC16" s="474"/>
      <c r="AD16" s="474"/>
      <c r="AE16" s="474"/>
      <c r="AF16" s="474"/>
      <c r="AG16" s="475"/>
      <c r="AH16" s="475"/>
      <c r="AI16" s="475"/>
      <c r="AJ16" s="475"/>
      <c r="AK16" s="475"/>
      <c r="AL16" s="475"/>
      <c r="AM16" s="475"/>
      <c r="AN16" s="475"/>
      <c r="AO16" s="475"/>
      <c r="AP16" s="475"/>
      <c r="AQ16" s="475"/>
      <c r="AR16" s="475"/>
      <c r="AS16" s="475"/>
      <c r="AT16" s="475"/>
      <c r="AU16" s="475"/>
      <c r="AV16" s="475"/>
      <c r="AW16" s="475"/>
      <c r="AX16" s="475"/>
      <c r="AY16" s="475"/>
      <c r="AZ16" s="475"/>
      <c r="BA16" s="475"/>
      <c r="BB16" s="475"/>
      <c r="BC16" s="475"/>
      <c r="BD16" s="475"/>
      <c r="BE16" s="475"/>
      <c r="BF16" s="475"/>
      <c r="BG16" s="475"/>
      <c r="BH16" s="475"/>
      <c r="BI16" s="475"/>
      <c r="BJ16" s="475"/>
      <c r="BK16" s="475"/>
      <c r="BL16" s="475"/>
      <c r="BM16" s="475"/>
      <c r="BN16" s="475"/>
      <c r="BO16" s="475"/>
      <c r="BP16" s="475"/>
      <c r="BQ16" s="475"/>
      <c r="BS16" s="475"/>
      <c r="BT16" s="475"/>
      <c r="BU16" s="475"/>
      <c r="BV16" s="475"/>
      <c r="BW16" s="475"/>
      <c r="BX16" s="475"/>
      <c r="BY16" s="475"/>
      <c r="BZ16" s="475"/>
      <c r="CA16" s="475"/>
      <c r="CB16" s="475"/>
      <c r="CC16" s="475"/>
      <c r="CD16" s="475"/>
      <c r="CE16" s="475"/>
      <c r="CF16" s="475"/>
      <c r="CG16" s="475"/>
      <c r="CH16" s="475"/>
      <c r="CI16" s="475"/>
      <c r="CJ16" s="475"/>
      <c r="CK16" s="475"/>
      <c r="CL16" s="475"/>
      <c r="CM16" s="475"/>
      <c r="CN16" s="475"/>
      <c r="CO16" s="475"/>
      <c r="CP16" s="475"/>
      <c r="CQ16" s="475"/>
      <c r="CR16" s="475"/>
      <c r="CS16" s="475"/>
      <c r="CT16" s="475"/>
      <c r="CU16" s="475"/>
      <c r="CV16" s="475"/>
      <c r="CW16" s="475"/>
      <c r="CX16" s="475"/>
      <c r="CY16" s="475"/>
      <c r="CZ16" s="475"/>
      <c r="DA16" s="475"/>
      <c r="DB16" s="475"/>
      <c r="DC16" s="475"/>
      <c r="DD16" s="475"/>
      <c r="DE16" s="475"/>
      <c r="DF16" s="475"/>
      <c r="DG16" s="475"/>
      <c r="DH16" s="475"/>
      <c r="DI16" s="475"/>
      <c r="DJ16" s="475"/>
      <c r="DK16" s="475"/>
      <c r="DL16" s="475"/>
      <c r="DM16" s="475"/>
      <c r="DN16" s="475"/>
      <c r="DO16" s="475"/>
      <c r="DP16" s="475"/>
      <c r="DQ16" s="475"/>
      <c r="DR16" s="475"/>
      <c r="DS16" s="475"/>
      <c r="DT16" s="475"/>
      <c r="DU16" s="475"/>
      <c r="DV16" s="475"/>
      <c r="DW16" s="475"/>
      <c r="DX16" s="475"/>
      <c r="DY16" s="475"/>
      <c r="DZ16" s="475"/>
      <c r="EA16" s="475"/>
      <c r="EB16" s="475"/>
      <c r="EC16" s="475"/>
      <c r="ED16" s="475"/>
      <c r="EE16" s="475"/>
      <c r="EF16" s="475"/>
      <c r="EG16" s="475"/>
      <c r="EH16" s="475"/>
      <c r="EI16" s="475"/>
      <c r="EJ16" s="475"/>
      <c r="EK16" s="475"/>
      <c r="EL16" s="475"/>
      <c r="EM16" s="475"/>
      <c r="EN16" s="475"/>
      <c r="EO16" s="475"/>
      <c r="EP16" s="475"/>
      <c r="EQ16" s="475"/>
      <c r="ER16" s="475"/>
      <c r="ES16" s="475"/>
      <c r="ET16" s="475"/>
      <c r="EU16" s="475"/>
      <c r="EV16" s="475"/>
      <c r="EW16" s="475"/>
      <c r="EX16" s="475"/>
      <c r="FA16" s="975"/>
      <c r="FE16" s="976"/>
    </row>
    <row r="17" spans="2:161">
      <c r="B17" s="309"/>
      <c r="C17" s="824">
        <f t="shared" si="1"/>
        <v>8</v>
      </c>
      <c r="D17" s="1024"/>
      <c r="E17" s="79" t="s">
        <v>179</v>
      </c>
      <c r="F17" s="185" t="s">
        <v>1762</v>
      </c>
      <c r="G17" s="185" t="s">
        <v>47</v>
      </c>
      <c r="H17" s="973" t="str">
        <f t="shared" si="2"/>
        <v>Process &gt; 4000 and &lt;= 5000 ML, Arid</v>
      </c>
      <c r="I17" s="979"/>
      <c r="J17" s="979"/>
      <c r="K17" s="236"/>
      <c r="L17" s="824" t="str">
        <f>VLOOKUP(M17,TOV!$C$300:$G$447,TOV!$G$1,FALSE)</f>
        <v>structure</v>
      </c>
      <c r="M17" s="970" t="str">
        <f xml:space="preserve"> VLOOKUP(H17,CHOOSE({3,2,1},TOV!$C$300:$C$434,TOV!$D$300:$D$434,TOV!$E$300:$E$434),3,0)</f>
        <v>#5.47</v>
      </c>
      <c r="N17" s="971">
        <f>VLOOKUP(M17,TOV!$C$298:$G$447,TOV!$F$1,FALSE)</f>
        <v>2425249.8560856162</v>
      </c>
      <c r="O17" s="297"/>
      <c r="P17" s="122">
        <f t="shared" si="0"/>
        <v>0</v>
      </c>
      <c r="Q17" s="192"/>
      <c r="R17" s="191"/>
      <c r="S17" s="191"/>
      <c r="T17" s="191"/>
      <c r="U17" s="190"/>
      <c r="V17" s="474"/>
      <c r="W17" s="474"/>
      <c r="X17" s="474"/>
      <c r="Y17" s="474"/>
      <c r="Z17" s="474"/>
      <c r="AA17" s="474"/>
      <c r="AB17" s="474"/>
      <c r="AC17" s="474"/>
      <c r="AD17" s="474"/>
      <c r="AE17" s="474"/>
      <c r="AF17" s="474"/>
      <c r="AG17" s="475"/>
      <c r="AH17" s="475"/>
      <c r="AI17" s="475"/>
      <c r="AJ17" s="475"/>
      <c r="AK17" s="475"/>
      <c r="AL17" s="475"/>
      <c r="AM17" s="475"/>
      <c r="AN17" s="475"/>
      <c r="AO17" s="475"/>
      <c r="AP17" s="475"/>
      <c r="AQ17" s="475"/>
      <c r="AR17" s="475"/>
      <c r="AS17" s="475"/>
      <c r="AT17" s="475"/>
      <c r="AU17" s="475"/>
      <c r="AV17" s="475"/>
      <c r="AW17" s="475"/>
      <c r="AX17" s="475"/>
      <c r="AY17" s="475"/>
      <c r="AZ17" s="475"/>
      <c r="BA17" s="475"/>
      <c r="BB17" s="475"/>
      <c r="BC17" s="475"/>
      <c r="BD17" s="475"/>
      <c r="BE17" s="475"/>
      <c r="BF17" s="475"/>
      <c r="BG17" s="475"/>
      <c r="BH17" s="475"/>
      <c r="BI17" s="475"/>
      <c r="BJ17" s="475"/>
      <c r="BK17" s="475"/>
      <c r="BL17" s="475"/>
      <c r="BM17" s="475"/>
      <c r="BN17" s="475"/>
      <c r="BO17" s="475"/>
      <c r="BP17" s="475"/>
      <c r="BQ17" s="475"/>
      <c r="BS17" s="475"/>
      <c r="BT17" s="475"/>
      <c r="BU17" s="475"/>
      <c r="BV17" s="475"/>
      <c r="BW17" s="475"/>
      <c r="BX17" s="475"/>
      <c r="BY17" s="475"/>
      <c r="BZ17" s="475"/>
      <c r="CA17" s="475"/>
      <c r="CB17" s="475"/>
      <c r="CC17" s="475"/>
      <c r="CD17" s="475"/>
      <c r="CE17" s="475"/>
      <c r="CF17" s="475"/>
      <c r="CG17" s="475"/>
      <c r="CH17" s="475"/>
      <c r="CI17" s="475"/>
      <c r="CJ17" s="475"/>
      <c r="CK17" s="475"/>
      <c r="CL17" s="475"/>
      <c r="CM17" s="475"/>
      <c r="CN17" s="475"/>
      <c r="CO17" s="475"/>
      <c r="CP17" s="475"/>
      <c r="CQ17" s="475"/>
      <c r="CR17" s="475"/>
      <c r="CS17" s="475"/>
      <c r="CT17" s="475"/>
      <c r="CU17" s="475"/>
      <c r="CV17" s="475"/>
      <c r="CW17" s="475"/>
      <c r="CX17" s="475"/>
      <c r="CY17" s="475"/>
      <c r="CZ17" s="475"/>
      <c r="DA17" s="475"/>
      <c r="DB17" s="475"/>
      <c r="DC17" s="475"/>
      <c r="DD17" s="475"/>
      <c r="DE17" s="475"/>
      <c r="DF17" s="475"/>
      <c r="DG17" s="475"/>
      <c r="DH17" s="475"/>
      <c r="DI17" s="475"/>
      <c r="DJ17" s="475"/>
      <c r="DK17" s="475"/>
      <c r="DL17" s="475"/>
      <c r="DM17" s="475"/>
      <c r="DN17" s="475"/>
      <c r="DO17" s="475"/>
      <c r="DP17" s="475"/>
      <c r="DQ17" s="475"/>
      <c r="DR17" s="475"/>
      <c r="DS17" s="475"/>
      <c r="DT17" s="475"/>
      <c r="DU17" s="475"/>
      <c r="DV17" s="475"/>
      <c r="DW17" s="475"/>
      <c r="DX17" s="475"/>
      <c r="DY17" s="475"/>
      <c r="DZ17" s="475"/>
      <c r="EA17" s="475"/>
      <c r="EB17" s="475"/>
      <c r="EC17" s="475"/>
      <c r="ED17" s="475"/>
      <c r="EE17" s="475"/>
      <c r="EF17" s="475"/>
      <c r="EG17" s="475"/>
      <c r="EH17" s="475"/>
      <c r="EI17" s="475"/>
      <c r="EJ17" s="475"/>
      <c r="EK17" s="475"/>
      <c r="EL17" s="475"/>
      <c r="EM17" s="475"/>
      <c r="EN17" s="475"/>
      <c r="EO17" s="475"/>
      <c r="EP17" s="475"/>
      <c r="EQ17" s="475"/>
      <c r="ER17" s="475"/>
      <c r="ES17" s="475"/>
      <c r="ET17" s="475"/>
      <c r="EU17" s="475"/>
      <c r="EV17" s="475"/>
      <c r="EW17" s="475"/>
      <c r="EX17" s="475"/>
      <c r="FA17" s="975"/>
      <c r="FE17" s="976"/>
    </row>
    <row r="18" spans="2:161">
      <c r="B18" s="309"/>
      <c r="C18" s="824">
        <f t="shared" si="1"/>
        <v>9</v>
      </c>
      <c r="D18" s="1024"/>
      <c r="E18" s="79" t="s">
        <v>180</v>
      </c>
      <c r="F18" s="185" t="s">
        <v>1761</v>
      </c>
      <c r="G18" s="185" t="s">
        <v>93</v>
      </c>
      <c r="H18" s="973" t="str">
        <f t="shared" si="2"/>
        <v>Raw &gt; 0 and &lt;= 1 ML, Pasture</v>
      </c>
      <c r="I18" s="979"/>
      <c r="J18" s="979"/>
      <c r="K18" s="236"/>
      <c r="L18" s="824" t="str">
        <f>VLOOKUP(M18,TOV!$C$300:$G$447,TOV!$G$1,FALSE)</f>
        <v>structure</v>
      </c>
      <c r="M18" s="970" t="str">
        <f xml:space="preserve"> VLOOKUP(H18,CHOOSE({3,2,1},TOV!$C$300:$C$434,TOV!$D$300:$D$434,TOV!$E$300:$E$434),3,0)</f>
        <v>#5.48</v>
      </c>
      <c r="N18" s="971">
        <f>VLOOKUP(M18,TOV!$C$298:$G$447,TOV!$F$1,FALSE)</f>
        <v>6664.7927116848359</v>
      </c>
      <c r="O18" s="297"/>
      <c r="P18" s="122">
        <f t="shared" si="0"/>
        <v>0</v>
      </c>
      <c r="Q18" s="192"/>
      <c r="R18" s="191"/>
      <c r="S18" s="191"/>
      <c r="T18" s="191"/>
      <c r="U18" s="190"/>
      <c r="V18" s="474"/>
      <c r="W18" s="474"/>
      <c r="X18" s="474"/>
      <c r="Y18" s="474"/>
      <c r="Z18" s="474"/>
      <c r="AA18" s="474"/>
      <c r="AB18" s="474"/>
      <c r="AC18" s="474"/>
      <c r="AD18" s="474"/>
      <c r="AE18" s="474"/>
      <c r="AF18" s="474"/>
      <c r="AG18" s="475"/>
      <c r="AH18" s="475"/>
      <c r="AI18" s="475"/>
      <c r="AJ18" s="475"/>
      <c r="AK18" s="475"/>
      <c r="AL18" s="475"/>
      <c r="AM18" s="475"/>
      <c r="AN18" s="475"/>
      <c r="AO18" s="475"/>
      <c r="AP18" s="475"/>
      <c r="AQ18" s="475"/>
      <c r="AR18" s="475"/>
      <c r="AS18" s="475"/>
      <c r="AT18" s="475"/>
      <c r="AU18" s="475"/>
      <c r="AV18" s="475"/>
      <c r="AW18" s="475"/>
      <c r="AX18" s="475"/>
      <c r="AY18" s="475"/>
      <c r="AZ18" s="475"/>
      <c r="BA18" s="475"/>
      <c r="BB18" s="475"/>
      <c r="BC18" s="475"/>
      <c r="BD18" s="475"/>
      <c r="BE18" s="475"/>
      <c r="BF18" s="475"/>
      <c r="BG18" s="475"/>
      <c r="BH18" s="475"/>
      <c r="BI18" s="475"/>
      <c r="BJ18" s="475"/>
      <c r="BK18" s="475"/>
      <c r="BL18" s="475"/>
      <c r="BM18" s="475"/>
      <c r="BN18" s="475"/>
      <c r="BO18" s="475"/>
      <c r="BP18" s="475"/>
      <c r="BQ18" s="475"/>
      <c r="BS18" s="475"/>
      <c r="BT18" s="475"/>
      <c r="BU18" s="475"/>
      <c r="BV18" s="475"/>
      <c r="BW18" s="475"/>
      <c r="BX18" s="475"/>
      <c r="BY18" s="475"/>
      <c r="BZ18" s="475"/>
      <c r="CA18" s="475"/>
      <c r="CB18" s="475"/>
      <c r="CC18" s="475"/>
      <c r="CD18" s="475"/>
      <c r="CE18" s="475"/>
      <c r="CF18" s="475"/>
      <c r="CG18" s="475"/>
      <c r="CH18" s="475"/>
      <c r="CI18" s="475"/>
      <c r="CJ18" s="475"/>
      <c r="CK18" s="475"/>
      <c r="CL18" s="475"/>
      <c r="CM18" s="475"/>
      <c r="CN18" s="475"/>
      <c r="CO18" s="475"/>
      <c r="CP18" s="475"/>
      <c r="CQ18" s="475"/>
      <c r="CR18" s="475"/>
      <c r="CS18" s="475"/>
      <c r="CT18" s="475"/>
      <c r="CU18" s="475"/>
      <c r="CV18" s="475"/>
      <c r="CW18" s="475"/>
      <c r="CX18" s="475"/>
      <c r="CY18" s="475"/>
      <c r="CZ18" s="475"/>
      <c r="DA18" s="475"/>
      <c r="DB18" s="475"/>
      <c r="DC18" s="475"/>
      <c r="DD18" s="475"/>
      <c r="DE18" s="475"/>
      <c r="DF18" s="475"/>
      <c r="DG18" s="475"/>
      <c r="DH18" s="475"/>
      <c r="DI18" s="475"/>
      <c r="DJ18" s="475"/>
      <c r="DK18" s="475"/>
      <c r="DL18" s="475"/>
      <c r="DM18" s="475"/>
      <c r="DN18" s="475"/>
      <c r="DO18" s="475"/>
      <c r="DP18" s="475"/>
      <c r="DQ18" s="475"/>
      <c r="DR18" s="475"/>
      <c r="DS18" s="475"/>
      <c r="DT18" s="475"/>
      <c r="DU18" s="475"/>
      <c r="DV18" s="475"/>
      <c r="DW18" s="475"/>
      <c r="DX18" s="475"/>
      <c r="DY18" s="475"/>
      <c r="DZ18" s="475"/>
      <c r="EA18" s="475"/>
      <c r="EB18" s="475"/>
      <c r="EC18" s="475"/>
      <c r="ED18" s="475"/>
      <c r="EE18" s="475"/>
      <c r="EF18" s="475"/>
      <c r="EG18" s="475"/>
      <c r="EH18" s="475"/>
      <c r="EI18" s="475"/>
      <c r="EJ18" s="475"/>
      <c r="EK18" s="475"/>
      <c r="EL18" s="475"/>
      <c r="EM18" s="475"/>
      <c r="EN18" s="475"/>
      <c r="EO18" s="475"/>
      <c r="EP18" s="475"/>
      <c r="EQ18" s="475"/>
      <c r="ER18" s="475"/>
      <c r="ES18" s="475"/>
      <c r="ET18" s="475"/>
      <c r="EU18" s="475"/>
      <c r="EV18" s="475"/>
      <c r="EW18" s="475"/>
      <c r="EX18" s="475"/>
      <c r="FA18" s="975"/>
      <c r="FE18" s="976"/>
    </row>
    <row r="19" spans="2:161">
      <c r="B19" s="309"/>
      <c r="C19" s="824">
        <f t="shared" si="1"/>
        <v>10</v>
      </c>
      <c r="D19" s="1024"/>
      <c r="E19" s="79" t="s">
        <v>180</v>
      </c>
      <c r="F19" s="185" t="s">
        <v>1761</v>
      </c>
      <c r="G19" s="185" t="s">
        <v>116</v>
      </c>
      <c r="H19" s="973" t="str">
        <f t="shared" si="2"/>
        <v>Raw &gt; 0 and &lt;= 1 ML, Native</v>
      </c>
      <c r="I19" s="979"/>
      <c r="J19" s="979"/>
      <c r="K19" s="236"/>
      <c r="L19" s="824" t="str">
        <f>VLOOKUP(M19,TOV!$C$300:$G$447,TOV!$G$1,FALSE)</f>
        <v>structure</v>
      </c>
      <c r="M19" s="970" t="str">
        <f xml:space="preserve"> VLOOKUP(H19,CHOOSE({3,2,1},TOV!$C$300:$C$434,TOV!$D$300:$D$434,TOV!$E$300:$E$434),3,0)</f>
        <v>#5.63</v>
      </c>
      <c r="N19" s="971">
        <f>VLOOKUP(M19,TOV!$C$298:$G$447,TOV!$F$1,FALSE)</f>
        <v>6918.8927116848363</v>
      </c>
      <c r="O19" s="297"/>
      <c r="P19" s="122">
        <f t="shared" si="0"/>
        <v>0</v>
      </c>
      <c r="Q19" s="192"/>
      <c r="R19" s="191"/>
      <c r="S19" s="191"/>
      <c r="T19" s="191"/>
      <c r="U19" s="190"/>
      <c r="V19" s="474"/>
      <c r="W19" s="474"/>
      <c r="X19" s="474"/>
      <c r="Y19" s="474"/>
      <c r="Z19" s="474"/>
      <c r="AA19" s="474"/>
      <c r="AB19" s="474"/>
      <c r="AC19" s="474"/>
      <c r="AD19" s="474"/>
      <c r="AE19" s="474"/>
      <c r="AF19" s="474"/>
      <c r="AG19" s="475"/>
      <c r="AH19" s="475"/>
      <c r="AI19" s="475"/>
      <c r="AJ19" s="475"/>
      <c r="AK19" s="475"/>
      <c r="AL19" s="475"/>
      <c r="AM19" s="475"/>
      <c r="AN19" s="475"/>
      <c r="AO19" s="475"/>
      <c r="AP19" s="475"/>
      <c r="AQ19" s="475"/>
      <c r="AR19" s="475"/>
      <c r="AS19" s="475"/>
      <c r="AT19" s="475"/>
      <c r="AU19" s="475"/>
      <c r="AV19" s="475"/>
      <c r="AW19" s="475"/>
      <c r="AX19" s="475"/>
      <c r="AY19" s="475"/>
      <c r="AZ19" s="475"/>
      <c r="BA19" s="475"/>
      <c r="BB19" s="475"/>
      <c r="BC19" s="475"/>
      <c r="BD19" s="475"/>
      <c r="BE19" s="475"/>
      <c r="BF19" s="475"/>
      <c r="BG19" s="475"/>
      <c r="BH19" s="475"/>
      <c r="BI19" s="475"/>
      <c r="BJ19" s="475"/>
      <c r="BK19" s="475"/>
      <c r="BL19" s="475"/>
      <c r="BM19" s="475"/>
      <c r="BN19" s="475"/>
      <c r="BO19" s="475"/>
      <c r="BP19" s="475"/>
      <c r="BQ19" s="475"/>
      <c r="BS19" s="475"/>
      <c r="BT19" s="475"/>
      <c r="BU19" s="475"/>
      <c r="BV19" s="475"/>
      <c r="BW19" s="475"/>
      <c r="BX19" s="475"/>
      <c r="BY19" s="475"/>
      <c r="BZ19" s="475"/>
      <c r="CA19" s="475"/>
      <c r="CB19" s="475"/>
      <c r="CC19" s="475"/>
      <c r="CD19" s="475"/>
      <c r="CE19" s="475"/>
      <c r="CF19" s="475"/>
      <c r="CG19" s="475"/>
      <c r="CH19" s="475"/>
      <c r="CI19" s="475"/>
      <c r="CJ19" s="475"/>
      <c r="CK19" s="475"/>
      <c r="CL19" s="475"/>
      <c r="CM19" s="475"/>
      <c r="CN19" s="475"/>
      <c r="CO19" s="475"/>
      <c r="CP19" s="475"/>
      <c r="CQ19" s="475"/>
      <c r="CR19" s="475"/>
      <c r="CS19" s="475"/>
      <c r="CT19" s="475"/>
      <c r="CU19" s="475"/>
      <c r="CV19" s="475"/>
      <c r="CW19" s="475"/>
      <c r="CX19" s="475"/>
      <c r="CY19" s="475"/>
      <c r="CZ19" s="475"/>
      <c r="DA19" s="475"/>
      <c r="DB19" s="475"/>
      <c r="DC19" s="475"/>
      <c r="DD19" s="475"/>
      <c r="DE19" s="475"/>
      <c r="DF19" s="475"/>
      <c r="DG19" s="475"/>
      <c r="DH19" s="475"/>
      <c r="DI19" s="475"/>
      <c r="DJ19" s="475"/>
      <c r="DK19" s="475"/>
      <c r="DL19" s="475"/>
      <c r="DM19" s="475"/>
      <c r="DN19" s="475"/>
      <c r="DO19" s="475"/>
      <c r="DP19" s="475"/>
      <c r="DQ19" s="475"/>
      <c r="DR19" s="475"/>
      <c r="DS19" s="475"/>
      <c r="DT19" s="475"/>
      <c r="DU19" s="475"/>
      <c r="DV19" s="475"/>
      <c r="DW19" s="475"/>
      <c r="DX19" s="475"/>
      <c r="DY19" s="475"/>
      <c r="DZ19" s="475"/>
      <c r="EA19" s="475"/>
      <c r="EB19" s="475"/>
      <c r="EC19" s="475"/>
      <c r="ED19" s="475"/>
      <c r="EE19" s="475"/>
      <c r="EF19" s="475"/>
      <c r="EG19" s="475"/>
      <c r="EH19" s="475"/>
      <c r="EI19" s="475"/>
      <c r="EJ19" s="475"/>
      <c r="EK19" s="475"/>
      <c r="EL19" s="475"/>
      <c r="EM19" s="475"/>
      <c r="EN19" s="475"/>
      <c r="EO19" s="475"/>
      <c r="EP19" s="475"/>
      <c r="EQ19" s="475"/>
      <c r="ER19" s="475"/>
      <c r="ES19" s="475"/>
      <c r="ET19" s="475"/>
      <c r="EU19" s="475"/>
      <c r="EV19" s="475"/>
      <c r="EW19" s="475"/>
      <c r="EX19" s="475"/>
      <c r="FA19" s="975"/>
      <c r="FE19" s="976"/>
    </row>
    <row r="20" spans="2:161">
      <c r="B20" s="309"/>
      <c r="C20" s="824">
        <f t="shared" si="1"/>
        <v>11</v>
      </c>
      <c r="D20" s="1024"/>
      <c r="E20" s="79" t="s">
        <v>180</v>
      </c>
      <c r="F20" s="185" t="s">
        <v>1761</v>
      </c>
      <c r="G20" s="185" t="s">
        <v>47</v>
      </c>
      <c r="H20" s="973" t="str">
        <f t="shared" si="2"/>
        <v>Raw &gt; 0 and &lt;= 1 ML, Arid</v>
      </c>
      <c r="I20" s="979"/>
      <c r="J20" s="979"/>
      <c r="K20" s="236"/>
      <c r="L20" s="824" t="str">
        <f>VLOOKUP(M20,TOV!$C$300:$G$447,TOV!$G$1,FALSE)</f>
        <v>structure</v>
      </c>
      <c r="M20" s="970" t="str">
        <f xml:space="preserve"> VLOOKUP(H20,CHOOSE({3,2,1},TOV!$C$300:$C$434,TOV!$D$300:$D$434,TOV!$E$300:$E$434),3,0)</f>
        <v>#5.78</v>
      </c>
      <c r="N20" s="971">
        <f>VLOOKUP(M20,TOV!$C$298:$G$447,TOV!$F$1,FALSE)</f>
        <v>6499.2427116848357</v>
      </c>
      <c r="O20" s="297"/>
      <c r="P20" s="122">
        <f t="shared" si="0"/>
        <v>0</v>
      </c>
      <c r="Q20" s="192"/>
      <c r="R20" s="191"/>
      <c r="S20" s="191"/>
      <c r="T20" s="191"/>
      <c r="U20" s="190"/>
      <c r="V20" s="474"/>
      <c r="W20" s="474"/>
      <c r="X20" s="474"/>
      <c r="Y20" s="474"/>
      <c r="Z20" s="474"/>
      <c r="AA20" s="474"/>
      <c r="AB20" s="474"/>
      <c r="AC20" s="474"/>
      <c r="AD20" s="474"/>
      <c r="AE20" s="474"/>
      <c r="AF20" s="474"/>
      <c r="AG20" s="475"/>
      <c r="AH20" s="475"/>
      <c r="AI20" s="475"/>
      <c r="AJ20" s="475"/>
      <c r="AK20" s="475"/>
      <c r="AL20" s="475"/>
      <c r="AM20" s="475"/>
      <c r="AN20" s="475"/>
      <c r="AO20" s="475"/>
      <c r="AP20" s="475"/>
      <c r="AQ20" s="475"/>
      <c r="AR20" s="475"/>
      <c r="AS20" s="475"/>
      <c r="AT20" s="475"/>
      <c r="AU20" s="475"/>
      <c r="AV20" s="475"/>
      <c r="AW20" s="475"/>
      <c r="AX20" s="475"/>
      <c r="AY20" s="475"/>
      <c r="AZ20" s="475"/>
      <c r="BA20" s="475"/>
      <c r="BB20" s="475"/>
      <c r="BC20" s="475"/>
      <c r="BD20" s="475"/>
      <c r="BE20" s="475"/>
      <c r="BF20" s="475"/>
      <c r="BG20" s="475"/>
      <c r="BH20" s="475"/>
      <c r="BI20" s="475"/>
      <c r="BJ20" s="475"/>
      <c r="BK20" s="475"/>
      <c r="BL20" s="475"/>
      <c r="BM20" s="475"/>
      <c r="BN20" s="475"/>
      <c r="BO20" s="475"/>
      <c r="BP20" s="475"/>
      <c r="BQ20" s="475"/>
      <c r="BS20" s="475"/>
      <c r="BT20" s="475"/>
      <c r="BU20" s="475"/>
      <c r="BV20" s="475"/>
      <c r="BW20" s="475"/>
      <c r="BX20" s="475"/>
      <c r="BY20" s="475"/>
      <c r="BZ20" s="475"/>
      <c r="CA20" s="475"/>
      <c r="CB20" s="475"/>
      <c r="CC20" s="475"/>
      <c r="CD20" s="475"/>
      <c r="CE20" s="475"/>
      <c r="CF20" s="475"/>
      <c r="CG20" s="475"/>
      <c r="CH20" s="475"/>
      <c r="CI20" s="475"/>
      <c r="CJ20" s="475"/>
      <c r="CK20" s="475"/>
      <c r="CL20" s="475"/>
      <c r="CM20" s="475"/>
      <c r="CN20" s="475"/>
      <c r="CO20" s="475"/>
      <c r="CP20" s="475"/>
      <c r="CQ20" s="475"/>
      <c r="CR20" s="475"/>
      <c r="CS20" s="475"/>
      <c r="CT20" s="475"/>
      <c r="CU20" s="475"/>
      <c r="CV20" s="475"/>
      <c r="CW20" s="475"/>
      <c r="CX20" s="475"/>
      <c r="CY20" s="475"/>
      <c r="CZ20" s="475"/>
      <c r="DA20" s="475"/>
      <c r="DB20" s="475"/>
      <c r="DC20" s="475"/>
      <c r="DD20" s="475"/>
      <c r="DE20" s="475"/>
      <c r="DF20" s="475"/>
      <c r="DG20" s="475"/>
      <c r="DH20" s="475"/>
      <c r="DI20" s="475"/>
      <c r="DJ20" s="475"/>
      <c r="DK20" s="475"/>
      <c r="DL20" s="475"/>
      <c r="DM20" s="475"/>
      <c r="DN20" s="475"/>
      <c r="DO20" s="475"/>
      <c r="DP20" s="475"/>
      <c r="DQ20" s="475"/>
      <c r="DR20" s="475"/>
      <c r="DS20" s="475"/>
      <c r="DT20" s="475"/>
      <c r="DU20" s="475"/>
      <c r="DV20" s="475"/>
      <c r="DW20" s="475"/>
      <c r="DX20" s="475"/>
      <c r="DY20" s="475"/>
      <c r="DZ20" s="475"/>
      <c r="EA20" s="475"/>
      <c r="EB20" s="475"/>
      <c r="EC20" s="475"/>
      <c r="ED20" s="475"/>
      <c r="EE20" s="475"/>
      <c r="EF20" s="475"/>
      <c r="EG20" s="475"/>
      <c r="EH20" s="475"/>
      <c r="EI20" s="475"/>
      <c r="EJ20" s="475"/>
      <c r="EK20" s="475"/>
      <c r="EL20" s="475"/>
      <c r="EM20" s="475"/>
      <c r="EN20" s="475"/>
      <c r="EO20" s="475"/>
      <c r="EP20" s="475"/>
      <c r="EQ20" s="475"/>
      <c r="ER20" s="475"/>
      <c r="ES20" s="475"/>
      <c r="ET20" s="475"/>
      <c r="EU20" s="475"/>
      <c r="EV20" s="475"/>
      <c r="EW20" s="475"/>
      <c r="EX20" s="475"/>
      <c r="FA20" s="975"/>
      <c r="FE20" s="976"/>
    </row>
    <row r="21" spans="2:161">
      <c r="B21" s="309"/>
      <c r="C21" s="824">
        <f t="shared" si="1"/>
        <v>12</v>
      </c>
      <c r="D21" s="1024"/>
      <c r="E21" s="79" t="s">
        <v>180</v>
      </c>
      <c r="F21" s="185" t="s">
        <v>1762</v>
      </c>
      <c r="G21" s="185" t="s">
        <v>93</v>
      </c>
      <c r="H21" s="973" t="str">
        <f t="shared" si="2"/>
        <v>Raw &gt; 4000 and &lt;= 5000 ML, Pasture</v>
      </c>
      <c r="I21" s="979"/>
      <c r="J21" s="979"/>
      <c r="K21" s="236"/>
      <c r="L21" s="824" t="str">
        <f>VLOOKUP(M21,TOV!$C$300:$G$447,TOV!$G$1,FALSE)</f>
        <v>structure</v>
      </c>
      <c r="M21" s="970" t="str">
        <f xml:space="preserve"> VLOOKUP(H21,CHOOSE({3,2,1},TOV!$C$300:$C$434,TOV!$D$300:$D$434,TOV!$E$300:$E$434),3,0)</f>
        <v>#5.62</v>
      </c>
      <c r="N21" s="971">
        <f>VLOOKUP(M21,TOV!$C$298:$G$447,TOV!$F$1,FALSE)</f>
        <v>2437038.7978495578</v>
      </c>
      <c r="O21" s="297"/>
      <c r="P21" s="122">
        <f t="shared" si="0"/>
        <v>0</v>
      </c>
      <c r="Q21" s="192"/>
      <c r="R21" s="191"/>
      <c r="S21" s="191"/>
      <c r="T21" s="191"/>
      <c r="U21" s="190"/>
      <c r="V21" s="474"/>
      <c r="W21" s="474"/>
      <c r="X21" s="474"/>
      <c r="Y21" s="474"/>
      <c r="Z21" s="474"/>
      <c r="AA21" s="474"/>
      <c r="AB21" s="474"/>
      <c r="AC21" s="474"/>
      <c r="AD21" s="474"/>
      <c r="AE21" s="474"/>
      <c r="AF21" s="474"/>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FA21" s="975"/>
      <c r="FE21" s="976"/>
    </row>
    <row r="22" spans="2:161">
      <c r="B22" s="309"/>
      <c r="C22" s="824">
        <f t="shared" si="1"/>
        <v>13</v>
      </c>
      <c r="D22" s="1024"/>
      <c r="E22" s="79" t="s">
        <v>180</v>
      </c>
      <c r="F22" s="185" t="s">
        <v>1762</v>
      </c>
      <c r="G22" s="185" t="s">
        <v>116</v>
      </c>
      <c r="H22" s="973" t="str">
        <f t="shared" si="2"/>
        <v>Raw &gt; 4000 and &lt;= 5000 ML, Native</v>
      </c>
      <c r="I22" s="979"/>
      <c r="J22" s="979"/>
      <c r="K22" s="236"/>
      <c r="L22" s="824" t="str">
        <f>VLOOKUP(M22,TOV!$C$300:$G$447,TOV!$G$1,FALSE)</f>
        <v>structure</v>
      </c>
      <c r="M22" s="970" t="str">
        <f xml:space="preserve"> VLOOKUP(H22,CHOOSE({3,2,1},TOV!$C$300:$C$434,TOV!$D$300:$D$434,TOV!$E$300:$E$434),3,0)</f>
        <v>#5.77</v>
      </c>
      <c r="N22" s="971">
        <f>VLOOKUP(M22,TOV!$C$298:$G$447,TOV!$F$1,FALSE)</f>
        <v>2589498.7978495578</v>
      </c>
      <c r="O22" s="297"/>
      <c r="P22" s="122">
        <f t="shared" si="0"/>
        <v>0</v>
      </c>
      <c r="Q22" s="192"/>
      <c r="R22" s="191"/>
      <c r="S22" s="191"/>
      <c r="T22" s="191"/>
      <c r="U22" s="190"/>
      <c r="V22" s="474"/>
      <c r="W22" s="474"/>
      <c r="X22" s="474"/>
      <c r="Y22" s="474"/>
      <c r="Z22" s="474"/>
      <c r="AA22" s="474"/>
      <c r="AB22" s="474"/>
      <c r="AC22" s="474"/>
      <c r="AD22" s="474"/>
      <c r="AE22" s="474"/>
      <c r="AF22" s="474"/>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S22" s="475"/>
      <c r="BT22" s="475"/>
      <c r="BU22" s="475"/>
      <c r="BV22" s="475"/>
      <c r="BW22" s="475"/>
      <c r="BX22" s="475"/>
      <c r="BY22" s="475"/>
      <c r="BZ22" s="475"/>
      <c r="CA22" s="475"/>
      <c r="CB22" s="475"/>
      <c r="CC22" s="475"/>
      <c r="CD22" s="475"/>
      <c r="CE22" s="475"/>
      <c r="CF22" s="475"/>
      <c r="CG22" s="475"/>
      <c r="CH22" s="475"/>
      <c r="CI22" s="475"/>
      <c r="CJ22" s="475"/>
      <c r="CK22" s="475"/>
      <c r="CL22" s="475"/>
      <c r="CM22" s="475"/>
      <c r="CN22" s="475"/>
      <c r="CO22" s="475"/>
      <c r="CP22" s="475"/>
      <c r="CQ22" s="475"/>
      <c r="CR22" s="475"/>
      <c r="CS22" s="475"/>
      <c r="CT22" s="475"/>
      <c r="CU22" s="475"/>
      <c r="CV22" s="475"/>
      <c r="CW22" s="475"/>
      <c r="CX22" s="475"/>
      <c r="CY22" s="475"/>
      <c r="CZ22" s="475"/>
      <c r="DA22" s="475"/>
      <c r="DB22" s="475"/>
      <c r="DC22" s="475"/>
      <c r="DD22" s="475"/>
      <c r="DE22" s="475"/>
      <c r="DF22" s="475"/>
      <c r="DG22" s="475"/>
      <c r="DH22" s="475"/>
      <c r="DI22" s="475"/>
      <c r="DJ22" s="475"/>
      <c r="DK22" s="475"/>
      <c r="DL22" s="475"/>
      <c r="DM22" s="475"/>
      <c r="DN22" s="475"/>
      <c r="DO22" s="475"/>
      <c r="DP22" s="475"/>
      <c r="DQ22" s="475"/>
      <c r="DR22" s="475"/>
      <c r="DS22" s="475"/>
      <c r="DT22" s="475"/>
      <c r="DU22" s="475"/>
      <c r="DV22" s="475"/>
      <c r="DW22" s="475"/>
      <c r="DX22" s="475"/>
      <c r="DY22" s="475"/>
      <c r="DZ22" s="475"/>
      <c r="EA22" s="475"/>
      <c r="EB22" s="475"/>
      <c r="EC22" s="475"/>
      <c r="ED22" s="475"/>
      <c r="EE22" s="475"/>
      <c r="EF22" s="475"/>
      <c r="EG22" s="475"/>
      <c r="EH22" s="475"/>
      <c r="EI22" s="475"/>
      <c r="EJ22" s="475"/>
      <c r="EK22" s="475"/>
      <c r="EL22" s="475"/>
      <c r="EM22" s="475"/>
      <c r="EN22" s="475"/>
      <c r="EO22" s="475"/>
      <c r="EP22" s="475"/>
      <c r="EQ22" s="475"/>
      <c r="ER22" s="475"/>
      <c r="ES22" s="475"/>
      <c r="ET22" s="475"/>
      <c r="EU22" s="475"/>
      <c r="EV22" s="475"/>
      <c r="EW22" s="475"/>
      <c r="EX22" s="475"/>
      <c r="FA22" s="975"/>
      <c r="FE22" s="976"/>
    </row>
    <row r="23" spans="2:161">
      <c r="B23" s="309"/>
      <c r="C23" s="824">
        <f t="shared" si="1"/>
        <v>14</v>
      </c>
      <c r="D23" s="1024"/>
      <c r="E23" s="79" t="s">
        <v>180</v>
      </c>
      <c r="F23" s="185" t="s">
        <v>1762</v>
      </c>
      <c r="G23" s="185" t="s">
        <v>47</v>
      </c>
      <c r="H23" s="973" t="str">
        <f t="shared" si="2"/>
        <v>Raw &gt; 4000 and &lt;= 5000 ML, Arid</v>
      </c>
      <c r="I23" s="979"/>
      <c r="J23" s="979"/>
      <c r="K23" s="236"/>
      <c r="L23" s="824" t="str">
        <f>VLOOKUP(M23,TOV!$C$300:$G$447,TOV!$G$1,FALSE)</f>
        <v>structure</v>
      </c>
      <c r="M23" s="970" t="str">
        <f xml:space="preserve"> VLOOKUP(H23,CHOOSE({3,2,1},TOV!$C$300:$C$434,TOV!$D$300:$D$434,TOV!$E$300:$E$434),3,0)</f>
        <v>#5.92</v>
      </c>
      <c r="N23" s="971">
        <f>VLOOKUP(M23,TOV!$C$298:$G$447,TOV!$F$1,FALSE)</f>
        <v>2059131.3024266518</v>
      </c>
      <c r="O23" s="297"/>
      <c r="P23" s="122">
        <f t="shared" si="0"/>
        <v>0</v>
      </c>
      <c r="Q23" s="192"/>
      <c r="R23" s="191"/>
      <c r="S23" s="191"/>
      <c r="T23" s="191"/>
      <c r="U23" s="190"/>
      <c r="V23" s="474"/>
      <c r="W23" s="474"/>
      <c r="X23" s="474"/>
      <c r="Y23" s="474"/>
      <c r="Z23" s="474"/>
      <c r="AA23" s="474"/>
      <c r="AB23" s="474"/>
      <c r="AC23" s="474"/>
      <c r="AD23" s="474"/>
      <c r="AE23" s="474"/>
      <c r="AF23" s="474"/>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5"/>
      <c r="BN23" s="475"/>
      <c r="BO23" s="475"/>
      <c r="BP23" s="475"/>
      <c r="BQ23" s="475"/>
      <c r="BS23" s="475"/>
      <c r="BT23" s="475"/>
      <c r="BU23" s="475"/>
      <c r="BV23" s="475"/>
      <c r="BW23" s="475"/>
      <c r="BX23" s="475"/>
      <c r="BY23" s="475"/>
      <c r="BZ23" s="475"/>
      <c r="CA23" s="475"/>
      <c r="CB23" s="475"/>
      <c r="CC23" s="475"/>
      <c r="CD23" s="475"/>
      <c r="CE23" s="475"/>
      <c r="CF23" s="475"/>
      <c r="CG23" s="475"/>
      <c r="CH23" s="475"/>
      <c r="CI23" s="475"/>
      <c r="CJ23" s="475"/>
      <c r="CK23" s="475"/>
      <c r="CL23" s="475"/>
      <c r="CM23" s="475"/>
      <c r="CN23" s="475"/>
      <c r="CO23" s="475"/>
      <c r="CP23" s="475"/>
      <c r="CQ23" s="475"/>
      <c r="CR23" s="475"/>
      <c r="CS23" s="475"/>
      <c r="CT23" s="475"/>
      <c r="CU23" s="475"/>
      <c r="CV23" s="475"/>
      <c r="CW23" s="475"/>
      <c r="CX23" s="475"/>
      <c r="CY23" s="475"/>
      <c r="CZ23" s="475"/>
      <c r="DA23" s="475"/>
      <c r="DB23" s="475"/>
      <c r="DC23" s="475"/>
      <c r="DD23" s="475"/>
      <c r="DE23" s="475"/>
      <c r="DF23" s="475"/>
      <c r="DG23" s="475"/>
      <c r="DH23" s="475"/>
      <c r="DI23" s="475"/>
      <c r="DJ23" s="475"/>
      <c r="DK23" s="475"/>
      <c r="DL23" s="475"/>
      <c r="DM23" s="475"/>
      <c r="DN23" s="475"/>
      <c r="DO23" s="475"/>
      <c r="DP23" s="475"/>
      <c r="DQ23" s="475"/>
      <c r="DR23" s="475"/>
      <c r="DS23" s="475"/>
      <c r="DT23" s="475"/>
      <c r="DU23" s="475"/>
      <c r="DV23" s="475"/>
      <c r="DW23" s="475"/>
      <c r="DX23" s="475"/>
      <c r="DY23" s="475"/>
      <c r="DZ23" s="475"/>
      <c r="EA23" s="475"/>
      <c r="EB23" s="475"/>
      <c r="EC23" s="475"/>
      <c r="ED23" s="475"/>
      <c r="EE23" s="475"/>
      <c r="EF23" s="475"/>
      <c r="EG23" s="475"/>
      <c r="EH23" s="475"/>
      <c r="EI23" s="475"/>
      <c r="EJ23" s="475"/>
      <c r="EK23" s="475"/>
      <c r="EL23" s="475"/>
      <c r="EM23" s="475"/>
      <c r="EN23" s="475"/>
      <c r="EO23" s="475"/>
      <c r="EP23" s="475"/>
      <c r="EQ23" s="475"/>
      <c r="ER23" s="475"/>
      <c r="ES23" s="475"/>
      <c r="ET23" s="475"/>
      <c r="EU23" s="475"/>
      <c r="EV23" s="475"/>
      <c r="EW23" s="475"/>
      <c r="EX23" s="475"/>
      <c r="FA23" s="975"/>
      <c r="FE23" s="976"/>
    </row>
    <row r="24" spans="2:161">
      <c r="B24" s="309"/>
      <c r="C24" s="824">
        <f t="shared" si="1"/>
        <v>15</v>
      </c>
      <c r="D24" s="1024"/>
      <c r="E24" s="79" t="s">
        <v>181</v>
      </c>
      <c r="F24" s="185" t="s">
        <v>1761</v>
      </c>
      <c r="G24" s="185" t="s">
        <v>93</v>
      </c>
      <c r="H24" s="973" t="str">
        <f t="shared" si="2"/>
        <v>Evaporation and other &gt; 0 and &lt;= 1 ML, Pasture</v>
      </c>
      <c r="I24" s="979"/>
      <c r="J24" s="979"/>
      <c r="K24" s="236"/>
      <c r="L24" s="824" t="str">
        <f>VLOOKUP(M24,TOV!$C$300:$G$447,TOV!$G$1,FALSE)</f>
        <v>structure</v>
      </c>
      <c r="M24" s="970" t="str">
        <f xml:space="preserve"> VLOOKUP(H24,CHOOSE({3,2,1},TOV!$C$300:$C$434,TOV!$D$300:$D$434,TOV!$E$300:$E$434),3,0)</f>
        <v>#5.93</v>
      </c>
      <c r="N24" s="971">
        <f>VLOOKUP(M24,TOV!$C$298:$G$447,TOV!$F$1,FALSE)</f>
        <v>4757.9697833637501</v>
      </c>
      <c r="O24" s="297"/>
      <c r="P24" s="122">
        <f t="shared" si="0"/>
        <v>0</v>
      </c>
      <c r="Q24" s="192"/>
      <c r="R24" s="191"/>
      <c r="S24" s="191"/>
      <c r="T24" s="191"/>
      <c r="U24" s="190"/>
      <c r="V24" s="474"/>
      <c r="W24" s="474"/>
      <c r="X24" s="474"/>
      <c r="Y24" s="474"/>
      <c r="Z24" s="474"/>
      <c r="AA24" s="474"/>
      <c r="AB24" s="474"/>
      <c r="AC24" s="474"/>
      <c r="AD24" s="474"/>
      <c r="AE24" s="474"/>
      <c r="AF24" s="474"/>
      <c r="AG24" s="475"/>
      <c r="AH24" s="475"/>
      <c r="AI24" s="475"/>
      <c r="AJ24" s="475"/>
      <c r="AK24" s="475"/>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c r="BI24" s="475"/>
      <c r="BJ24" s="475"/>
      <c r="BK24" s="475"/>
      <c r="BL24" s="475"/>
      <c r="BM24" s="475"/>
      <c r="BN24" s="475"/>
      <c r="BO24" s="475"/>
      <c r="BP24" s="475"/>
      <c r="BQ24" s="475"/>
      <c r="BS24" s="475"/>
      <c r="BT24" s="475"/>
      <c r="BU24" s="475"/>
      <c r="BV24" s="475"/>
      <c r="BW24" s="475"/>
      <c r="BX24" s="475"/>
      <c r="BY24" s="475"/>
      <c r="BZ24" s="475"/>
      <c r="CA24" s="475"/>
      <c r="CB24" s="475"/>
      <c r="CC24" s="475"/>
      <c r="CD24" s="475"/>
      <c r="CE24" s="475"/>
      <c r="CF24" s="475"/>
      <c r="CG24" s="475"/>
      <c r="CH24" s="475"/>
      <c r="CI24" s="475"/>
      <c r="CJ24" s="475"/>
      <c r="CK24" s="475"/>
      <c r="CL24" s="475"/>
      <c r="CM24" s="475"/>
      <c r="CN24" s="475"/>
      <c r="CO24" s="475"/>
      <c r="CP24" s="475"/>
      <c r="CQ24" s="475"/>
      <c r="CR24" s="475"/>
      <c r="CS24" s="475"/>
      <c r="CT24" s="475"/>
      <c r="CU24" s="475"/>
      <c r="CV24" s="475"/>
      <c r="CW24" s="475"/>
      <c r="CX24" s="475"/>
      <c r="CY24" s="475"/>
      <c r="CZ24" s="475"/>
      <c r="DA24" s="475"/>
      <c r="DB24" s="475"/>
      <c r="DC24" s="475"/>
      <c r="DD24" s="475"/>
      <c r="DE24" s="475"/>
      <c r="DF24" s="475"/>
      <c r="DG24" s="475"/>
      <c r="DH24" s="475"/>
      <c r="DI24" s="475"/>
      <c r="DJ24" s="475"/>
      <c r="DK24" s="475"/>
      <c r="DL24" s="475"/>
      <c r="DM24" s="475"/>
      <c r="DN24" s="475"/>
      <c r="DO24" s="475"/>
      <c r="DP24" s="475"/>
      <c r="DQ24" s="475"/>
      <c r="DR24" s="475"/>
      <c r="DS24" s="475"/>
      <c r="DT24" s="475"/>
      <c r="DU24" s="475"/>
      <c r="DV24" s="475"/>
      <c r="DW24" s="475"/>
      <c r="DX24" s="475"/>
      <c r="DY24" s="475"/>
      <c r="DZ24" s="475"/>
      <c r="EA24" s="475"/>
      <c r="EB24" s="475"/>
      <c r="EC24" s="475"/>
      <c r="ED24" s="475"/>
      <c r="EE24" s="475"/>
      <c r="EF24" s="475"/>
      <c r="EG24" s="475"/>
      <c r="EH24" s="475"/>
      <c r="EI24" s="475"/>
      <c r="EJ24" s="475"/>
      <c r="EK24" s="475"/>
      <c r="EL24" s="475"/>
      <c r="EM24" s="475"/>
      <c r="EN24" s="475"/>
      <c r="EO24" s="475"/>
      <c r="EP24" s="475"/>
      <c r="EQ24" s="475"/>
      <c r="ER24" s="475"/>
      <c r="ES24" s="475"/>
      <c r="ET24" s="475"/>
      <c r="EU24" s="475"/>
      <c r="EV24" s="475"/>
      <c r="EW24" s="475"/>
      <c r="EX24" s="475"/>
      <c r="FA24" s="975"/>
      <c r="FE24" s="976"/>
    </row>
    <row r="25" spans="2:161">
      <c r="B25" s="309"/>
      <c r="C25" s="824">
        <f t="shared" si="1"/>
        <v>16</v>
      </c>
      <c r="D25" s="1024"/>
      <c r="E25" s="79" t="s">
        <v>181</v>
      </c>
      <c r="F25" s="185" t="s">
        <v>1761</v>
      </c>
      <c r="G25" s="185" t="s">
        <v>116</v>
      </c>
      <c r="H25" s="973" t="str">
        <f t="shared" si="2"/>
        <v>Evaporation and other &gt; 0 and &lt;= 1 ML, Native</v>
      </c>
      <c r="I25" s="979"/>
      <c r="J25" s="979"/>
      <c r="K25" s="236"/>
      <c r="L25" s="824" t="str">
        <f>VLOOKUP(M25,TOV!$C$300:$G$447,TOV!$G$1,FALSE)</f>
        <v>structure</v>
      </c>
      <c r="M25" s="970" t="str">
        <f xml:space="preserve"> VLOOKUP(H25,CHOOSE({3,2,1},TOV!$C$300:$C$434,TOV!$D$300:$D$434,TOV!$E$300:$E$434),3,0)</f>
        <v>#5.108</v>
      </c>
      <c r="N25" s="971">
        <f>VLOOKUP(M25,TOV!$C$298:$G$447,TOV!$F$1,FALSE)</f>
        <v>5012.0697833637496</v>
      </c>
      <c r="O25" s="297"/>
      <c r="P25" s="122">
        <f t="shared" si="0"/>
        <v>0</v>
      </c>
      <c r="Q25" s="192"/>
      <c r="R25" s="191"/>
      <c r="S25" s="191"/>
      <c r="T25" s="191"/>
      <c r="U25" s="190"/>
      <c r="V25" s="474"/>
      <c r="W25" s="474"/>
      <c r="X25" s="474"/>
      <c r="Y25" s="474"/>
      <c r="Z25" s="474"/>
      <c r="AA25" s="474"/>
      <c r="AB25" s="474"/>
      <c r="AC25" s="474"/>
      <c r="AD25" s="474"/>
      <c r="AE25" s="474"/>
      <c r="AF25" s="474"/>
      <c r="AG25" s="475"/>
      <c r="AH25" s="475"/>
      <c r="AI25" s="475"/>
      <c r="AJ25" s="475"/>
      <c r="AK25" s="475"/>
      <c r="AL25" s="475"/>
      <c r="AM25" s="475"/>
      <c r="AN25" s="475"/>
      <c r="AO25" s="475"/>
      <c r="AP25" s="475"/>
      <c r="AQ25" s="475"/>
      <c r="AR25" s="475"/>
      <c r="AS25" s="475"/>
      <c r="AT25" s="475"/>
      <c r="AU25" s="475"/>
      <c r="AV25" s="475"/>
      <c r="AW25" s="475"/>
      <c r="AX25" s="475"/>
      <c r="AY25" s="475"/>
      <c r="AZ25" s="475"/>
      <c r="BA25" s="475"/>
      <c r="BB25" s="475"/>
      <c r="BC25" s="475"/>
      <c r="BD25" s="475"/>
      <c r="BE25" s="475"/>
      <c r="BF25" s="475"/>
      <c r="BG25" s="475"/>
      <c r="BH25" s="475"/>
      <c r="BI25" s="475"/>
      <c r="BJ25" s="475"/>
      <c r="BK25" s="475"/>
      <c r="BL25" s="475"/>
      <c r="BM25" s="475"/>
      <c r="BN25" s="475"/>
      <c r="BO25" s="475"/>
      <c r="BP25" s="475"/>
      <c r="BQ25" s="475"/>
      <c r="BS25" s="475"/>
      <c r="BT25" s="475"/>
      <c r="BU25" s="475"/>
      <c r="BV25" s="475"/>
      <c r="BW25" s="475"/>
      <c r="BX25" s="475"/>
      <c r="BY25" s="475"/>
      <c r="BZ25" s="475"/>
      <c r="CA25" s="475"/>
      <c r="CB25" s="475"/>
      <c r="CC25" s="475"/>
      <c r="CD25" s="475"/>
      <c r="CE25" s="475"/>
      <c r="CF25" s="475"/>
      <c r="CG25" s="475"/>
      <c r="CH25" s="475"/>
      <c r="CI25" s="475"/>
      <c r="CJ25" s="475"/>
      <c r="CK25" s="475"/>
      <c r="CL25" s="475"/>
      <c r="CM25" s="475"/>
      <c r="CN25" s="475"/>
      <c r="CO25" s="475"/>
      <c r="CP25" s="475"/>
      <c r="CQ25" s="475"/>
      <c r="CR25" s="475"/>
      <c r="CS25" s="475"/>
      <c r="CT25" s="475"/>
      <c r="CU25" s="475"/>
      <c r="CV25" s="475"/>
      <c r="CW25" s="475"/>
      <c r="CX25" s="475"/>
      <c r="CY25" s="475"/>
      <c r="CZ25" s="475"/>
      <c r="DA25" s="475"/>
      <c r="DB25" s="475"/>
      <c r="DC25" s="475"/>
      <c r="DD25" s="475"/>
      <c r="DE25" s="475"/>
      <c r="DF25" s="475"/>
      <c r="DG25" s="475"/>
      <c r="DH25" s="475"/>
      <c r="DI25" s="475"/>
      <c r="DJ25" s="475"/>
      <c r="DK25" s="475"/>
      <c r="DL25" s="475"/>
      <c r="DM25" s="475"/>
      <c r="DN25" s="475"/>
      <c r="DO25" s="475"/>
      <c r="DP25" s="475"/>
      <c r="DQ25" s="475"/>
      <c r="DR25" s="475"/>
      <c r="DS25" s="475"/>
      <c r="DT25" s="475"/>
      <c r="DU25" s="475"/>
      <c r="DV25" s="475"/>
      <c r="DW25" s="475"/>
      <c r="DX25" s="475"/>
      <c r="DY25" s="475"/>
      <c r="DZ25" s="475"/>
      <c r="EA25" s="475"/>
      <c r="EB25" s="475"/>
      <c r="EC25" s="475"/>
      <c r="ED25" s="475"/>
      <c r="EE25" s="475"/>
      <c r="EF25" s="475"/>
      <c r="EG25" s="475"/>
      <c r="EH25" s="475"/>
      <c r="EI25" s="475"/>
      <c r="EJ25" s="475"/>
      <c r="EK25" s="475"/>
      <c r="EL25" s="475"/>
      <c r="EM25" s="475"/>
      <c r="EN25" s="475"/>
      <c r="EO25" s="475"/>
      <c r="EP25" s="475"/>
      <c r="EQ25" s="475"/>
      <c r="ER25" s="475"/>
      <c r="ES25" s="475"/>
      <c r="ET25" s="475"/>
      <c r="EU25" s="475"/>
      <c r="EV25" s="475"/>
      <c r="EW25" s="475"/>
      <c r="EX25" s="475"/>
      <c r="FA25" s="975"/>
      <c r="FE25" s="976"/>
    </row>
    <row r="26" spans="2:161">
      <c r="B26" s="309"/>
      <c r="C26" s="824">
        <f t="shared" si="1"/>
        <v>17</v>
      </c>
      <c r="D26" s="1024"/>
      <c r="E26" s="79" t="s">
        <v>181</v>
      </c>
      <c r="F26" s="185" t="s">
        <v>1761</v>
      </c>
      <c r="G26" s="185" t="s">
        <v>47</v>
      </c>
      <c r="H26" s="973" t="str">
        <f t="shared" si="2"/>
        <v>Evaporation and other &gt; 0 and &lt;= 1 ML, Arid</v>
      </c>
      <c r="I26" s="979"/>
      <c r="J26" s="979"/>
      <c r="K26" s="236"/>
      <c r="L26" s="824" t="str">
        <f>VLOOKUP(M26,TOV!$C$300:$G$447,TOV!$G$1,FALSE)</f>
        <v>structure</v>
      </c>
      <c r="M26" s="970" t="str">
        <f xml:space="preserve"> VLOOKUP(H26,CHOOSE({3,2,1},TOV!$C$300:$C$434,TOV!$D$300:$D$434,TOV!$E$300:$E$434),3,0)</f>
        <v>#5.123</v>
      </c>
      <c r="N26" s="971">
        <f>VLOOKUP(M26,TOV!$C$298:$G$447,TOV!$F$1,FALSE)</f>
        <v>4592.41978336375</v>
      </c>
      <c r="O26" s="297"/>
      <c r="P26" s="122">
        <f t="shared" si="0"/>
        <v>0</v>
      </c>
      <c r="Q26" s="192"/>
      <c r="R26" s="191"/>
      <c r="S26" s="191"/>
      <c r="T26" s="191"/>
      <c r="U26" s="190"/>
      <c r="V26" s="474"/>
      <c r="W26" s="474"/>
      <c r="X26" s="474"/>
      <c r="Y26" s="474"/>
      <c r="Z26" s="474"/>
      <c r="AA26" s="474"/>
      <c r="AB26" s="474"/>
      <c r="AC26" s="474"/>
      <c r="AD26" s="474"/>
      <c r="AE26" s="474"/>
      <c r="AF26" s="474"/>
      <c r="AG26" s="475"/>
      <c r="AH26" s="475"/>
      <c r="AI26" s="475"/>
      <c r="AJ26" s="475"/>
      <c r="AK26" s="475"/>
      <c r="AL26" s="475"/>
      <c r="AM26" s="475"/>
      <c r="AN26" s="475"/>
      <c r="AO26" s="475"/>
      <c r="AP26" s="475"/>
      <c r="AQ26" s="475"/>
      <c r="AR26" s="475"/>
      <c r="AS26" s="475"/>
      <c r="AT26" s="475"/>
      <c r="AU26" s="475"/>
      <c r="AV26" s="475"/>
      <c r="AW26" s="475"/>
      <c r="AX26" s="475"/>
      <c r="AY26" s="475"/>
      <c r="AZ26" s="475"/>
      <c r="BA26" s="475"/>
      <c r="BB26" s="475"/>
      <c r="BC26" s="475"/>
      <c r="BD26" s="475"/>
      <c r="BE26" s="475"/>
      <c r="BF26" s="475"/>
      <c r="BG26" s="475"/>
      <c r="BH26" s="475"/>
      <c r="BI26" s="475"/>
      <c r="BJ26" s="475"/>
      <c r="BK26" s="475"/>
      <c r="BL26" s="475"/>
      <c r="BM26" s="475"/>
      <c r="BN26" s="475"/>
      <c r="BO26" s="475"/>
      <c r="BP26" s="475"/>
      <c r="BQ26" s="475"/>
      <c r="BS26" s="475"/>
      <c r="BT26" s="475"/>
      <c r="BU26" s="475"/>
      <c r="BV26" s="475"/>
      <c r="BW26" s="475"/>
      <c r="BX26" s="475"/>
      <c r="BY26" s="475"/>
      <c r="BZ26" s="475"/>
      <c r="CA26" s="475"/>
      <c r="CB26" s="475"/>
      <c r="CC26" s="475"/>
      <c r="CD26" s="475"/>
      <c r="CE26" s="475"/>
      <c r="CF26" s="475"/>
      <c r="CG26" s="475"/>
      <c r="CH26" s="475"/>
      <c r="CI26" s="475"/>
      <c r="CJ26" s="475"/>
      <c r="CK26" s="475"/>
      <c r="CL26" s="475"/>
      <c r="CM26" s="475"/>
      <c r="CN26" s="475"/>
      <c r="CO26" s="475"/>
      <c r="CP26" s="475"/>
      <c r="CQ26" s="475"/>
      <c r="CR26" s="475"/>
      <c r="CS26" s="475"/>
      <c r="CT26" s="475"/>
      <c r="CU26" s="475"/>
      <c r="CV26" s="475"/>
      <c r="CW26" s="475"/>
      <c r="CX26" s="475"/>
      <c r="CY26" s="475"/>
      <c r="CZ26" s="475"/>
      <c r="DA26" s="475"/>
      <c r="DB26" s="475"/>
      <c r="DC26" s="475"/>
      <c r="DD26" s="475"/>
      <c r="DE26" s="475"/>
      <c r="DF26" s="475"/>
      <c r="DG26" s="475"/>
      <c r="DH26" s="475"/>
      <c r="DI26" s="475"/>
      <c r="DJ26" s="475"/>
      <c r="DK26" s="475"/>
      <c r="DL26" s="475"/>
      <c r="DM26" s="475"/>
      <c r="DN26" s="475"/>
      <c r="DO26" s="475"/>
      <c r="DP26" s="475"/>
      <c r="DQ26" s="475"/>
      <c r="DR26" s="475"/>
      <c r="DS26" s="475"/>
      <c r="DT26" s="475"/>
      <c r="DU26" s="475"/>
      <c r="DV26" s="475"/>
      <c r="DW26" s="475"/>
      <c r="DX26" s="475"/>
      <c r="DY26" s="475"/>
      <c r="DZ26" s="475"/>
      <c r="EA26" s="475"/>
      <c r="EB26" s="475"/>
      <c r="EC26" s="475"/>
      <c r="ED26" s="475"/>
      <c r="EE26" s="475"/>
      <c r="EF26" s="475"/>
      <c r="EG26" s="475"/>
      <c r="EH26" s="475"/>
      <c r="EI26" s="475"/>
      <c r="EJ26" s="475"/>
      <c r="EK26" s="475"/>
      <c r="EL26" s="475"/>
      <c r="EM26" s="475"/>
      <c r="EN26" s="475"/>
      <c r="EO26" s="475"/>
      <c r="EP26" s="475"/>
      <c r="EQ26" s="475"/>
      <c r="ER26" s="475"/>
      <c r="ES26" s="475"/>
      <c r="ET26" s="475"/>
      <c r="EU26" s="475"/>
      <c r="EV26" s="475"/>
      <c r="EW26" s="475"/>
      <c r="EX26" s="475"/>
      <c r="FA26" s="975"/>
      <c r="FE26" s="976"/>
    </row>
    <row r="27" spans="2:161">
      <c r="B27" s="309"/>
      <c r="C27" s="824">
        <f t="shared" si="1"/>
        <v>18</v>
      </c>
      <c r="D27" s="1024"/>
      <c r="E27" s="79" t="s">
        <v>181</v>
      </c>
      <c r="F27" s="185" t="s">
        <v>1762</v>
      </c>
      <c r="G27" s="185" t="s">
        <v>93</v>
      </c>
      <c r="H27" s="973" t="str">
        <f t="shared" si="2"/>
        <v>Evaporation and other &gt; 4000 and &lt;= 5000 ML, Pasture</v>
      </c>
      <c r="I27" s="979"/>
      <c r="J27" s="979"/>
      <c r="K27" s="236"/>
      <c r="L27" s="824" t="str">
        <f>VLOOKUP(M27,TOV!$C$300:$G$447,TOV!$G$1,FALSE)</f>
        <v>structure</v>
      </c>
      <c r="M27" s="970" t="str">
        <f xml:space="preserve"> VLOOKUP(H27,CHOOSE({3,2,1},TOV!$C$300:$C$434,TOV!$D$300:$D$434,TOV!$E$300:$E$434),3,0)</f>
        <v>#5.107</v>
      </c>
      <c r="N27" s="971">
        <f>VLOOKUP(M27,TOV!$C$298:$G$447,TOV!$F$1,FALSE)</f>
        <v>1534273.5517756077</v>
      </c>
      <c r="O27" s="297"/>
      <c r="P27" s="122">
        <f t="shared" si="0"/>
        <v>0</v>
      </c>
      <c r="Q27" s="192"/>
      <c r="R27" s="191"/>
      <c r="S27" s="191"/>
      <c r="T27" s="191"/>
      <c r="U27" s="190"/>
      <c r="V27" s="474"/>
      <c r="W27" s="474"/>
      <c r="X27" s="474"/>
      <c r="Y27" s="474"/>
      <c r="Z27" s="474"/>
      <c r="AA27" s="474"/>
      <c r="AB27" s="474"/>
      <c r="AC27" s="474"/>
      <c r="AD27" s="474"/>
      <c r="AE27" s="474"/>
      <c r="AF27" s="474"/>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S27" s="475"/>
      <c r="BT27" s="475"/>
      <c r="BU27" s="475"/>
      <c r="BV27" s="475"/>
      <c r="BW27" s="475"/>
      <c r="BX27" s="475"/>
      <c r="BY27" s="475"/>
      <c r="BZ27" s="475"/>
      <c r="CA27" s="475"/>
      <c r="CB27" s="475"/>
      <c r="CC27" s="475"/>
      <c r="CD27" s="475"/>
      <c r="CE27" s="475"/>
      <c r="CF27" s="475"/>
      <c r="CG27" s="475"/>
      <c r="CH27" s="475"/>
      <c r="CI27" s="475"/>
      <c r="CJ27" s="475"/>
      <c r="CK27" s="475"/>
      <c r="CL27" s="475"/>
      <c r="CM27" s="475"/>
      <c r="CN27" s="475"/>
      <c r="CO27" s="475"/>
      <c r="CP27" s="475"/>
      <c r="CQ27" s="475"/>
      <c r="CR27" s="475"/>
      <c r="CS27" s="475"/>
      <c r="CT27" s="475"/>
      <c r="CU27" s="475"/>
      <c r="CV27" s="475"/>
      <c r="CW27" s="475"/>
      <c r="CX27" s="475"/>
      <c r="CY27" s="475"/>
      <c r="CZ27" s="475"/>
      <c r="DA27" s="475"/>
      <c r="DB27" s="475"/>
      <c r="DC27" s="475"/>
      <c r="DD27" s="475"/>
      <c r="DE27" s="475"/>
      <c r="DF27" s="475"/>
      <c r="DG27" s="475"/>
      <c r="DH27" s="475"/>
      <c r="DI27" s="475"/>
      <c r="DJ27" s="475"/>
      <c r="DK27" s="475"/>
      <c r="DL27" s="475"/>
      <c r="DM27" s="475"/>
      <c r="DN27" s="475"/>
      <c r="DO27" s="475"/>
      <c r="DP27" s="475"/>
      <c r="DQ27" s="475"/>
      <c r="DR27" s="475"/>
      <c r="DS27" s="475"/>
      <c r="DT27" s="475"/>
      <c r="DU27" s="475"/>
      <c r="DV27" s="475"/>
      <c r="DW27" s="475"/>
      <c r="DX27" s="475"/>
      <c r="DY27" s="475"/>
      <c r="DZ27" s="475"/>
      <c r="EA27" s="475"/>
      <c r="EB27" s="475"/>
      <c r="EC27" s="475"/>
      <c r="ED27" s="475"/>
      <c r="EE27" s="475"/>
      <c r="EF27" s="475"/>
      <c r="EG27" s="475"/>
      <c r="EH27" s="475"/>
      <c r="EI27" s="475"/>
      <c r="EJ27" s="475"/>
      <c r="EK27" s="475"/>
      <c r="EL27" s="475"/>
      <c r="EM27" s="475"/>
      <c r="EN27" s="475"/>
      <c r="EO27" s="475"/>
      <c r="EP27" s="475"/>
      <c r="EQ27" s="475"/>
      <c r="ER27" s="475"/>
      <c r="ES27" s="475"/>
      <c r="ET27" s="475"/>
      <c r="EU27" s="475"/>
      <c r="EV27" s="475"/>
      <c r="EW27" s="475"/>
      <c r="EX27" s="475"/>
      <c r="FA27" s="975"/>
      <c r="FE27" s="976"/>
    </row>
    <row r="28" spans="2:161">
      <c r="B28" s="309"/>
      <c r="C28" s="824">
        <f t="shared" si="1"/>
        <v>19</v>
      </c>
      <c r="D28" s="1024"/>
      <c r="E28" s="79" t="s">
        <v>181</v>
      </c>
      <c r="F28" s="185" t="s">
        <v>1762</v>
      </c>
      <c r="G28" s="185" t="s">
        <v>116</v>
      </c>
      <c r="H28" s="973" t="str">
        <f t="shared" si="2"/>
        <v>Evaporation and other &gt; 4000 and &lt;= 5000 ML, Native</v>
      </c>
      <c r="I28" s="979"/>
      <c r="J28" s="979"/>
      <c r="K28" s="236"/>
      <c r="L28" s="824" t="str">
        <f>VLOOKUP(M28,TOV!$C$300:$G$447,TOV!$G$1,FALSE)</f>
        <v>structure</v>
      </c>
      <c r="M28" s="970" t="str">
        <f xml:space="preserve"> VLOOKUP(H28,CHOOSE({3,2,1},TOV!$C$300:$C$434,TOV!$D$300:$D$434,TOV!$E$300:$E$434),3,0)</f>
        <v>#5.122</v>
      </c>
      <c r="N28" s="971">
        <f>VLOOKUP(M28,TOV!$C$298:$G$447,TOV!$F$1,FALSE)</f>
        <v>1686733.5517756077</v>
      </c>
      <c r="O28" s="297"/>
      <c r="P28" s="122">
        <f t="shared" si="0"/>
        <v>0</v>
      </c>
      <c r="Q28" s="192"/>
      <c r="R28" s="191"/>
      <c r="S28" s="191"/>
      <c r="T28" s="191"/>
      <c r="U28" s="190"/>
      <c r="V28" s="474"/>
      <c r="W28" s="474"/>
      <c r="X28" s="474"/>
      <c r="Y28" s="474"/>
      <c r="Z28" s="474"/>
      <c r="AA28" s="474"/>
      <c r="AB28" s="474"/>
      <c r="AC28" s="474"/>
      <c r="AD28" s="474"/>
      <c r="AE28" s="474"/>
      <c r="AF28" s="474"/>
      <c r="AG28" s="475"/>
      <c r="AH28" s="475"/>
      <c r="AI28" s="475"/>
      <c r="AJ28" s="475"/>
      <c r="AK28" s="475"/>
      <c r="AL28" s="475"/>
      <c r="AM28" s="475"/>
      <c r="AN28" s="475"/>
      <c r="AO28" s="475"/>
      <c r="AP28" s="475"/>
      <c r="AQ28" s="475"/>
      <c r="AR28" s="475"/>
      <c r="AS28" s="475"/>
      <c r="AT28" s="475"/>
      <c r="AU28" s="475"/>
      <c r="AV28" s="475"/>
      <c r="AW28" s="475"/>
      <c r="AX28" s="475"/>
      <c r="AY28" s="475"/>
      <c r="AZ28" s="475"/>
      <c r="BA28" s="475"/>
      <c r="BB28" s="475"/>
      <c r="BC28" s="475"/>
      <c r="BD28" s="475"/>
      <c r="BE28" s="475"/>
      <c r="BF28" s="475"/>
      <c r="BG28" s="475"/>
      <c r="BH28" s="475"/>
      <c r="BI28" s="475"/>
      <c r="BJ28" s="475"/>
      <c r="BK28" s="475"/>
      <c r="BL28" s="475"/>
      <c r="BM28" s="475"/>
      <c r="BN28" s="475"/>
      <c r="BO28" s="475"/>
      <c r="BP28" s="475"/>
      <c r="BQ28" s="475"/>
      <c r="BS28" s="475"/>
      <c r="BT28" s="475"/>
      <c r="BU28" s="475"/>
      <c r="BV28" s="475"/>
      <c r="BW28" s="475"/>
      <c r="BX28" s="475"/>
      <c r="BY28" s="475"/>
      <c r="BZ28" s="475"/>
      <c r="CA28" s="475"/>
      <c r="CB28" s="475"/>
      <c r="CC28" s="475"/>
      <c r="CD28" s="475"/>
      <c r="CE28" s="475"/>
      <c r="CF28" s="475"/>
      <c r="CG28" s="475"/>
      <c r="CH28" s="475"/>
      <c r="CI28" s="475"/>
      <c r="CJ28" s="475"/>
      <c r="CK28" s="475"/>
      <c r="CL28" s="475"/>
      <c r="CM28" s="475"/>
      <c r="CN28" s="475"/>
      <c r="CO28" s="475"/>
      <c r="CP28" s="475"/>
      <c r="CQ28" s="475"/>
      <c r="CR28" s="475"/>
      <c r="CS28" s="475"/>
      <c r="CT28" s="475"/>
      <c r="CU28" s="475"/>
      <c r="CV28" s="475"/>
      <c r="CW28" s="475"/>
      <c r="CX28" s="475"/>
      <c r="CY28" s="475"/>
      <c r="CZ28" s="475"/>
      <c r="DA28" s="475"/>
      <c r="DB28" s="475"/>
      <c r="DC28" s="475"/>
      <c r="DD28" s="475"/>
      <c r="DE28" s="475"/>
      <c r="DF28" s="475"/>
      <c r="DG28" s="475"/>
      <c r="DH28" s="475"/>
      <c r="DI28" s="475"/>
      <c r="DJ28" s="475"/>
      <c r="DK28" s="475"/>
      <c r="DL28" s="475"/>
      <c r="DM28" s="475"/>
      <c r="DN28" s="475"/>
      <c r="DO28" s="475"/>
      <c r="DP28" s="475"/>
      <c r="DQ28" s="475"/>
      <c r="DR28" s="475"/>
      <c r="DS28" s="475"/>
      <c r="DT28" s="475"/>
      <c r="DU28" s="475"/>
      <c r="DV28" s="475"/>
      <c r="DW28" s="475"/>
      <c r="DX28" s="475"/>
      <c r="DY28" s="475"/>
      <c r="DZ28" s="475"/>
      <c r="EA28" s="475"/>
      <c r="EB28" s="475"/>
      <c r="EC28" s="475"/>
      <c r="ED28" s="475"/>
      <c r="EE28" s="475"/>
      <c r="EF28" s="475"/>
      <c r="EG28" s="475"/>
      <c r="EH28" s="475"/>
      <c r="EI28" s="475"/>
      <c r="EJ28" s="475"/>
      <c r="EK28" s="475"/>
      <c r="EL28" s="475"/>
      <c r="EM28" s="475"/>
      <c r="EN28" s="475"/>
      <c r="EO28" s="475"/>
      <c r="EP28" s="475"/>
      <c r="EQ28" s="475"/>
      <c r="ER28" s="475"/>
      <c r="ES28" s="475"/>
      <c r="ET28" s="475"/>
      <c r="EU28" s="475"/>
      <c r="EV28" s="475"/>
      <c r="EW28" s="475"/>
      <c r="EX28" s="475"/>
      <c r="FA28" s="975"/>
      <c r="FE28" s="976"/>
    </row>
    <row r="29" spans="2:161">
      <c r="B29" s="309"/>
      <c r="C29" s="824">
        <f t="shared" si="1"/>
        <v>20</v>
      </c>
      <c r="D29" s="1025"/>
      <c r="E29" s="79" t="s">
        <v>181</v>
      </c>
      <c r="F29" s="185" t="s">
        <v>1762</v>
      </c>
      <c r="G29" s="185" t="s">
        <v>47</v>
      </c>
      <c r="H29" s="973" t="str">
        <f t="shared" si="2"/>
        <v>Evaporation and other &gt; 4000 and &lt;= 5000 ML, Arid</v>
      </c>
      <c r="I29" s="979"/>
      <c r="J29" s="979"/>
      <c r="K29" s="236"/>
      <c r="L29" s="824" t="str">
        <f>VLOOKUP(M29,TOV!$C$300:$G$447,TOV!$G$1,FALSE)</f>
        <v>structure</v>
      </c>
      <c r="M29" s="970" t="str">
        <f xml:space="preserve"> VLOOKUP(H29,CHOOSE({3,2,1},TOV!$C$300:$C$434,TOV!$D$300:$D$434,TOV!$E$300:$E$434),3,0)</f>
        <v>#5.137</v>
      </c>
      <c r="N29" s="971">
        <f>VLOOKUP(M29,TOV!$C$298:$G$447,TOV!$F$1,FALSE)</f>
        <v>1156366.0563527015</v>
      </c>
      <c r="O29" s="297"/>
      <c r="P29" s="122">
        <f t="shared" ref="P29" si="3">K29*IF(O29="",N29,O29)</f>
        <v>0</v>
      </c>
      <c r="Q29" s="192"/>
      <c r="R29" s="191"/>
      <c r="S29" s="191"/>
      <c r="T29" s="191"/>
      <c r="U29" s="190"/>
      <c r="V29" s="474"/>
      <c r="W29" s="474"/>
      <c r="X29" s="474"/>
      <c r="Y29" s="474"/>
      <c r="Z29" s="474"/>
      <c r="AA29" s="474"/>
      <c r="AB29" s="474"/>
      <c r="AC29" s="474"/>
      <c r="AD29" s="474"/>
      <c r="AE29" s="474"/>
      <c r="AF29" s="474"/>
      <c r="AG29" s="475"/>
      <c r="AH29" s="475"/>
      <c r="AI29" s="475"/>
      <c r="AJ29" s="475"/>
      <c r="AK29" s="475"/>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c r="BI29" s="475"/>
      <c r="BJ29" s="475"/>
      <c r="BK29" s="475"/>
      <c r="BL29" s="475"/>
      <c r="BM29" s="475"/>
      <c r="BN29" s="475"/>
      <c r="BO29" s="475"/>
      <c r="BP29" s="475"/>
      <c r="BQ29" s="475"/>
      <c r="BS29" s="475"/>
      <c r="BT29" s="475"/>
      <c r="BU29" s="475"/>
      <c r="BV29" s="475"/>
      <c r="BW29" s="475"/>
      <c r="BX29" s="475"/>
      <c r="BY29" s="475"/>
      <c r="BZ29" s="475"/>
      <c r="CA29" s="475"/>
      <c r="CB29" s="475"/>
      <c r="CC29" s="475"/>
      <c r="CD29" s="475"/>
      <c r="CE29" s="475"/>
      <c r="CF29" s="475"/>
      <c r="CG29" s="475"/>
      <c r="CH29" s="475"/>
      <c r="CI29" s="475"/>
      <c r="CJ29" s="475"/>
      <c r="CK29" s="475"/>
      <c r="CL29" s="475"/>
      <c r="CM29" s="475"/>
      <c r="CN29" s="475"/>
      <c r="CO29" s="475"/>
      <c r="CP29" s="475"/>
      <c r="CQ29" s="475"/>
      <c r="CR29" s="475"/>
      <c r="CS29" s="475"/>
      <c r="CT29" s="475"/>
      <c r="CU29" s="475"/>
      <c r="CV29" s="475"/>
      <c r="CW29" s="475"/>
      <c r="CX29" s="475"/>
      <c r="CY29" s="475"/>
      <c r="CZ29" s="475"/>
      <c r="DA29" s="475"/>
      <c r="DB29" s="475"/>
      <c r="DC29" s="475"/>
      <c r="DD29" s="475"/>
      <c r="DE29" s="475"/>
      <c r="DF29" s="475"/>
      <c r="DG29" s="475"/>
      <c r="DH29" s="475"/>
      <c r="DI29" s="475"/>
      <c r="DJ29" s="475"/>
      <c r="DK29" s="475"/>
      <c r="DL29" s="475"/>
      <c r="DM29" s="475"/>
      <c r="DN29" s="475"/>
      <c r="DO29" s="475"/>
      <c r="DP29" s="475"/>
      <c r="DQ29" s="475"/>
      <c r="DR29" s="475"/>
      <c r="DS29" s="475"/>
      <c r="DT29" s="475"/>
      <c r="DU29" s="475"/>
      <c r="DV29" s="475"/>
      <c r="DW29" s="475"/>
      <c r="DX29" s="475"/>
      <c r="DY29" s="475"/>
      <c r="DZ29" s="475"/>
      <c r="EA29" s="475"/>
      <c r="EB29" s="475"/>
      <c r="EC29" s="475"/>
      <c r="ED29" s="475"/>
      <c r="EE29" s="475"/>
      <c r="EF29" s="475"/>
      <c r="EG29" s="475"/>
      <c r="EH29" s="475"/>
      <c r="EI29" s="475"/>
      <c r="EJ29" s="475"/>
      <c r="EK29" s="475"/>
      <c r="EL29" s="475"/>
      <c r="EM29" s="475"/>
      <c r="EN29" s="475"/>
      <c r="EO29" s="475"/>
      <c r="EP29" s="475"/>
      <c r="EQ29" s="475"/>
      <c r="ER29" s="475"/>
      <c r="ES29" s="475"/>
      <c r="ET29" s="475"/>
      <c r="EU29" s="475"/>
      <c r="EV29" s="475"/>
      <c r="EW29" s="475"/>
      <c r="EX29" s="475"/>
      <c r="FA29" s="975"/>
      <c r="FE29" s="976"/>
    </row>
    <row r="30" spans="2:161">
      <c r="B30" s="309"/>
      <c r="C30" s="824">
        <f t="shared" si="1"/>
        <v>21</v>
      </c>
      <c r="D30" s="1025"/>
      <c r="E30" s="79"/>
      <c r="F30" s="185"/>
      <c r="G30" s="185"/>
      <c r="H30" s="973" t="str">
        <f t="shared" si="2"/>
        <v/>
      </c>
      <c r="I30" s="979"/>
      <c r="J30" s="979"/>
      <c r="K30" s="236"/>
      <c r="L30" s="824" t="s">
        <v>999</v>
      </c>
      <c r="N30" s="518" t="str">
        <f>IF(AND(K30&gt;0,OR(O30="",O30=0)),"Enter Rate","No alert")</f>
        <v>No alert</v>
      </c>
      <c r="O30" s="298"/>
      <c r="P30" s="122">
        <f t="shared" ref="P30:P34" si="4">O30*K30</f>
        <v>0</v>
      </c>
      <c r="Q30" s="192"/>
      <c r="R30" s="191"/>
      <c r="S30" s="191"/>
      <c r="T30" s="191"/>
      <c r="U30" s="190"/>
      <c r="V30" s="474"/>
      <c r="W30" s="474"/>
      <c r="X30" s="474"/>
      <c r="Y30" s="474"/>
      <c r="Z30" s="474"/>
      <c r="AA30" s="474"/>
      <c r="AB30" s="474"/>
      <c r="AC30" s="474"/>
      <c r="AD30" s="474"/>
      <c r="AE30" s="474"/>
      <c r="AF30" s="474"/>
      <c r="AG30" s="475"/>
      <c r="AH30" s="475"/>
      <c r="AI30" s="475"/>
      <c r="AJ30" s="475"/>
      <c r="AK30" s="475"/>
      <c r="AL30" s="475"/>
      <c r="AM30" s="475"/>
      <c r="AN30" s="475"/>
      <c r="AO30" s="475"/>
      <c r="AP30" s="475"/>
      <c r="AQ30" s="475"/>
      <c r="AR30" s="475"/>
      <c r="AS30" s="475"/>
      <c r="AT30" s="475"/>
      <c r="AU30" s="475"/>
      <c r="AV30" s="475"/>
      <c r="AW30" s="475"/>
      <c r="AX30" s="475"/>
      <c r="AY30" s="475"/>
      <c r="AZ30" s="475"/>
      <c r="BA30" s="475"/>
      <c r="BB30" s="475"/>
      <c r="BC30" s="475"/>
      <c r="BD30" s="475"/>
      <c r="BE30" s="475"/>
      <c r="BF30" s="475"/>
      <c r="BG30" s="475"/>
      <c r="BH30" s="475"/>
      <c r="BI30" s="475"/>
      <c r="BJ30" s="475"/>
      <c r="BK30" s="475"/>
      <c r="BL30" s="475"/>
      <c r="BM30" s="475"/>
      <c r="BN30" s="475"/>
      <c r="BO30" s="475"/>
      <c r="BP30" s="475"/>
      <c r="BQ30" s="475"/>
      <c r="BS30" s="475"/>
      <c r="BT30" s="475"/>
      <c r="BU30" s="475"/>
      <c r="BV30" s="475"/>
      <c r="BW30" s="475"/>
      <c r="BX30" s="475"/>
      <c r="BY30" s="475"/>
      <c r="BZ30" s="475"/>
      <c r="CA30" s="475"/>
      <c r="CB30" s="475"/>
      <c r="CC30" s="475"/>
      <c r="CD30" s="475"/>
      <c r="CE30" s="475"/>
      <c r="CF30" s="475"/>
      <c r="CG30" s="475"/>
      <c r="CH30" s="475"/>
      <c r="CI30" s="475"/>
      <c r="CJ30" s="475"/>
      <c r="CK30" s="475"/>
      <c r="CL30" s="475"/>
      <c r="CM30" s="475"/>
      <c r="CN30" s="475"/>
      <c r="CO30" s="475"/>
      <c r="CP30" s="475"/>
      <c r="CQ30" s="475"/>
      <c r="CR30" s="475"/>
      <c r="CS30" s="475"/>
      <c r="CT30" s="475"/>
      <c r="CU30" s="475"/>
      <c r="CV30" s="475"/>
      <c r="CW30" s="475"/>
      <c r="CX30" s="475"/>
      <c r="CY30" s="475"/>
      <c r="CZ30" s="475"/>
      <c r="DA30" s="475"/>
      <c r="DB30" s="475"/>
      <c r="DC30" s="475"/>
      <c r="DD30" s="475"/>
      <c r="DE30" s="475"/>
      <c r="DF30" s="475"/>
      <c r="DG30" s="475"/>
      <c r="DH30" s="475"/>
      <c r="DI30" s="475"/>
      <c r="DJ30" s="475"/>
      <c r="DK30" s="475"/>
      <c r="DL30" s="475"/>
      <c r="DM30" s="475"/>
      <c r="DN30" s="475"/>
      <c r="DO30" s="475"/>
      <c r="DP30" s="475"/>
      <c r="DQ30" s="475"/>
      <c r="DR30" s="475"/>
      <c r="DS30" s="475"/>
      <c r="DT30" s="475"/>
      <c r="DU30" s="475"/>
      <c r="DV30" s="475"/>
      <c r="DW30" s="475"/>
      <c r="DX30" s="475"/>
      <c r="DY30" s="475"/>
      <c r="DZ30" s="475"/>
      <c r="EA30" s="475"/>
      <c r="EB30" s="475"/>
      <c r="EC30" s="475"/>
      <c r="ED30" s="475"/>
      <c r="EE30" s="475"/>
      <c r="EF30" s="475"/>
      <c r="EG30" s="475"/>
      <c r="EH30" s="475"/>
      <c r="EI30" s="475"/>
      <c r="EJ30" s="475"/>
      <c r="EK30" s="475"/>
      <c r="EL30" s="475"/>
      <c r="EM30" s="475"/>
      <c r="EN30" s="475"/>
      <c r="EO30" s="475"/>
      <c r="EP30" s="475"/>
      <c r="EQ30" s="475"/>
      <c r="ER30" s="475"/>
      <c r="ES30" s="475"/>
      <c r="ET30" s="475"/>
      <c r="EU30" s="475"/>
      <c r="EV30" s="475"/>
      <c r="EW30" s="475"/>
      <c r="EX30" s="475"/>
      <c r="FA30" s="975"/>
      <c r="FE30" s="976"/>
    </row>
    <row r="31" spans="2:161">
      <c r="B31" s="309"/>
      <c r="C31" s="824">
        <f t="shared" si="1"/>
        <v>22</v>
      </c>
      <c r="D31" s="1025"/>
      <c r="E31" s="79"/>
      <c r="F31" s="185"/>
      <c r="G31" s="185"/>
      <c r="H31" s="973" t="str">
        <f t="shared" si="2"/>
        <v/>
      </c>
      <c r="I31" s="979"/>
      <c r="J31" s="979"/>
      <c r="K31" s="236"/>
      <c r="L31" s="824" t="s">
        <v>999</v>
      </c>
      <c r="N31" s="518" t="str">
        <f t="shared" ref="N31:N34" si="5">IF(AND(K31&gt;0,OR(O31="",O31=0)),"Enter Rate","No alert")</f>
        <v>No alert</v>
      </c>
      <c r="O31" s="298"/>
      <c r="P31" s="122">
        <f t="shared" si="4"/>
        <v>0</v>
      </c>
      <c r="Q31" s="192"/>
      <c r="R31" s="191"/>
      <c r="S31" s="191"/>
      <c r="T31" s="191"/>
      <c r="U31" s="190"/>
      <c r="V31" s="474"/>
      <c r="W31" s="474"/>
      <c r="X31" s="474"/>
      <c r="Y31" s="474"/>
      <c r="Z31" s="474"/>
      <c r="AA31" s="474"/>
      <c r="AB31" s="474"/>
      <c r="AC31" s="474"/>
      <c r="AD31" s="474"/>
      <c r="AE31" s="474"/>
      <c r="AF31" s="474"/>
      <c r="AG31" s="475"/>
      <c r="AH31" s="475"/>
      <c r="AI31" s="475"/>
      <c r="AJ31" s="475"/>
      <c r="AK31" s="475"/>
      <c r="AL31" s="475"/>
      <c r="AM31" s="475"/>
      <c r="AN31" s="475"/>
      <c r="AO31" s="475"/>
      <c r="AP31" s="475"/>
      <c r="AQ31" s="475"/>
      <c r="AR31" s="475"/>
      <c r="AS31" s="475"/>
      <c r="AT31" s="475"/>
      <c r="AU31" s="475"/>
      <c r="AV31" s="475"/>
      <c r="AW31" s="475"/>
      <c r="AX31" s="475"/>
      <c r="AY31" s="475"/>
      <c r="AZ31" s="475"/>
      <c r="BA31" s="475"/>
      <c r="BB31" s="475"/>
      <c r="BC31" s="475"/>
      <c r="BD31" s="475"/>
      <c r="BE31" s="475"/>
      <c r="BF31" s="475"/>
      <c r="BG31" s="475"/>
      <c r="BH31" s="475"/>
      <c r="BI31" s="475"/>
      <c r="BJ31" s="475"/>
      <c r="BK31" s="475"/>
      <c r="BL31" s="475"/>
      <c r="BM31" s="475"/>
      <c r="BN31" s="475"/>
      <c r="BO31" s="475"/>
      <c r="BP31" s="475"/>
      <c r="BQ31" s="475"/>
      <c r="BS31" s="475"/>
      <c r="BT31" s="475"/>
      <c r="BU31" s="475"/>
      <c r="BV31" s="475"/>
      <c r="BW31" s="475"/>
      <c r="BX31" s="475"/>
      <c r="BY31" s="475"/>
      <c r="BZ31" s="475"/>
      <c r="CA31" s="475"/>
      <c r="CB31" s="475"/>
      <c r="CC31" s="475"/>
      <c r="CD31" s="475"/>
      <c r="CE31" s="475"/>
      <c r="CF31" s="475"/>
      <c r="CG31" s="475"/>
      <c r="CH31" s="475"/>
      <c r="CI31" s="475"/>
      <c r="CJ31" s="475"/>
      <c r="CK31" s="475"/>
      <c r="CL31" s="475"/>
      <c r="CM31" s="475"/>
      <c r="CN31" s="475"/>
      <c r="CO31" s="475"/>
      <c r="CP31" s="475"/>
      <c r="CQ31" s="475"/>
      <c r="CR31" s="475"/>
      <c r="CS31" s="475"/>
      <c r="CT31" s="475"/>
      <c r="CU31" s="475"/>
      <c r="CV31" s="475"/>
      <c r="CW31" s="475"/>
      <c r="CX31" s="475"/>
      <c r="CY31" s="475"/>
      <c r="CZ31" s="475"/>
      <c r="DA31" s="475"/>
      <c r="DB31" s="475"/>
      <c r="DC31" s="475"/>
      <c r="DD31" s="475"/>
      <c r="DE31" s="475"/>
      <c r="DF31" s="475"/>
      <c r="DG31" s="475"/>
      <c r="DH31" s="475"/>
      <c r="DI31" s="475"/>
      <c r="DJ31" s="475"/>
      <c r="DK31" s="475"/>
      <c r="DL31" s="475"/>
      <c r="DM31" s="475"/>
      <c r="DN31" s="475"/>
      <c r="DO31" s="475"/>
      <c r="DP31" s="475"/>
      <c r="DQ31" s="475"/>
      <c r="DR31" s="475"/>
      <c r="DS31" s="475"/>
      <c r="DT31" s="475"/>
      <c r="DU31" s="475"/>
      <c r="DV31" s="475"/>
      <c r="DW31" s="475"/>
      <c r="DX31" s="475"/>
      <c r="DY31" s="475"/>
      <c r="DZ31" s="475"/>
      <c r="EA31" s="475"/>
      <c r="EB31" s="475"/>
      <c r="EC31" s="475"/>
      <c r="ED31" s="475"/>
      <c r="EE31" s="475"/>
      <c r="EF31" s="475"/>
      <c r="EG31" s="475"/>
      <c r="EH31" s="475"/>
      <c r="EI31" s="475"/>
      <c r="EJ31" s="475"/>
      <c r="EK31" s="475"/>
      <c r="EL31" s="475"/>
      <c r="EM31" s="475"/>
      <c r="EN31" s="475"/>
      <c r="EO31" s="475"/>
      <c r="EP31" s="475"/>
      <c r="EQ31" s="475"/>
      <c r="ER31" s="475"/>
      <c r="ES31" s="475"/>
      <c r="ET31" s="475"/>
      <c r="EU31" s="475"/>
      <c r="EV31" s="475"/>
      <c r="EW31" s="475"/>
      <c r="EX31" s="475"/>
      <c r="FA31" s="975"/>
      <c r="FE31" s="976"/>
    </row>
    <row r="32" spans="2:161">
      <c r="B32" s="309"/>
      <c r="C32" s="824">
        <f t="shared" si="1"/>
        <v>23</v>
      </c>
      <c r="D32" s="1025"/>
      <c r="E32" s="79"/>
      <c r="F32" s="185"/>
      <c r="G32" s="185"/>
      <c r="H32" s="973" t="str">
        <f t="shared" si="2"/>
        <v/>
      </c>
      <c r="I32" s="979"/>
      <c r="J32" s="979"/>
      <c r="K32" s="236"/>
      <c r="L32" s="824" t="s">
        <v>999</v>
      </c>
      <c r="N32" s="518" t="str">
        <f t="shared" si="5"/>
        <v>No alert</v>
      </c>
      <c r="O32" s="298"/>
      <c r="P32" s="122">
        <f t="shared" si="4"/>
        <v>0</v>
      </c>
      <c r="Q32" s="192"/>
      <c r="R32" s="191"/>
      <c r="S32" s="191"/>
      <c r="T32" s="191"/>
      <c r="U32" s="190"/>
      <c r="V32" s="474"/>
      <c r="W32" s="474"/>
      <c r="X32" s="474"/>
      <c r="Y32" s="474"/>
      <c r="Z32" s="474"/>
      <c r="AA32" s="474"/>
      <c r="AB32" s="474"/>
      <c r="AC32" s="474"/>
      <c r="AD32" s="474"/>
      <c r="AE32" s="474"/>
      <c r="AF32" s="474"/>
      <c r="AG32" s="475"/>
      <c r="AH32" s="475"/>
      <c r="AI32" s="475"/>
      <c r="AJ32" s="475"/>
      <c r="AK32" s="475"/>
      <c r="AL32" s="475"/>
      <c r="AM32" s="475"/>
      <c r="AN32" s="475"/>
      <c r="AO32" s="475"/>
      <c r="AP32" s="475"/>
      <c r="AQ32" s="475"/>
      <c r="AR32" s="475"/>
      <c r="AS32" s="475"/>
      <c r="AT32" s="475"/>
      <c r="AU32" s="475"/>
      <c r="AV32" s="475"/>
      <c r="AW32" s="475"/>
      <c r="AX32" s="475"/>
      <c r="AY32" s="475"/>
      <c r="AZ32" s="475"/>
      <c r="BA32" s="475"/>
      <c r="BB32" s="475"/>
      <c r="BC32" s="475"/>
      <c r="BD32" s="475"/>
      <c r="BE32" s="475"/>
      <c r="BF32" s="475"/>
      <c r="BG32" s="475"/>
      <c r="BH32" s="475"/>
      <c r="BI32" s="475"/>
      <c r="BJ32" s="475"/>
      <c r="BK32" s="475"/>
      <c r="BL32" s="475"/>
      <c r="BM32" s="475"/>
      <c r="BN32" s="475"/>
      <c r="BO32" s="475"/>
      <c r="BP32" s="475"/>
      <c r="BQ32" s="475"/>
      <c r="BS32" s="475"/>
      <c r="BT32" s="475"/>
      <c r="BU32" s="475"/>
      <c r="BV32" s="475"/>
      <c r="BW32" s="475"/>
      <c r="BX32" s="475"/>
      <c r="BY32" s="475"/>
      <c r="BZ32" s="475"/>
      <c r="CA32" s="475"/>
      <c r="CB32" s="475"/>
      <c r="CC32" s="475"/>
      <c r="CD32" s="475"/>
      <c r="CE32" s="475"/>
      <c r="CF32" s="475"/>
      <c r="CG32" s="475"/>
      <c r="CH32" s="475"/>
      <c r="CI32" s="475"/>
      <c r="CJ32" s="475"/>
      <c r="CK32" s="475"/>
      <c r="CL32" s="475"/>
      <c r="CM32" s="475"/>
      <c r="CN32" s="475"/>
      <c r="CO32" s="475"/>
      <c r="CP32" s="475"/>
      <c r="CQ32" s="475"/>
      <c r="CR32" s="475"/>
      <c r="CS32" s="475"/>
      <c r="CT32" s="475"/>
      <c r="CU32" s="475"/>
      <c r="CV32" s="475"/>
      <c r="CW32" s="475"/>
      <c r="CX32" s="475"/>
      <c r="CY32" s="475"/>
      <c r="CZ32" s="475"/>
      <c r="DA32" s="475"/>
      <c r="DB32" s="475"/>
      <c r="DC32" s="475"/>
      <c r="DD32" s="475"/>
      <c r="DE32" s="475"/>
      <c r="DF32" s="475"/>
      <c r="DG32" s="475"/>
      <c r="DH32" s="475"/>
      <c r="DI32" s="475"/>
      <c r="DJ32" s="475"/>
      <c r="DK32" s="475"/>
      <c r="DL32" s="475"/>
      <c r="DM32" s="475"/>
      <c r="DN32" s="475"/>
      <c r="DO32" s="475"/>
      <c r="DP32" s="475"/>
      <c r="DQ32" s="475"/>
      <c r="DR32" s="475"/>
      <c r="DS32" s="475"/>
      <c r="DT32" s="475"/>
      <c r="DU32" s="475"/>
      <c r="DV32" s="475"/>
      <c r="DW32" s="475"/>
      <c r="DX32" s="475"/>
      <c r="DY32" s="475"/>
      <c r="DZ32" s="475"/>
      <c r="EA32" s="475"/>
      <c r="EB32" s="475"/>
      <c r="EC32" s="475"/>
      <c r="ED32" s="475"/>
      <c r="EE32" s="475"/>
      <c r="EF32" s="475"/>
      <c r="EG32" s="475"/>
      <c r="EH32" s="475"/>
      <c r="EI32" s="475"/>
      <c r="EJ32" s="475"/>
      <c r="EK32" s="475"/>
      <c r="EL32" s="475"/>
      <c r="EM32" s="475"/>
      <c r="EN32" s="475"/>
      <c r="EO32" s="475"/>
      <c r="EP32" s="475"/>
      <c r="EQ32" s="475"/>
      <c r="ER32" s="475"/>
      <c r="ES32" s="475"/>
      <c r="ET32" s="475"/>
      <c r="EU32" s="475"/>
      <c r="EV32" s="475"/>
      <c r="EW32" s="475"/>
      <c r="EX32" s="475"/>
      <c r="FA32" s="975"/>
      <c r="FE32" s="976"/>
    </row>
    <row r="33" spans="1:161">
      <c r="B33" s="309"/>
      <c r="C33" s="824">
        <f t="shared" si="1"/>
        <v>24</v>
      </c>
      <c r="D33" s="1025"/>
      <c r="E33" s="79"/>
      <c r="F33" s="185"/>
      <c r="G33" s="185"/>
      <c r="H33" s="973" t="str">
        <f t="shared" si="2"/>
        <v/>
      </c>
      <c r="I33" s="979"/>
      <c r="J33" s="979"/>
      <c r="K33" s="236"/>
      <c r="L33" s="824" t="s">
        <v>999</v>
      </c>
      <c r="N33" s="518" t="str">
        <f t="shared" si="5"/>
        <v>No alert</v>
      </c>
      <c r="O33" s="298"/>
      <c r="P33" s="122">
        <f t="shared" si="4"/>
        <v>0</v>
      </c>
      <c r="Q33" s="192"/>
      <c r="R33" s="191"/>
      <c r="S33" s="191"/>
      <c r="T33" s="191"/>
      <c r="U33" s="190"/>
      <c r="V33" s="474"/>
      <c r="W33" s="474"/>
      <c r="X33" s="474"/>
      <c r="Y33" s="474"/>
      <c r="Z33" s="474"/>
      <c r="AA33" s="474"/>
      <c r="AB33" s="474"/>
      <c r="AC33" s="474"/>
      <c r="AD33" s="474"/>
      <c r="AE33" s="474"/>
      <c r="AF33" s="474"/>
      <c r="AG33" s="475"/>
      <c r="AH33" s="475"/>
      <c r="AI33" s="475"/>
      <c r="AJ33" s="475"/>
      <c r="AK33" s="475"/>
      <c r="AL33" s="475"/>
      <c r="AM33" s="475"/>
      <c r="AN33" s="475"/>
      <c r="AO33" s="475"/>
      <c r="AP33" s="475"/>
      <c r="AQ33" s="475"/>
      <c r="AR33" s="475"/>
      <c r="AS33" s="475"/>
      <c r="AT33" s="475"/>
      <c r="AU33" s="475"/>
      <c r="AV33" s="475"/>
      <c r="AW33" s="475"/>
      <c r="AX33" s="475"/>
      <c r="AY33" s="475"/>
      <c r="AZ33" s="475"/>
      <c r="BA33" s="475"/>
      <c r="BB33" s="475"/>
      <c r="BC33" s="475"/>
      <c r="BD33" s="475"/>
      <c r="BE33" s="475"/>
      <c r="BF33" s="475"/>
      <c r="BG33" s="475"/>
      <c r="BH33" s="475"/>
      <c r="BI33" s="475"/>
      <c r="BJ33" s="475"/>
      <c r="BK33" s="475"/>
      <c r="BL33" s="475"/>
      <c r="BM33" s="475"/>
      <c r="BN33" s="475"/>
      <c r="BO33" s="475"/>
      <c r="BP33" s="475"/>
      <c r="BQ33" s="475"/>
      <c r="BS33" s="475"/>
      <c r="BT33" s="475"/>
      <c r="BU33" s="475"/>
      <c r="BV33" s="475"/>
      <c r="BW33" s="475"/>
      <c r="BX33" s="475"/>
      <c r="BY33" s="475"/>
      <c r="BZ33" s="475"/>
      <c r="CA33" s="475"/>
      <c r="CB33" s="475"/>
      <c r="CC33" s="475"/>
      <c r="CD33" s="475"/>
      <c r="CE33" s="475"/>
      <c r="CF33" s="475"/>
      <c r="CG33" s="475"/>
      <c r="CH33" s="475"/>
      <c r="CI33" s="475"/>
      <c r="CJ33" s="475"/>
      <c r="CK33" s="475"/>
      <c r="CL33" s="475"/>
      <c r="CM33" s="475"/>
      <c r="CN33" s="475"/>
      <c r="CO33" s="475"/>
      <c r="CP33" s="475"/>
      <c r="CQ33" s="475"/>
      <c r="CR33" s="475"/>
      <c r="CS33" s="475"/>
      <c r="CT33" s="475"/>
      <c r="CU33" s="475"/>
      <c r="CV33" s="475"/>
      <c r="CW33" s="475"/>
      <c r="CX33" s="475"/>
      <c r="CY33" s="475"/>
      <c r="CZ33" s="475"/>
      <c r="DA33" s="475"/>
      <c r="DB33" s="475"/>
      <c r="DC33" s="475"/>
      <c r="DD33" s="475"/>
      <c r="DE33" s="475"/>
      <c r="DF33" s="475"/>
      <c r="DG33" s="475"/>
      <c r="DH33" s="475"/>
      <c r="DI33" s="475"/>
      <c r="DJ33" s="475"/>
      <c r="DK33" s="475"/>
      <c r="DL33" s="475"/>
      <c r="DM33" s="475"/>
      <c r="DN33" s="475"/>
      <c r="DO33" s="475"/>
      <c r="DP33" s="475"/>
      <c r="DQ33" s="475"/>
      <c r="DR33" s="475"/>
      <c r="DS33" s="475"/>
      <c r="DT33" s="475"/>
      <c r="DU33" s="475"/>
      <c r="DV33" s="475"/>
      <c r="DW33" s="475"/>
      <c r="DX33" s="475"/>
      <c r="DY33" s="475"/>
      <c r="DZ33" s="475"/>
      <c r="EA33" s="475"/>
      <c r="EB33" s="475"/>
      <c r="EC33" s="475"/>
      <c r="ED33" s="475"/>
      <c r="EE33" s="475"/>
      <c r="EF33" s="475"/>
      <c r="EG33" s="475"/>
      <c r="EH33" s="475"/>
      <c r="EI33" s="475"/>
      <c r="EJ33" s="475"/>
      <c r="EK33" s="475"/>
      <c r="EL33" s="475"/>
      <c r="EM33" s="475"/>
      <c r="EN33" s="475"/>
      <c r="EO33" s="475"/>
      <c r="EP33" s="475"/>
      <c r="EQ33" s="475"/>
      <c r="ER33" s="475"/>
      <c r="ES33" s="475"/>
      <c r="ET33" s="475"/>
      <c r="EU33" s="475"/>
      <c r="EV33" s="475"/>
      <c r="EW33" s="475"/>
      <c r="EX33" s="475"/>
      <c r="FA33" s="975"/>
      <c r="FE33" s="976"/>
    </row>
    <row r="34" spans="1:161">
      <c r="B34" s="309"/>
      <c r="C34" s="824">
        <f t="shared" si="1"/>
        <v>25</v>
      </c>
      <c r="D34" s="1025"/>
      <c r="E34" s="79"/>
      <c r="F34" s="185"/>
      <c r="G34" s="185"/>
      <c r="H34" s="973" t="str">
        <f t="shared" si="2"/>
        <v/>
      </c>
      <c r="I34" s="979"/>
      <c r="J34" s="979"/>
      <c r="K34" s="236"/>
      <c r="L34" s="824" t="s">
        <v>999</v>
      </c>
      <c r="N34" s="518" t="str">
        <f t="shared" si="5"/>
        <v>No alert</v>
      </c>
      <c r="O34" s="298"/>
      <c r="P34" s="122">
        <f t="shared" si="4"/>
        <v>0</v>
      </c>
      <c r="Q34" s="192"/>
      <c r="R34" s="191"/>
      <c r="S34" s="191"/>
      <c r="T34" s="191"/>
      <c r="U34" s="190"/>
      <c r="V34" s="474"/>
      <c r="W34" s="474"/>
      <c r="X34" s="474"/>
      <c r="Y34" s="474"/>
      <c r="Z34" s="474"/>
      <c r="AA34" s="474"/>
      <c r="AB34" s="474"/>
      <c r="AC34" s="474"/>
      <c r="AD34" s="474"/>
      <c r="AE34" s="474"/>
      <c r="AF34" s="474"/>
      <c r="AG34" s="475"/>
      <c r="AH34" s="475"/>
      <c r="AI34" s="475"/>
      <c r="AJ34" s="475"/>
      <c r="AK34" s="475"/>
      <c r="AL34" s="475"/>
      <c r="AM34" s="475"/>
      <c r="AN34" s="475"/>
      <c r="AO34" s="475"/>
      <c r="AP34" s="475"/>
      <c r="AQ34" s="475"/>
      <c r="AR34" s="475"/>
      <c r="AS34" s="475"/>
      <c r="AT34" s="475"/>
      <c r="AU34" s="475"/>
      <c r="AV34" s="475"/>
      <c r="AW34" s="475"/>
      <c r="AX34" s="475"/>
      <c r="AY34" s="475"/>
      <c r="AZ34" s="475"/>
      <c r="BA34" s="475"/>
      <c r="BB34" s="475"/>
      <c r="BC34" s="475"/>
      <c r="BD34" s="475"/>
      <c r="BE34" s="475"/>
      <c r="BF34" s="475"/>
      <c r="BG34" s="475"/>
      <c r="BH34" s="475"/>
      <c r="BI34" s="475"/>
      <c r="BJ34" s="475"/>
      <c r="BK34" s="475"/>
      <c r="BL34" s="475"/>
      <c r="BM34" s="475"/>
      <c r="BN34" s="475"/>
      <c r="BO34" s="475"/>
      <c r="BP34" s="475"/>
      <c r="BQ34" s="475"/>
      <c r="BS34" s="475"/>
      <c r="BT34" s="475"/>
      <c r="BU34" s="475"/>
      <c r="BV34" s="475"/>
      <c r="BW34" s="475"/>
      <c r="BX34" s="475"/>
      <c r="BY34" s="475"/>
      <c r="BZ34" s="475"/>
      <c r="CA34" s="475"/>
      <c r="CB34" s="475"/>
      <c r="CC34" s="475"/>
      <c r="CD34" s="475"/>
      <c r="CE34" s="475"/>
      <c r="CF34" s="475"/>
      <c r="CG34" s="475"/>
      <c r="CH34" s="475"/>
      <c r="CI34" s="475"/>
      <c r="CJ34" s="475"/>
      <c r="CK34" s="475"/>
      <c r="CL34" s="475"/>
      <c r="CM34" s="475"/>
      <c r="CN34" s="475"/>
      <c r="CO34" s="475"/>
      <c r="CP34" s="475"/>
      <c r="CQ34" s="475"/>
      <c r="CR34" s="475"/>
      <c r="CS34" s="475"/>
      <c r="CT34" s="475"/>
      <c r="CU34" s="475"/>
      <c r="CV34" s="475"/>
      <c r="CW34" s="475"/>
      <c r="CX34" s="475"/>
      <c r="CY34" s="475"/>
      <c r="CZ34" s="475"/>
      <c r="DA34" s="475"/>
      <c r="DB34" s="475"/>
      <c r="DC34" s="475"/>
      <c r="DD34" s="475"/>
      <c r="DE34" s="475"/>
      <c r="DF34" s="475"/>
      <c r="DG34" s="475"/>
      <c r="DH34" s="475"/>
      <c r="DI34" s="475"/>
      <c r="DJ34" s="475"/>
      <c r="DK34" s="475"/>
      <c r="DL34" s="475"/>
      <c r="DM34" s="475"/>
      <c r="DN34" s="475"/>
      <c r="DO34" s="475"/>
      <c r="DP34" s="475"/>
      <c r="DQ34" s="475"/>
      <c r="DR34" s="475"/>
      <c r="DS34" s="475"/>
      <c r="DT34" s="475"/>
      <c r="DU34" s="475"/>
      <c r="DV34" s="475"/>
      <c r="DW34" s="475"/>
      <c r="DX34" s="475"/>
      <c r="DY34" s="475"/>
      <c r="DZ34" s="475"/>
      <c r="EA34" s="475"/>
      <c r="EB34" s="475"/>
      <c r="EC34" s="475"/>
      <c r="ED34" s="475"/>
      <c r="EE34" s="475"/>
      <c r="EF34" s="475"/>
      <c r="EG34" s="475"/>
      <c r="EH34" s="475"/>
      <c r="EI34" s="475"/>
      <c r="EJ34" s="475"/>
      <c r="EK34" s="475"/>
      <c r="EL34" s="475"/>
      <c r="EM34" s="475"/>
      <c r="EN34" s="475"/>
      <c r="EO34" s="475"/>
      <c r="EP34" s="475"/>
      <c r="EQ34" s="475"/>
      <c r="ER34" s="475"/>
      <c r="ES34" s="475"/>
      <c r="ET34" s="475"/>
      <c r="EU34" s="475"/>
      <c r="EV34" s="475"/>
      <c r="EW34" s="475"/>
      <c r="EX34" s="475"/>
      <c r="FA34" s="975"/>
      <c r="FE34" s="976"/>
    </row>
    <row r="35" spans="1:161">
      <c r="B35" s="434"/>
      <c r="C35" s="434"/>
      <c r="O35" s="953"/>
      <c r="P35" s="953"/>
      <c r="V35" s="474"/>
      <c r="W35" s="474"/>
      <c r="X35" s="474"/>
      <c r="Y35" s="474"/>
      <c r="Z35" s="474"/>
      <c r="AA35" s="474"/>
      <c r="AB35" s="474"/>
      <c r="AC35" s="474"/>
      <c r="AD35" s="474"/>
      <c r="AE35" s="474"/>
      <c r="AF35" s="474"/>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5"/>
      <c r="BN35" s="475"/>
      <c r="BO35" s="475"/>
      <c r="BP35" s="475"/>
      <c r="BQ35" s="475"/>
      <c r="BS35" s="475"/>
      <c r="BT35" s="475"/>
      <c r="BU35" s="475"/>
      <c r="BV35" s="475"/>
      <c r="BW35" s="475"/>
      <c r="BX35" s="475"/>
      <c r="BY35" s="475"/>
      <c r="BZ35" s="475"/>
      <c r="CA35" s="475"/>
      <c r="CB35" s="475"/>
      <c r="CC35" s="475"/>
      <c r="CD35" s="475"/>
      <c r="CE35" s="475"/>
      <c r="CF35" s="475"/>
      <c r="CG35" s="475"/>
      <c r="CH35" s="475"/>
      <c r="CI35" s="475"/>
      <c r="CJ35" s="475"/>
      <c r="CK35" s="475"/>
      <c r="CL35" s="475"/>
      <c r="CM35" s="475"/>
      <c r="CN35" s="475"/>
      <c r="CO35" s="475"/>
      <c r="CP35" s="475"/>
      <c r="CQ35" s="475"/>
      <c r="CR35" s="475"/>
      <c r="CS35" s="475"/>
      <c r="CT35" s="475"/>
      <c r="CU35" s="475"/>
      <c r="CV35" s="475"/>
      <c r="CW35" s="475"/>
      <c r="CX35" s="475"/>
      <c r="CY35" s="475"/>
      <c r="CZ35" s="475"/>
      <c r="DA35" s="475"/>
      <c r="DB35" s="475"/>
      <c r="DC35" s="475"/>
      <c r="DD35" s="475"/>
      <c r="DE35" s="475"/>
      <c r="DF35" s="475"/>
      <c r="DG35" s="475"/>
      <c r="DH35" s="475"/>
      <c r="DI35" s="475"/>
      <c r="DJ35" s="475"/>
      <c r="DK35" s="475"/>
      <c r="DL35" s="475"/>
      <c r="DM35" s="475"/>
      <c r="DN35" s="475"/>
      <c r="DO35" s="475"/>
      <c r="DP35" s="475"/>
      <c r="DQ35" s="475"/>
      <c r="DR35" s="475"/>
      <c r="DS35" s="475"/>
      <c r="DT35" s="475"/>
      <c r="DU35" s="475"/>
      <c r="DV35" s="475"/>
      <c r="DW35" s="475"/>
      <c r="DX35" s="475"/>
      <c r="DY35" s="475"/>
      <c r="DZ35" s="475"/>
      <c r="EA35" s="475"/>
      <c r="EB35" s="475"/>
      <c r="EC35" s="475"/>
      <c r="ED35" s="475"/>
      <c r="EE35" s="475"/>
      <c r="EF35" s="475"/>
      <c r="EG35" s="475"/>
      <c r="EH35" s="475"/>
      <c r="EI35" s="475"/>
      <c r="EJ35" s="475"/>
      <c r="EK35" s="475"/>
      <c r="EL35" s="475"/>
      <c r="EM35" s="475"/>
      <c r="EN35" s="475"/>
      <c r="EO35" s="475"/>
      <c r="EP35" s="475"/>
      <c r="EQ35" s="475"/>
      <c r="ER35" s="475"/>
      <c r="ES35" s="475"/>
      <c r="ET35" s="475"/>
      <c r="EU35" s="475"/>
      <c r="EV35" s="475"/>
      <c r="EW35" s="475"/>
      <c r="EX35" s="475"/>
      <c r="FA35" s="975"/>
      <c r="FD35" s="975"/>
      <c r="FE35" s="976"/>
    </row>
    <row r="36" spans="1:161" ht="18" customHeight="1">
      <c r="A36" s="579"/>
      <c r="K36" s="980">
        <f>SUM(K10:K35)</f>
        <v>0</v>
      </c>
      <c r="L36" s="800" t="s">
        <v>1763</v>
      </c>
      <c r="M36" s="981"/>
      <c r="N36" s="981"/>
      <c r="O36" s="982"/>
      <c r="P36" s="104">
        <f>SUM(P10:P34)</f>
        <v>0</v>
      </c>
      <c r="Q36" s="237">
        <f>IF(K36=0,0,P36/K36)</f>
        <v>0</v>
      </c>
      <c r="R36" s="463" t="str">
        <f>L36</f>
        <v>structure(s)</v>
      </c>
      <c r="V36" s="474"/>
      <c r="W36" s="474"/>
      <c r="X36" s="474"/>
      <c r="Y36" s="474"/>
      <c r="Z36" s="474"/>
      <c r="AA36" s="474"/>
      <c r="AB36" s="474"/>
      <c r="AC36" s="474"/>
      <c r="AD36" s="474"/>
      <c r="AE36" s="474"/>
      <c r="AF36" s="474"/>
      <c r="AG36" s="475"/>
      <c r="AH36" s="475"/>
      <c r="AI36" s="475"/>
      <c r="AJ36" s="475"/>
      <c r="AK36" s="475"/>
      <c r="AL36" s="475"/>
      <c r="AM36" s="475"/>
      <c r="AN36" s="475"/>
      <c r="AO36" s="475"/>
      <c r="AP36" s="475"/>
      <c r="AQ36" s="475"/>
      <c r="AR36" s="475"/>
      <c r="AS36" s="475"/>
      <c r="AT36" s="475"/>
      <c r="AU36" s="475"/>
      <c r="AV36" s="475"/>
      <c r="AW36" s="475"/>
      <c r="AX36" s="475"/>
      <c r="AY36" s="475"/>
      <c r="AZ36" s="475"/>
      <c r="BA36" s="475"/>
      <c r="BB36" s="475"/>
      <c r="BC36" s="475"/>
      <c r="BD36" s="475"/>
      <c r="BE36" s="475"/>
      <c r="BF36" s="475"/>
      <c r="BG36" s="475"/>
      <c r="BH36" s="475"/>
      <c r="BI36" s="475"/>
      <c r="BJ36" s="475"/>
      <c r="BK36" s="475"/>
      <c r="BL36" s="475"/>
      <c r="BM36" s="475"/>
      <c r="BN36" s="475"/>
      <c r="BO36" s="475"/>
      <c r="BP36" s="475"/>
      <c r="BQ36" s="475"/>
      <c r="BS36" s="475"/>
      <c r="BT36" s="475"/>
      <c r="BU36" s="475"/>
      <c r="BV36" s="475"/>
      <c r="BW36" s="475"/>
      <c r="BX36" s="475"/>
      <c r="BY36" s="475"/>
      <c r="BZ36" s="475"/>
      <c r="CA36" s="475"/>
      <c r="CB36" s="475"/>
      <c r="CC36" s="475"/>
      <c r="CD36" s="475"/>
      <c r="CE36" s="475"/>
      <c r="CF36" s="475"/>
      <c r="CG36" s="475"/>
      <c r="CH36" s="475"/>
      <c r="CI36" s="475"/>
      <c r="CJ36" s="475"/>
      <c r="CK36" s="475"/>
      <c r="CL36" s="475"/>
      <c r="CM36" s="475"/>
      <c r="CN36" s="475"/>
      <c r="CO36" s="475"/>
      <c r="CP36" s="475"/>
      <c r="CQ36" s="475"/>
      <c r="CR36" s="475"/>
      <c r="CS36" s="475"/>
      <c r="CT36" s="475"/>
      <c r="CU36" s="475"/>
      <c r="CV36" s="475"/>
      <c r="CW36" s="475"/>
      <c r="CX36" s="475"/>
      <c r="CY36" s="475"/>
      <c r="CZ36" s="475"/>
      <c r="DA36" s="475"/>
      <c r="DB36" s="475"/>
      <c r="DC36" s="475"/>
      <c r="DD36" s="475"/>
      <c r="DE36" s="475"/>
      <c r="DF36" s="475"/>
      <c r="DG36" s="475"/>
      <c r="DH36" s="475"/>
      <c r="DI36" s="475"/>
      <c r="DJ36" s="475"/>
      <c r="DK36" s="475"/>
      <c r="DL36" s="475"/>
      <c r="DM36" s="475"/>
      <c r="DN36" s="475"/>
      <c r="DO36" s="475"/>
      <c r="DP36" s="475"/>
      <c r="DQ36" s="475"/>
      <c r="DR36" s="475"/>
      <c r="DS36" s="475"/>
      <c r="DT36" s="475"/>
      <c r="DU36" s="475"/>
      <c r="DV36" s="475"/>
      <c r="DW36" s="475"/>
      <c r="DX36" s="475"/>
      <c r="DY36" s="475"/>
      <c r="DZ36" s="475"/>
      <c r="EA36" s="475"/>
      <c r="EB36" s="475"/>
      <c r="EC36" s="475"/>
      <c r="ED36" s="475"/>
      <c r="EE36" s="475"/>
      <c r="EF36" s="475"/>
      <c r="EG36" s="475"/>
      <c r="EH36" s="475"/>
      <c r="EI36" s="475"/>
      <c r="EJ36" s="475"/>
      <c r="EK36" s="475"/>
      <c r="EL36" s="475"/>
      <c r="EM36" s="475"/>
      <c r="EN36" s="475"/>
      <c r="EO36" s="475"/>
      <c r="EP36" s="475"/>
      <c r="EQ36" s="475"/>
      <c r="ER36" s="475"/>
      <c r="ES36" s="475"/>
      <c r="ET36" s="475"/>
      <c r="EU36" s="475"/>
      <c r="EV36" s="475"/>
      <c r="EW36" s="475"/>
      <c r="EX36" s="475"/>
      <c r="FA36" s="975"/>
      <c r="FE36" s="976"/>
    </row>
    <row r="37" spans="1:161" ht="18" customHeight="1">
      <c r="A37" s="579"/>
      <c r="M37" s="981"/>
      <c r="N37" s="981"/>
      <c r="O37" s="982"/>
      <c r="P37" s="982"/>
      <c r="Q37" s="982"/>
      <c r="R37" s="982"/>
      <c r="V37" s="474"/>
      <c r="W37" s="474"/>
      <c r="X37" s="474"/>
      <c r="Y37" s="474"/>
      <c r="Z37" s="474"/>
      <c r="AA37" s="474"/>
      <c r="AB37" s="474"/>
      <c r="AC37" s="474"/>
      <c r="AD37" s="474"/>
      <c r="AE37" s="474"/>
      <c r="AF37" s="474"/>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S37" s="475"/>
      <c r="BT37" s="475"/>
      <c r="BU37" s="475"/>
      <c r="BV37" s="475"/>
      <c r="BW37" s="475"/>
      <c r="BX37" s="475"/>
      <c r="BY37" s="475"/>
      <c r="BZ37" s="475"/>
      <c r="CA37" s="475"/>
      <c r="CB37" s="475"/>
      <c r="CC37" s="475"/>
      <c r="CD37" s="475"/>
      <c r="CE37" s="475"/>
      <c r="CF37" s="475"/>
      <c r="CG37" s="475"/>
      <c r="CH37" s="475"/>
      <c r="CI37" s="475"/>
      <c r="CJ37" s="475"/>
      <c r="CK37" s="475"/>
      <c r="CL37" s="475"/>
      <c r="CM37" s="475"/>
      <c r="CN37" s="475"/>
      <c r="CO37" s="475"/>
      <c r="CP37" s="475"/>
      <c r="CQ37" s="475"/>
      <c r="CR37" s="475"/>
      <c r="CS37" s="475"/>
      <c r="CT37" s="475"/>
      <c r="CU37" s="475"/>
      <c r="CV37" s="475"/>
      <c r="CW37" s="475"/>
      <c r="CX37" s="475"/>
      <c r="CY37" s="475"/>
      <c r="CZ37" s="475"/>
      <c r="DA37" s="475"/>
      <c r="DB37" s="475"/>
      <c r="DC37" s="475"/>
      <c r="DD37" s="475"/>
      <c r="DE37" s="475"/>
      <c r="DF37" s="475"/>
      <c r="DG37" s="475"/>
      <c r="DH37" s="475"/>
      <c r="DI37" s="475"/>
      <c r="DJ37" s="475"/>
      <c r="DK37" s="475"/>
      <c r="DL37" s="475"/>
      <c r="DM37" s="475"/>
      <c r="DN37" s="475"/>
      <c r="DO37" s="475"/>
      <c r="DP37" s="475"/>
      <c r="DQ37" s="475"/>
      <c r="DR37" s="475"/>
      <c r="DS37" s="475"/>
      <c r="DT37" s="475"/>
      <c r="DU37" s="475"/>
      <c r="DV37" s="475"/>
      <c r="DW37" s="475"/>
      <c r="DX37" s="475"/>
      <c r="DY37" s="475"/>
      <c r="DZ37" s="475"/>
      <c r="EA37" s="475"/>
      <c r="EB37" s="475"/>
      <c r="EC37" s="475"/>
      <c r="ED37" s="475"/>
      <c r="EE37" s="475"/>
      <c r="EF37" s="475"/>
      <c r="EG37" s="475"/>
      <c r="EH37" s="475"/>
      <c r="EI37" s="475"/>
      <c r="EJ37" s="475"/>
      <c r="EK37" s="475"/>
      <c r="EL37" s="475"/>
      <c r="EM37" s="475"/>
      <c r="EN37" s="475"/>
      <c r="EO37" s="475"/>
      <c r="EP37" s="475"/>
      <c r="EQ37" s="475"/>
      <c r="ER37" s="475"/>
      <c r="ES37" s="475"/>
      <c r="ET37" s="475"/>
      <c r="EU37" s="475"/>
      <c r="EV37" s="475"/>
      <c r="EW37" s="475"/>
      <c r="EX37" s="475"/>
      <c r="FA37" s="975"/>
      <c r="FE37" s="976"/>
    </row>
    <row r="38" spans="1:161" s="475" customFormat="1" ht="18" customHeight="1">
      <c r="B38" s="284" t="str">
        <f>HYPERLINK(C69,"Top")</f>
        <v>Top</v>
      </c>
      <c r="C38" s="820" t="s">
        <v>1764</v>
      </c>
      <c r="D38" s="816"/>
      <c r="G38" s="804"/>
      <c r="M38" s="474"/>
      <c r="N38" s="474"/>
      <c r="O38" s="474"/>
      <c r="P38" s="474"/>
      <c r="Q38" s="474"/>
      <c r="R38" s="474"/>
      <c r="S38" s="474"/>
      <c r="T38" s="474"/>
      <c r="U38" s="474"/>
      <c r="V38" s="474"/>
      <c r="W38" s="474"/>
      <c r="X38" s="474"/>
      <c r="Y38" s="474"/>
      <c r="Z38" s="474"/>
      <c r="AA38" s="474"/>
      <c r="AB38" s="474"/>
      <c r="AC38" s="474"/>
      <c r="BQ38" s="434"/>
      <c r="EZ38" s="975"/>
      <c r="FD38" s="976"/>
    </row>
    <row r="39" spans="1:161" ht="36" customHeight="1">
      <c r="A39" s="642"/>
      <c r="B39" s="774" t="s">
        <v>1517</v>
      </c>
      <c r="C39" s="774" t="s">
        <v>27</v>
      </c>
      <c r="D39" s="821" t="s">
        <v>1583</v>
      </c>
      <c r="E39" s="812" t="s">
        <v>1765</v>
      </c>
      <c r="F39" s="822"/>
      <c r="G39" s="822"/>
      <c r="H39" s="823" t="s">
        <v>244</v>
      </c>
      <c r="I39" s="773" t="s">
        <v>2</v>
      </c>
      <c r="J39" s="773" t="s">
        <v>1521</v>
      </c>
      <c r="K39" s="773" t="s">
        <v>1757</v>
      </c>
      <c r="L39" s="773" t="s">
        <v>1550</v>
      </c>
      <c r="M39" s="775" t="s">
        <v>1758</v>
      </c>
      <c r="N39" s="776" t="s">
        <v>1759</v>
      </c>
      <c r="O39" s="576"/>
      <c r="P39" s="576"/>
      <c r="Q39" s="576"/>
      <c r="R39" s="963"/>
      <c r="S39" s="474"/>
      <c r="T39" s="474"/>
      <c r="U39" s="474"/>
      <c r="V39" s="474"/>
      <c r="W39" s="474"/>
      <c r="X39" s="474"/>
      <c r="Y39" s="474"/>
      <c r="Z39" s="474"/>
      <c r="AA39" s="474"/>
      <c r="AB39" s="474"/>
      <c r="AC39" s="474"/>
      <c r="AD39" s="475"/>
      <c r="AE39" s="475"/>
      <c r="AF39" s="475"/>
      <c r="AG39" s="475"/>
      <c r="AH39" s="475"/>
      <c r="AI39" s="475"/>
      <c r="AJ39" s="475"/>
      <c r="AK39" s="475"/>
      <c r="AL39" s="475"/>
      <c r="AM39" s="475"/>
      <c r="AN39" s="475"/>
      <c r="AO39" s="475"/>
      <c r="AP39" s="475"/>
      <c r="AQ39" s="475"/>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R39" s="475"/>
      <c r="BS39" s="475"/>
      <c r="BT39" s="475"/>
      <c r="BU39" s="475"/>
      <c r="BV39" s="475"/>
      <c r="BW39" s="475"/>
      <c r="BX39" s="475"/>
      <c r="BY39" s="475"/>
      <c r="BZ39" s="475"/>
      <c r="CA39" s="475"/>
      <c r="CB39" s="475"/>
      <c r="CC39" s="475"/>
      <c r="CD39" s="475"/>
      <c r="CE39" s="475"/>
      <c r="CF39" s="475"/>
      <c r="CG39" s="475"/>
      <c r="CH39" s="475"/>
      <c r="CI39" s="475"/>
      <c r="CJ39" s="475"/>
      <c r="CK39" s="475"/>
      <c r="CL39" s="475"/>
      <c r="CM39" s="475"/>
      <c r="CN39" s="475"/>
      <c r="CO39" s="475"/>
      <c r="CP39" s="475"/>
      <c r="CQ39" s="475"/>
      <c r="CR39" s="475"/>
      <c r="CS39" s="475"/>
      <c r="CT39" s="475"/>
      <c r="CU39" s="475"/>
      <c r="CV39" s="475"/>
      <c r="CW39" s="475"/>
      <c r="CX39" s="475"/>
      <c r="CY39" s="475"/>
      <c r="CZ39" s="475"/>
      <c r="DA39" s="475"/>
      <c r="DB39" s="475"/>
      <c r="DC39" s="475"/>
      <c r="DD39" s="475"/>
      <c r="DE39" s="475"/>
      <c r="DF39" s="475"/>
      <c r="DG39" s="475"/>
      <c r="DH39" s="475"/>
      <c r="DI39" s="475"/>
      <c r="DJ39" s="475"/>
      <c r="DK39" s="475"/>
      <c r="DL39" s="475"/>
      <c r="DM39" s="475"/>
      <c r="DN39" s="475"/>
      <c r="DO39" s="475"/>
      <c r="DP39" s="475"/>
      <c r="DQ39" s="475"/>
      <c r="DR39" s="475"/>
      <c r="DS39" s="475"/>
      <c r="DT39" s="475"/>
      <c r="DU39" s="475"/>
      <c r="DV39" s="475"/>
      <c r="DW39" s="475"/>
      <c r="DX39" s="475"/>
      <c r="DY39" s="475"/>
      <c r="DZ39" s="475"/>
      <c r="EA39" s="475"/>
      <c r="EB39" s="475"/>
      <c r="EC39" s="475"/>
      <c r="ED39" s="475"/>
      <c r="EE39" s="475"/>
      <c r="EF39" s="475"/>
      <c r="EG39" s="475"/>
      <c r="EH39" s="475"/>
      <c r="EI39" s="475"/>
      <c r="EJ39" s="475"/>
      <c r="EK39" s="475"/>
      <c r="EL39" s="475"/>
      <c r="EM39" s="475"/>
      <c r="EN39" s="475"/>
      <c r="EO39" s="475"/>
      <c r="EP39" s="475"/>
      <c r="EQ39" s="475"/>
      <c r="ER39" s="475"/>
      <c r="ES39" s="475"/>
      <c r="ET39" s="475"/>
      <c r="EU39" s="475"/>
      <c r="EV39" s="475"/>
      <c r="EW39" s="475"/>
      <c r="EZ39" s="975"/>
      <c r="FD39" s="976"/>
    </row>
    <row r="40" spans="1:161" ht="18" customHeight="1">
      <c r="A40" s="474"/>
      <c r="B40" s="474"/>
      <c r="C40" s="474"/>
      <c r="D40" s="474"/>
      <c r="E40" s="160" t="s">
        <v>1646</v>
      </c>
      <c r="F40" s="474"/>
      <c r="G40" s="474"/>
      <c r="H40" s="474"/>
      <c r="I40" s="474"/>
      <c r="J40" s="474"/>
      <c r="K40" s="474"/>
      <c r="L40" s="474"/>
      <c r="M40" s="474"/>
      <c r="N40" s="964"/>
      <c r="O40" s="474"/>
      <c r="P40" s="474"/>
      <c r="Q40" s="474"/>
      <c r="R40" s="474"/>
      <c r="S40" s="474"/>
      <c r="T40" s="474"/>
      <c r="U40" s="474"/>
      <c r="V40" s="474"/>
      <c r="W40" s="474"/>
      <c r="X40" s="474"/>
      <c r="Y40" s="474"/>
      <c r="Z40" s="474"/>
      <c r="AA40" s="474"/>
      <c r="AB40" s="474"/>
      <c r="AC40" s="474"/>
      <c r="AD40" s="475"/>
      <c r="AE40" s="475"/>
      <c r="AF40" s="475"/>
      <c r="AG40" s="475"/>
      <c r="AH40" s="475"/>
      <c r="AI40" s="475"/>
      <c r="AJ40" s="475"/>
      <c r="AK40" s="475"/>
      <c r="AL40" s="475"/>
      <c r="AM40" s="475"/>
      <c r="AN40" s="475"/>
      <c r="AO40" s="475"/>
      <c r="AP40" s="475"/>
      <c r="AQ40" s="475"/>
      <c r="AR40" s="475"/>
      <c r="AS40" s="475"/>
      <c r="AT40" s="475"/>
      <c r="AU40" s="475"/>
      <c r="AV40" s="475"/>
      <c r="AW40" s="475"/>
      <c r="AX40" s="475"/>
      <c r="AY40" s="475"/>
      <c r="AZ40" s="475"/>
      <c r="BA40" s="475"/>
      <c r="BB40" s="475"/>
      <c r="BC40" s="475"/>
      <c r="BD40" s="475"/>
      <c r="BE40" s="475"/>
      <c r="BF40" s="475"/>
      <c r="BG40" s="475"/>
      <c r="BH40" s="475"/>
      <c r="BI40" s="475"/>
      <c r="BJ40" s="475"/>
      <c r="BK40" s="475"/>
      <c r="BL40" s="475"/>
      <c r="BM40" s="475"/>
      <c r="BN40" s="475"/>
      <c r="BO40" s="475"/>
      <c r="BP40" s="475"/>
      <c r="BR40" s="475"/>
      <c r="BS40" s="475"/>
      <c r="BT40" s="475"/>
      <c r="BU40" s="475"/>
      <c r="BV40" s="475"/>
      <c r="BW40" s="475"/>
      <c r="BX40" s="475"/>
      <c r="BY40" s="475"/>
      <c r="BZ40" s="475"/>
      <c r="CA40" s="475"/>
      <c r="CB40" s="475"/>
      <c r="CC40" s="475"/>
      <c r="CD40" s="475"/>
      <c r="CE40" s="475"/>
      <c r="CF40" s="475"/>
      <c r="CG40" s="475"/>
      <c r="CH40" s="475"/>
      <c r="CI40" s="475"/>
      <c r="CJ40" s="475"/>
      <c r="CK40" s="475"/>
      <c r="CL40" s="475"/>
      <c r="CM40" s="475"/>
      <c r="CN40" s="475"/>
      <c r="CO40" s="475"/>
      <c r="CP40" s="475"/>
      <c r="CQ40" s="475"/>
      <c r="CR40" s="475"/>
      <c r="CS40" s="475"/>
      <c r="CT40" s="475"/>
      <c r="CU40" s="475"/>
      <c r="CV40" s="475"/>
      <c r="CW40" s="475"/>
      <c r="CX40" s="475"/>
      <c r="CY40" s="475"/>
      <c r="CZ40" s="475"/>
      <c r="DA40" s="475"/>
      <c r="DB40" s="475"/>
      <c r="DC40" s="475"/>
      <c r="DD40" s="475"/>
      <c r="DE40" s="475"/>
      <c r="DF40" s="475"/>
      <c r="DG40" s="475"/>
      <c r="DH40" s="475"/>
      <c r="DI40" s="475"/>
      <c r="DJ40" s="475"/>
      <c r="DK40" s="475"/>
      <c r="DL40" s="475"/>
      <c r="DM40" s="475"/>
      <c r="DN40" s="475"/>
      <c r="DO40" s="475"/>
      <c r="DP40" s="475"/>
      <c r="DQ40" s="475"/>
      <c r="DR40" s="475"/>
      <c r="DS40" s="475"/>
      <c r="DT40" s="475"/>
      <c r="DU40" s="475"/>
      <c r="DV40" s="475"/>
      <c r="DW40" s="475"/>
      <c r="DX40" s="475"/>
      <c r="DY40" s="475"/>
      <c r="DZ40" s="475"/>
      <c r="EA40" s="475"/>
      <c r="EB40" s="475"/>
      <c r="EC40" s="475"/>
      <c r="ED40" s="475"/>
      <c r="EE40" s="475"/>
      <c r="EF40" s="475"/>
      <c r="EG40" s="475"/>
      <c r="EH40" s="475"/>
      <c r="EI40" s="475"/>
      <c r="EJ40" s="475"/>
      <c r="EK40" s="475"/>
      <c r="EL40" s="475"/>
      <c r="EM40" s="475"/>
      <c r="EN40" s="475"/>
      <c r="EO40" s="475"/>
      <c r="EP40" s="475"/>
      <c r="EQ40" s="475"/>
      <c r="ER40" s="475"/>
      <c r="ES40" s="475"/>
      <c r="ET40" s="475"/>
      <c r="EU40" s="475"/>
      <c r="EV40" s="475"/>
      <c r="EW40" s="475"/>
      <c r="EZ40" s="975"/>
      <c r="FD40" s="976"/>
    </row>
    <row r="41" spans="1:161" s="495" customFormat="1">
      <c r="B41" s="310"/>
      <c r="C41" s="824">
        <v>1</v>
      </c>
      <c r="D41" s="175"/>
      <c r="E41" s="79" t="s">
        <v>1766</v>
      </c>
      <c r="F41" s="59"/>
      <c r="G41" s="59"/>
      <c r="H41" s="328"/>
      <c r="I41" s="824" t="str">
        <f>VLOOKUP(J41,TOV!$C$434:$G$448,TOV!$G$1,FALSE)</f>
        <v>ha</v>
      </c>
      <c r="J41" s="970" t="str">
        <f>VLOOKUP(E41,CHOOSE({3,2,1},TOV!$C$435:$C$448,TOV!$D$435:$D$448,TOV!$E$435:$E$448),3,FALSE)</f>
        <v>#5.138</v>
      </c>
      <c r="K41" s="983">
        <f>VLOOKUP(J41,TOV!$C$434:$G$448,TOV!$F$1,FALSE)</f>
        <v>80000</v>
      </c>
      <c r="L41" s="117"/>
      <c r="M41" s="122">
        <f>H41*IF(L41="",K41,L41)</f>
        <v>0</v>
      </c>
      <c r="N41" s="192"/>
      <c r="O41" s="191"/>
      <c r="P41" s="191"/>
      <c r="Q41" s="191"/>
      <c r="R41" s="190"/>
      <c r="S41" s="474"/>
      <c r="T41" s="474"/>
      <c r="U41" s="474"/>
      <c r="V41" s="474"/>
      <c r="W41" s="474"/>
      <c r="X41" s="474"/>
      <c r="Y41" s="474"/>
      <c r="Z41" s="474"/>
      <c r="AA41" s="474"/>
      <c r="AB41" s="474"/>
      <c r="AC41" s="474"/>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475"/>
      <c r="AZ41" s="475"/>
      <c r="BA41" s="475"/>
      <c r="BB41" s="475"/>
      <c r="BC41" s="475"/>
      <c r="BD41" s="475"/>
      <c r="BE41" s="475"/>
      <c r="BF41" s="475"/>
      <c r="BG41" s="475"/>
      <c r="BH41" s="475"/>
      <c r="BI41" s="475"/>
      <c r="BJ41" s="475"/>
      <c r="BK41" s="475"/>
      <c r="BL41" s="475"/>
      <c r="BM41" s="475"/>
      <c r="BN41" s="475"/>
      <c r="BO41" s="475"/>
      <c r="BP41" s="475"/>
      <c r="BQ41" s="434"/>
      <c r="BR41" s="475"/>
      <c r="BS41" s="475"/>
      <c r="BT41" s="475"/>
      <c r="BU41" s="475"/>
      <c r="BV41" s="475"/>
      <c r="BW41" s="475"/>
      <c r="BX41" s="475"/>
      <c r="BY41" s="475"/>
      <c r="BZ41" s="475"/>
      <c r="CA41" s="475"/>
      <c r="CB41" s="475"/>
      <c r="CC41" s="475"/>
      <c r="CD41" s="475"/>
      <c r="CE41" s="475"/>
      <c r="CF41" s="475"/>
      <c r="CG41" s="475"/>
      <c r="CH41" s="475"/>
      <c r="CI41" s="475"/>
      <c r="CJ41" s="475"/>
      <c r="CK41" s="475"/>
      <c r="CL41" s="475"/>
      <c r="CM41" s="475"/>
      <c r="CN41" s="475"/>
      <c r="CO41" s="475"/>
      <c r="CP41" s="475"/>
      <c r="CQ41" s="475"/>
      <c r="CR41" s="475"/>
      <c r="CS41" s="475"/>
      <c r="CT41" s="475"/>
      <c r="CU41" s="475"/>
      <c r="CV41" s="475"/>
      <c r="CW41" s="475"/>
      <c r="CX41" s="475"/>
      <c r="CY41" s="475"/>
      <c r="CZ41" s="475"/>
      <c r="DA41" s="475"/>
      <c r="DB41" s="475"/>
      <c r="DC41" s="475"/>
      <c r="DD41" s="475"/>
      <c r="DE41" s="475"/>
      <c r="DF41" s="475"/>
      <c r="DG41" s="475"/>
      <c r="DH41" s="475"/>
      <c r="DI41" s="475"/>
      <c r="DJ41" s="475"/>
      <c r="DK41" s="475"/>
      <c r="DL41" s="475"/>
      <c r="DM41" s="475"/>
      <c r="DN41" s="475"/>
      <c r="DO41" s="475"/>
      <c r="DP41" s="475"/>
      <c r="DQ41" s="475"/>
      <c r="DR41" s="475"/>
      <c r="DS41" s="475"/>
      <c r="DT41" s="475"/>
      <c r="DU41" s="475"/>
      <c r="DV41" s="475"/>
      <c r="DW41" s="475"/>
      <c r="DX41" s="475"/>
      <c r="DY41" s="475"/>
      <c r="DZ41" s="475"/>
      <c r="EA41" s="475"/>
      <c r="EB41" s="475"/>
      <c r="EC41" s="475"/>
      <c r="ED41" s="475"/>
      <c r="EE41" s="475"/>
      <c r="EF41" s="475"/>
      <c r="EG41" s="475"/>
      <c r="EH41" s="475"/>
      <c r="EI41" s="475"/>
      <c r="EJ41" s="475"/>
      <c r="EK41" s="475"/>
      <c r="EL41" s="475"/>
      <c r="EM41" s="475"/>
      <c r="EN41" s="475"/>
      <c r="EO41" s="475"/>
      <c r="EP41" s="475"/>
      <c r="EQ41" s="475"/>
      <c r="ER41" s="475"/>
      <c r="ES41" s="475"/>
      <c r="ET41" s="475"/>
      <c r="EU41" s="475"/>
      <c r="EV41" s="475"/>
      <c r="EW41" s="475"/>
      <c r="EZ41" s="975"/>
      <c r="FD41" s="976"/>
    </row>
    <row r="42" spans="1:161" s="495" customFormat="1">
      <c r="B42" s="310"/>
      <c r="C42" s="824">
        <f>C41+1</f>
        <v>2</v>
      </c>
      <c r="D42" s="175"/>
      <c r="E42" s="79" t="s">
        <v>1767</v>
      </c>
      <c r="F42" s="59"/>
      <c r="G42" s="59"/>
      <c r="H42" s="328"/>
      <c r="I42" s="824" t="str">
        <f>VLOOKUP(J42,TOV!$C$434:$G$448,TOV!$G$1,FALSE)</f>
        <v>ha</v>
      </c>
      <c r="J42" s="970" t="str">
        <f>VLOOKUP(E42,CHOOSE({3,2,1},TOV!$C$435:$C$448,TOV!$D$435:$D$448,TOV!$E$435:$E$448),3,FALSE)</f>
        <v>#5.139</v>
      </c>
      <c r="K42" s="983">
        <f>VLOOKUP(J42,TOV!$C$434:$G$448,TOV!$F$1,FALSE)</f>
        <v>78000</v>
      </c>
      <c r="L42" s="117"/>
      <c r="M42" s="122">
        <f t="shared" ref="M42:M50" si="6">H42*IF(L42="",K42,L42)</f>
        <v>0</v>
      </c>
      <c r="N42" s="192"/>
      <c r="O42" s="191"/>
      <c r="P42" s="191"/>
      <c r="Q42" s="191"/>
      <c r="R42" s="190"/>
      <c r="S42" s="474"/>
      <c r="T42" s="474"/>
      <c r="U42" s="474"/>
      <c r="V42" s="474"/>
      <c r="W42" s="474"/>
      <c r="X42" s="474"/>
      <c r="Y42" s="474"/>
      <c r="Z42" s="474"/>
      <c r="AA42" s="474"/>
      <c r="AB42" s="474"/>
      <c r="AC42" s="474"/>
      <c r="AD42" s="475"/>
      <c r="AE42" s="475"/>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75"/>
      <c r="BM42" s="475"/>
      <c r="BN42" s="475"/>
      <c r="BO42" s="475"/>
      <c r="BP42" s="475"/>
      <c r="BQ42" s="434"/>
      <c r="BR42" s="475"/>
      <c r="BS42" s="475"/>
      <c r="BT42" s="475"/>
      <c r="BU42" s="475"/>
      <c r="BV42" s="475"/>
      <c r="BW42" s="475"/>
      <c r="BX42" s="475"/>
      <c r="BY42" s="475"/>
      <c r="BZ42" s="475"/>
      <c r="CA42" s="475"/>
      <c r="CB42" s="475"/>
      <c r="CC42" s="475"/>
      <c r="CD42" s="475"/>
      <c r="CE42" s="475"/>
      <c r="CF42" s="475"/>
      <c r="CG42" s="475"/>
      <c r="CH42" s="475"/>
      <c r="CI42" s="475"/>
      <c r="CJ42" s="475"/>
      <c r="CK42" s="475"/>
      <c r="CL42" s="475"/>
      <c r="CM42" s="475"/>
      <c r="CN42" s="475"/>
      <c r="CO42" s="475"/>
      <c r="CP42" s="475"/>
      <c r="CQ42" s="475"/>
      <c r="CR42" s="475"/>
      <c r="CS42" s="475"/>
      <c r="CT42" s="475"/>
      <c r="CU42" s="475"/>
      <c r="CV42" s="475"/>
      <c r="CW42" s="475"/>
      <c r="CX42" s="475"/>
      <c r="CY42" s="475"/>
      <c r="CZ42" s="475"/>
      <c r="DA42" s="475"/>
      <c r="DB42" s="475"/>
      <c r="DC42" s="475"/>
      <c r="DD42" s="475"/>
      <c r="DE42" s="475"/>
      <c r="DF42" s="475"/>
      <c r="DG42" s="475"/>
      <c r="DH42" s="475"/>
      <c r="DI42" s="475"/>
      <c r="DJ42" s="475"/>
      <c r="DK42" s="475"/>
      <c r="DL42" s="475"/>
      <c r="DM42" s="475"/>
      <c r="DN42" s="475"/>
      <c r="DO42" s="475"/>
      <c r="DP42" s="475"/>
      <c r="DQ42" s="475"/>
      <c r="DR42" s="475"/>
      <c r="DS42" s="475"/>
      <c r="DT42" s="475"/>
      <c r="DU42" s="475"/>
      <c r="DV42" s="475"/>
      <c r="DW42" s="475"/>
      <c r="DX42" s="475"/>
      <c r="DY42" s="475"/>
      <c r="DZ42" s="475"/>
      <c r="EA42" s="475"/>
      <c r="EB42" s="475"/>
      <c r="EC42" s="475"/>
      <c r="ED42" s="475"/>
      <c r="EE42" s="475"/>
      <c r="EF42" s="475"/>
      <c r="EG42" s="475"/>
      <c r="EH42" s="475"/>
      <c r="EI42" s="475"/>
      <c r="EJ42" s="475"/>
      <c r="EK42" s="475"/>
      <c r="EL42" s="475"/>
      <c r="EM42" s="475"/>
      <c r="EN42" s="475"/>
      <c r="EO42" s="475"/>
      <c r="EP42" s="475"/>
      <c r="EQ42" s="475"/>
      <c r="ER42" s="475"/>
      <c r="ES42" s="475"/>
      <c r="ET42" s="475"/>
      <c r="EU42" s="475"/>
      <c r="EV42" s="475"/>
      <c r="EW42" s="475"/>
      <c r="EZ42" s="975"/>
      <c r="FD42" s="976"/>
    </row>
    <row r="43" spans="1:161" s="495" customFormat="1">
      <c r="B43" s="310"/>
      <c r="C43" s="824">
        <f t="shared" ref="C43:C60" si="7">C42+1</f>
        <v>3</v>
      </c>
      <c r="D43" s="175"/>
      <c r="E43" s="79" t="s">
        <v>1768</v>
      </c>
      <c r="F43" s="59"/>
      <c r="G43" s="59"/>
      <c r="H43" s="328"/>
      <c r="I43" s="824" t="str">
        <f>VLOOKUP(J43,TOV!$C$434:$G$448,TOV!$G$1,FALSE)</f>
        <v>ha</v>
      </c>
      <c r="J43" s="970" t="str">
        <f>VLOOKUP(E43,CHOOSE({3,2,1},TOV!$C$435:$C$448,TOV!$D$435:$D$448,TOV!$E$435:$E$448),3,FALSE)</f>
        <v>#5.140</v>
      </c>
      <c r="K43" s="983">
        <f>VLOOKUP(J43,TOV!$C$434:$G$448,TOV!$F$1,FALSE)</f>
        <v>75000</v>
      </c>
      <c r="L43" s="117"/>
      <c r="M43" s="122">
        <f t="shared" si="6"/>
        <v>0</v>
      </c>
      <c r="N43" s="192"/>
      <c r="O43" s="191"/>
      <c r="P43" s="191"/>
      <c r="Q43" s="191"/>
      <c r="R43" s="190"/>
      <c r="S43" s="474"/>
      <c r="T43" s="474"/>
      <c r="U43" s="474"/>
      <c r="V43" s="474"/>
      <c r="W43" s="474"/>
      <c r="X43" s="474"/>
      <c r="Y43" s="474"/>
      <c r="Z43" s="474"/>
      <c r="AA43" s="474"/>
      <c r="AB43" s="474"/>
      <c r="AC43" s="474"/>
      <c r="AD43" s="475"/>
      <c r="AE43" s="475"/>
      <c r="AF43" s="475"/>
      <c r="AG43" s="475"/>
      <c r="AH43" s="475"/>
      <c r="AI43" s="475"/>
      <c r="AJ43" s="475"/>
      <c r="AK43" s="475"/>
      <c r="AL43" s="475"/>
      <c r="AM43" s="475"/>
      <c r="AN43" s="475"/>
      <c r="AO43" s="475"/>
      <c r="AP43" s="475"/>
      <c r="AQ43" s="475"/>
      <c r="AR43" s="475"/>
      <c r="AS43" s="475"/>
      <c r="AT43" s="475"/>
      <c r="AU43" s="475"/>
      <c r="AV43" s="475"/>
      <c r="AW43" s="475"/>
      <c r="AX43" s="475"/>
      <c r="AY43" s="475"/>
      <c r="AZ43" s="475"/>
      <c r="BA43" s="475"/>
      <c r="BB43" s="475"/>
      <c r="BC43" s="475"/>
      <c r="BD43" s="475"/>
      <c r="BE43" s="475"/>
      <c r="BF43" s="475"/>
      <c r="BG43" s="475"/>
      <c r="BH43" s="475"/>
      <c r="BI43" s="475"/>
      <c r="BJ43" s="475"/>
      <c r="BK43" s="475"/>
      <c r="BL43" s="475"/>
      <c r="BM43" s="475"/>
      <c r="BN43" s="475"/>
      <c r="BO43" s="475"/>
      <c r="BP43" s="475"/>
      <c r="BQ43" s="434"/>
      <c r="BR43" s="475"/>
      <c r="BS43" s="475"/>
      <c r="BT43" s="475"/>
      <c r="BU43" s="475"/>
      <c r="BV43" s="475"/>
      <c r="BW43" s="475"/>
      <c r="BX43" s="475"/>
      <c r="BY43" s="475"/>
      <c r="BZ43" s="475"/>
      <c r="CA43" s="475"/>
      <c r="CB43" s="475"/>
      <c r="CC43" s="475"/>
      <c r="CD43" s="475"/>
      <c r="CE43" s="475"/>
      <c r="CF43" s="475"/>
      <c r="CG43" s="475"/>
      <c r="CH43" s="475"/>
      <c r="CI43" s="475"/>
      <c r="CJ43" s="475"/>
      <c r="CK43" s="475"/>
      <c r="CL43" s="475"/>
      <c r="CM43" s="475"/>
      <c r="CN43" s="475"/>
      <c r="CO43" s="475"/>
      <c r="CP43" s="475"/>
      <c r="CQ43" s="475"/>
      <c r="CR43" s="475"/>
      <c r="CS43" s="475"/>
      <c r="CT43" s="475"/>
      <c r="CU43" s="475"/>
      <c r="CV43" s="475"/>
      <c r="CW43" s="475"/>
      <c r="CX43" s="475"/>
      <c r="CY43" s="475"/>
      <c r="CZ43" s="475"/>
      <c r="DA43" s="475"/>
      <c r="DB43" s="475"/>
      <c r="DC43" s="475"/>
      <c r="DD43" s="475"/>
      <c r="DE43" s="475"/>
      <c r="DF43" s="475"/>
      <c r="DG43" s="475"/>
      <c r="DH43" s="475"/>
      <c r="DI43" s="475"/>
      <c r="DJ43" s="475"/>
      <c r="DK43" s="475"/>
      <c r="DL43" s="475"/>
      <c r="DM43" s="475"/>
      <c r="DN43" s="475"/>
      <c r="DO43" s="475"/>
      <c r="DP43" s="475"/>
      <c r="DQ43" s="475"/>
      <c r="DR43" s="475"/>
      <c r="DS43" s="475"/>
      <c r="DT43" s="475"/>
      <c r="DU43" s="475"/>
      <c r="DV43" s="475"/>
      <c r="DW43" s="475"/>
      <c r="DX43" s="475"/>
      <c r="DY43" s="475"/>
      <c r="DZ43" s="475"/>
      <c r="EA43" s="475"/>
      <c r="EB43" s="475"/>
      <c r="EC43" s="475"/>
      <c r="ED43" s="475"/>
      <c r="EE43" s="475"/>
      <c r="EF43" s="475"/>
      <c r="EG43" s="475"/>
      <c r="EH43" s="475"/>
      <c r="EI43" s="475"/>
      <c r="EJ43" s="475"/>
      <c r="EK43" s="475"/>
      <c r="EL43" s="475"/>
      <c r="EM43" s="475"/>
      <c r="EN43" s="475"/>
      <c r="EO43" s="475"/>
      <c r="EP43" s="475"/>
      <c r="EQ43" s="475"/>
      <c r="ER43" s="475"/>
      <c r="ES43" s="475"/>
      <c r="ET43" s="475"/>
      <c r="EU43" s="475"/>
      <c r="EV43" s="475"/>
      <c r="EW43" s="475"/>
      <c r="EZ43" s="975"/>
      <c r="FD43" s="976"/>
    </row>
    <row r="44" spans="1:161" s="495" customFormat="1">
      <c r="B44" s="310"/>
      <c r="C44" s="824">
        <f t="shared" si="7"/>
        <v>4</v>
      </c>
      <c r="D44" s="175"/>
      <c r="E44" s="79" t="s">
        <v>1769</v>
      </c>
      <c r="F44" s="59"/>
      <c r="G44" s="59"/>
      <c r="H44" s="328"/>
      <c r="I44" s="824" t="str">
        <f>VLOOKUP(J44,TOV!$C$434:$G$448,TOV!$G$1,FALSE)</f>
        <v>ha</v>
      </c>
      <c r="J44" s="970" t="str">
        <f>VLOOKUP(E44,CHOOSE({3,2,1},TOV!$C$435:$C$448,TOV!$D$435:$D$448,TOV!$E$435:$E$448),3,FALSE)</f>
        <v>#5.141</v>
      </c>
      <c r="K44" s="983">
        <f>VLOOKUP(J44,TOV!$C$434:$G$448,TOV!$F$1,FALSE)</f>
        <v>74000</v>
      </c>
      <c r="L44" s="117"/>
      <c r="M44" s="122">
        <f t="shared" si="6"/>
        <v>0</v>
      </c>
      <c r="N44" s="192"/>
      <c r="O44" s="191"/>
      <c r="P44" s="191"/>
      <c r="Q44" s="191"/>
      <c r="R44" s="190"/>
      <c r="S44" s="474"/>
      <c r="T44" s="474"/>
      <c r="U44" s="474"/>
      <c r="V44" s="474"/>
      <c r="W44" s="474"/>
      <c r="X44" s="474"/>
      <c r="Y44" s="474"/>
      <c r="Z44" s="474"/>
      <c r="AA44" s="474"/>
      <c r="AB44" s="474"/>
      <c r="AC44" s="474"/>
      <c r="AD44" s="475"/>
      <c r="AE44" s="475"/>
      <c r="AF44" s="475"/>
      <c r="AG44" s="475"/>
      <c r="AH44" s="475"/>
      <c r="AI44" s="475"/>
      <c r="AJ44" s="475"/>
      <c r="AK44" s="475"/>
      <c r="AL44" s="475"/>
      <c r="AM44" s="475"/>
      <c r="AN44" s="475"/>
      <c r="AO44" s="475"/>
      <c r="AP44" s="475"/>
      <c r="AQ44" s="475"/>
      <c r="AR44" s="475"/>
      <c r="AS44" s="475"/>
      <c r="AT44" s="475"/>
      <c r="AU44" s="475"/>
      <c r="AV44" s="475"/>
      <c r="AW44" s="475"/>
      <c r="AX44" s="475"/>
      <c r="AY44" s="475"/>
      <c r="AZ44" s="475"/>
      <c r="BA44" s="475"/>
      <c r="BB44" s="475"/>
      <c r="BC44" s="475"/>
      <c r="BD44" s="475"/>
      <c r="BE44" s="475"/>
      <c r="BF44" s="475"/>
      <c r="BG44" s="475"/>
      <c r="BH44" s="475"/>
      <c r="BI44" s="475"/>
      <c r="BJ44" s="475"/>
      <c r="BK44" s="475"/>
      <c r="BL44" s="475"/>
      <c r="BM44" s="475"/>
      <c r="BN44" s="475"/>
      <c r="BO44" s="475"/>
      <c r="BP44" s="475"/>
      <c r="BQ44" s="434"/>
      <c r="BR44" s="475"/>
      <c r="BS44" s="475"/>
      <c r="BT44" s="475"/>
      <c r="BU44" s="475"/>
      <c r="BV44" s="475"/>
      <c r="BW44" s="475"/>
      <c r="BX44" s="475"/>
      <c r="BY44" s="475"/>
      <c r="BZ44" s="475"/>
      <c r="CA44" s="475"/>
      <c r="CB44" s="475"/>
      <c r="CC44" s="475"/>
      <c r="CD44" s="475"/>
      <c r="CE44" s="475"/>
      <c r="CF44" s="475"/>
      <c r="CG44" s="475"/>
      <c r="CH44" s="475"/>
      <c r="CI44" s="475"/>
      <c r="CJ44" s="475"/>
      <c r="CK44" s="475"/>
      <c r="CL44" s="475"/>
      <c r="CM44" s="475"/>
      <c r="CN44" s="475"/>
      <c r="CO44" s="475"/>
      <c r="CP44" s="475"/>
      <c r="CQ44" s="475"/>
      <c r="CR44" s="475"/>
      <c r="CS44" s="475"/>
      <c r="CT44" s="475"/>
      <c r="CU44" s="475"/>
      <c r="CV44" s="475"/>
      <c r="CW44" s="475"/>
      <c r="CX44" s="475"/>
      <c r="CY44" s="475"/>
      <c r="CZ44" s="475"/>
      <c r="DA44" s="475"/>
      <c r="DB44" s="475"/>
      <c r="DC44" s="475"/>
      <c r="DD44" s="475"/>
      <c r="DE44" s="475"/>
      <c r="DF44" s="475"/>
      <c r="DG44" s="475"/>
      <c r="DH44" s="475"/>
      <c r="DI44" s="475"/>
      <c r="DJ44" s="475"/>
      <c r="DK44" s="475"/>
      <c r="DL44" s="475"/>
      <c r="DM44" s="475"/>
      <c r="DN44" s="475"/>
      <c r="DO44" s="475"/>
      <c r="DP44" s="475"/>
      <c r="DQ44" s="475"/>
      <c r="DR44" s="475"/>
      <c r="DS44" s="475"/>
      <c r="DT44" s="475"/>
      <c r="DU44" s="475"/>
      <c r="DV44" s="475"/>
      <c r="DW44" s="475"/>
      <c r="DX44" s="475"/>
      <c r="DY44" s="475"/>
      <c r="DZ44" s="475"/>
      <c r="EA44" s="475"/>
      <c r="EB44" s="475"/>
      <c r="EC44" s="475"/>
      <c r="ED44" s="475"/>
      <c r="EE44" s="475"/>
      <c r="EF44" s="475"/>
      <c r="EG44" s="475"/>
      <c r="EH44" s="475"/>
      <c r="EI44" s="475"/>
      <c r="EJ44" s="475"/>
      <c r="EK44" s="475"/>
      <c r="EL44" s="475"/>
      <c r="EM44" s="475"/>
      <c r="EN44" s="475"/>
      <c r="EO44" s="475"/>
      <c r="EP44" s="475"/>
      <c r="EQ44" s="475"/>
      <c r="ER44" s="475"/>
      <c r="ES44" s="475"/>
      <c r="ET44" s="475"/>
      <c r="EU44" s="475"/>
      <c r="EV44" s="475"/>
      <c r="EW44" s="475"/>
      <c r="EZ44" s="975"/>
      <c r="FD44" s="976"/>
    </row>
    <row r="45" spans="1:161" s="495" customFormat="1">
      <c r="B45" s="310"/>
      <c r="C45" s="824">
        <f t="shared" si="7"/>
        <v>5</v>
      </c>
      <c r="D45" s="175"/>
      <c r="E45" s="79" t="s">
        <v>1770</v>
      </c>
      <c r="F45" s="59"/>
      <c r="G45" s="59"/>
      <c r="H45" s="328"/>
      <c r="I45" s="824" t="str">
        <f>VLOOKUP(J45,TOV!$C$434:$G$448,TOV!$G$1,FALSE)</f>
        <v>ha</v>
      </c>
      <c r="J45" s="970" t="str">
        <f>VLOOKUP(E45,CHOOSE({3,2,1},TOV!$C$435:$C$448,TOV!$D$435:$D$448,TOV!$E$435:$E$448),3,FALSE)</f>
        <v>#5.142</v>
      </c>
      <c r="K45" s="983">
        <f>VLOOKUP(J45,TOV!$C$434:$G$448,TOV!$F$1,FALSE)</f>
        <v>70000</v>
      </c>
      <c r="L45" s="117"/>
      <c r="M45" s="122">
        <f t="shared" si="6"/>
        <v>0</v>
      </c>
      <c r="N45" s="192"/>
      <c r="O45" s="191"/>
      <c r="P45" s="191"/>
      <c r="Q45" s="191"/>
      <c r="R45" s="190"/>
      <c r="S45" s="474"/>
      <c r="T45" s="474"/>
      <c r="U45" s="474"/>
      <c r="V45" s="474"/>
      <c r="W45" s="474"/>
      <c r="X45" s="474"/>
      <c r="Y45" s="474"/>
      <c r="Z45" s="474"/>
      <c r="AA45" s="474"/>
      <c r="AB45" s="474"/>
      <c r="AC45" s="474"/>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75"/>
      <c r="BM45" s="475"/>
      <c r="BN45" s="475"/>
      <c r="BO45" s="475"/>
      <c r="BP45" s="475"/>
      <c r="BQ45" s="434"/>
      <c r="BR45" s="475"/>
      <c r="BS45" s="475"/>
      <c r="BT45" s="475"/>
      <c r="BU45" s="475"/>
      <c r="BV45" s="475"/>
      <c r="BW45" s="475"/>
      <c r="BX45" s="475"/>
      <c r="BY45" s="475"/>
      <c r="BZ45" s="475"/>
      <c r="CA45" s="475"/>
      <c r="CB45" s="475"/>
      <c r="CC45" s="475"/>
      <c r="CD45" s="475"/>
      <c r="CE45" s="475"/>
      <c r="CF45" s="475"/>
      <c r="CG45" s="475"/>
      <c r="CH45" s="475"/>
      <c r="CI45" s="475"/>
      <c r="CJ45" s="475"/>
      <c r="CK45" s="475"/>
      <c r="CL45" s="475"/>
      <c r="CM45" s="475"/>
      <c r="CN45" s="475"/>
      <c r="CO45" s="475"/>
      <c r="CP45" s="475"/>
      <c r="CQ45" s="475"/>
      <c r="CR45" s="475"/>
      <c r="CS45" s="475"/>
      <c r="CT45" s="475"/>
      <c r="CU45" s="475"/>
      <c r="CV45" s="475"/>
      <c r="CW45" s="475"/>
      <c r="CX45" s="475"/>
      <c r="CY45" s="475"/>
      <c r="CZ45" s="475"/>
      <c r="DA45" s="475"/>
      <c r="DB45" s="475"/>
      <c r="DC45" s="475"/>
      <c r="DD45" s="475"/>
      <c r="DE45" s="475"/>
      <c r="DF45" s="475"/>
      <c r="DG45" s="475"/>
      <c r="DH45" s="475"/>
      <c r="DI45" s="475"/>
      <c r="DJ45" s="475"/>
      <c r="DK45" s="475"/>
      <c r="DL45" s="475"/>
      <c r="DM45" s="475"/>
      <c r="DN45" s="475"/>
      <c r="DO45" s="475"/>
      <c r="DP45" s="475"/>
      <c r="DQ45" s="475"/>
      <c r="DR45" s="475"/>
      <c r="DS45" s="475"/>
      <c r="DT45" s="475"/>
      <c r="DU45" s="475"/>
      <c r="DV45" s="475"/>
      <c r="DW45" s="475"/>
      <c r="DX45" s="475"/>
      <c r="DY45" s="475"/>
      <c r="DZ45" s="475"/>
      <c r="EA45" s="475"/>
      <c r="EB45" s="475"/>
      <c r="EC45" s="475"/>
      <c r="ED45" s="475"/>
      <c r="EE45" s="475"/>
      <c r="EF45" s="475"/>
      <c r="EG45" s="475"/>
      <c r="EH45" s="475"/>
      <c r="EI45" s="475"/>
      <c r="EJ45" s="475"/>
      <c r="EK45" s="475"/>
      <c r="EL45" s="475"/>
      <c r="EM45" s="475"/>
      <c r="EN45" s="475"/>
      <c r="EO45" s="475"/>
      <c r="EP45" s="475"/>
      <c r="EQ45" s="475"/>
      <c r="ER45" s="475"/>
      <c r="ES45" s="475"/>
      <c r="ET45" s="475"/>
      <c r="EU45" s="475"/>
      <c r="EV45" s="475"/>
      <c r="EW45" s="475"/>
      <c r="EZ45" s="975"/>
      <c r="FD45" s="976"/>
    </row>
    <row r="46" spans="1:161" s="495" customFormat="1">
      <c r="B46" s="310"/>
      <c r="C46" s="824">
        <f t="shared" si="7"/>
        <v>6</v>
      </c>
      <c r="D46" s="175"/>
      <c r="E46" s="79" t="s">
        <v>1771</v>
      </c>
      <c r="F46" s="59"/>
      <c r="G46" s="59"/>
      <c r="H46" s="328"/>
      <c r="I46" s="824" t="str">
        <f>VLOOKUP(J46,TOV!$C$434:$G$448,TOV!$G$1,FALSE)</f>
        <v>ha</v>
      </c>
      <c r="J46" s="970" t="str">
        <f>VLOOKUP(E46,CHOOSE({3,2,1},TOV!$C$435:$C$448,TOV!$D$435:$D$448,TOV!$E$435:$E$448),3,FALSE)</f>
        <v>#5.143</v>
      </c>
      <c r="K46" s="983">
        <f>VLOOKUP(J46,TOV!$C$434:$G$448,TOV!$F$1,FALSE)</f>
        <v>65000</v>
      </c>
      <c r="L46" s="117"/>
      <c r="M46" s="122">
        <f t="shared" ref="M46:M47" si="8">H46*IF(L46="",K46,L46)</f>
        <v>0</v>
      </c>
      <c r="N46" s="192"/>
      <c r="O46" s="191"/>
      <c r="P46" s="191"/>
      <c r="Q46" s="191"/>
      <c r="R46" s="190"/>
      <c r="S46" s="474"/>
      <c r="T46" s="474"/>
      <c r="U46" s="474"/>
      <c r="V46" s="474"/>
      <c r="W46" s="474"/>
      <c r="X46" s="474"/>
      <c r="Y46" s="474"/>
      <c r="Z46" s="474"/>
      <c r="AA46" s="474"/>
      <c r="AB46" s="474"/>
      <c r="AC46" s="474"/>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475"/>
      <c r="BI46" s="475"/>
      <c r="BJ46" s="475"/>
      <c r="BK46" s="475"/>
      <c r="BL46" s="475"/>
      <c r="BM46" s="475"/>
      <c r="BN46" s="475"/>
      <c r="BO46" s="475"/>
      <c r="BP46" s="475"/>
      <c r="BQ46" s="434"/>
      <c r="BR46" s="475"/>
      <c r="BS46" s="475"/>
      <c r="BT46" s="475"/>
      <c r="BU46" s="475"/>
      <c r="BV46" s="475"/>
      <c r="BW46" s="475"/>
      <c r="BX46" s="475"/>
      <c r="BY46" s="475"/>
      <c r="BZ46" s="475"/>
      <c r="CA46" s="475"/>
      <c r="CB46" s="475"/>
      <c r="CC46" s="475"/>
      <c r="CD46" s="475"/>
      <c r="CE46" s="475"/>
      <c r="CF46" s="475"/>
      <c r="CG46" s="475"/>
      <c r="CH46" s="475"/>
      <c r="CI46" s="475"/>
      <c r="CJ46" s="475"/>
      <c r="CK46" s="475"/>
      <c r="CL46" s="475"/>
      <c r="CM46" s="475"/>
      <c r="CN46" s="475"/>
      <c r="CO46" s="475"/>
      <c r="CP46" s="475"/>
      <c r="CQ46" s="475"/>
      <c r="CR46" s="475"/>
      <c r="CS46" s="475"/>
      <c r="CT46" s="475"/>
      <c r="CU46" s="475"/>
      <c r="CV46" s="475"/>
      <c r="CW46" s="475"/>
      <c r="CX46" s="475"/>
      <c r="CY46" s="475"/>
      <c r="CZ46" s="475"/>
      <c r="DA46" s="475"/>
      <c r="DB46" s="475"/>
      <c r="DC46" s="475"/>
      <c r="DD46" s="475"/>
      <c r="DE46" s="475"/>
      <c r="DF46" s="475"/>
      <c r="DG46" s="475"/>
      <c r="DH46" s="475"/>
      <c r="DI46" s="475"/>
      <c r="DJ46" s="475"/>
      <c r="DK46" s="475"/>
      <c r="DL46" s="475"/>
      <c r="DM46" s="475"/>
      <c r="DN46" s="475"/>
      <c r="DO46" s="475"/>
      <c r="DP46" s="475"/>
      <c r="DQ46" s="475"/>
      <c r="DR46" s="475"/>
      <c r="DS46" s="475"/>
      <c r="DT46" s="475"/>
      <c r="DU46" s="475"/>
      <c r="DV46" s="475"/>
      <c r="DW46" s="475"/>
      <c r="DX46" s="475"/>
      <c r="DY46" s="475"/>
      <c r="DZ46" s="475"/>
      <c r="EA46" s="475"/>
      <c r="EB46" s="475"/>
      <c r="EC46" s="475"/>
      <c r="ED46" s="475"/>
      <c r="EE46" s="475"/>
      <c r="EF46" s="475"/>
      <c r="EG46" s="475"/>
      <c r="EH46" s="475"/>
      <c r="EI46" s="475"/>
      <c r="EJ46" s="475"/>
      <c r="EK46" s="475"/>
      <c r="EL46" s="475"/>
      <c r="EM46" s="475"/>
      <c r="EN46" s="475"/>
      <c r="EO46" s="475"/>
      <c r="EP46" s="475"/>
      <c r="EQ46" s="475"/>
      <c r="ER46" s="475"/>
      <c r="ES46" s="475"/>
      <c r="ET46" s="475"/>
      <c r="EU46" s="475"/>
      <c r="EV46" s="475"/>
      <c r="EW46" s="475"/>
      <c r="EZ46" s="975"/>
      <c r="FD46" s="976"/>
    </row>
    <row r="47" spans="1:161" s="495" customFormat="1">
      <c r="B47" s="310"/>
      <c r="C47" s="824">
        <f t="shared" si="7"/>
        <v>7</v>
      </c>
      <c r="D47" s="175"/>
      <c r="E47" s="79" t="s">
        <v>1772</v>
      </c>
      <c r="F47" s="59"/>
      <c r="G47" s="59"/>
      <c r="H47" s="328"/>
      <c r="I47" s="824" t="str">
        <f>VLOOKUP(J47,TOV!$C$434:$G$448,TOV!$G$1,FALSE)</f>
        <v>ha</v>
      </c>
      <c r="J47" s="970" t="str">
        <f>VLOOKUP(E47,CHOOSE({3,2,1},TOV!$C$435:$C$448,TOV!$D$435:$D$448,TOV!$E$435:$E$448),3,FALSE)</f>
        <v>#5.144</v>
      </c>
      <c r="K47" s="983">
        <f>VLOOKUP(J47,TOV!$C$434:$G$448,TOV!$F$1,FALSE)</f>
        <v>63500</v>
      </c>
      <c r="L47" s="117"/>
      <c r="M47" s="122">
        <f t="shared" si="8"/>
        <v>0</v>
      </c>
      <c r="N47" s="192"/>
      <c r="O47" s="191"/>
      <c r="P47" s="191"/>
      <c r="Q47" s="191"/>
      <c r="R47" s="190"/>
      <c r="S47" s="474"/>
      <c r="T47" s="474"/>
      <c r="U47" s="474"/>
      <c r="V47" s="474"/>
      <c r="W47" s="474"/>
      <c r="X47" s="474"/>
      <c r="Y47" s="474"/>
      <c r="Z47" s="474"/>
      <c r="AA47" s="474"/>
      <c r="AB47" s="474"/>
      <c r="AC47" s="474"/>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5"/>
      <c r="BM47" s="475"/>
      <c r="BN47" s="475"/>
      <c r="BO47" s="475"/>
      <c r="BP47" s="475"/>
      <c r="BQ47" s="434"/>
      <c r="BR47" s="475"/>
      <c r="BS47" s="475"/>
      <c r="BT47" s="475"/>
      <c r="BU47" s="475"/>
      <c r="BV47" s="475"/>
      <c r="BW47" s="475"/>
      <c r="BX47" s="475"/>
      <c r="BY47" s="475"/>
      <c r="BZ47" s="475"/>
      <c r="CA47" s="475"/>
      <c r="CB47" s="475"/>
      <c r="CC47" s="475"/>
      <c r="CD47" s="475"/>
      <c r="CE47" s="475"/>
      <c r="CF47" s="475"/>
      <c r="CG47" s="475"/>
      <c r="CH47" s="475"/>
      <c r="CI47" s="475"/>
      <c r="CJ47" s="475"/>
      <c r="CK47" s="475"/>
      <c r="CL47" s="475"/>
      <c r="CM47" s="475"/>
      <c r="CN47" s="475"/>
      <c r="CO47" s="475"/>
      <c r="CP47" s="475"/>
      <c r="CQ47" s="475"/>
      <c r="CR47" s="475"/>
      <c r="CS47" s="475"/>
      <c r="CT47" s="475"/>
      <c r="CU47" s="475"/>
      <c r="CV47" s="475"/>
      <c r="CW47" s="475"/>
      <c r="CX47" s="475"/>
      <c r="CY47" s="475"/>
      <c r="CZ47" s="475"/>
      <c r="DA47" s="475"/>
      <c r="DB47" s="475"/>
      <c r="DC47" s="475"/>
      <c r="DD47" s="475"/>
      <c r="DE47" s="475"/>
      <c r="DF47" s="475"/>
      <c r="DG47" s="475"/>
      <c r="DH47" s="475"/>
      <c r="DI47" s="475"/>
      <c r="DJ47" s="475"/>
      <c r="DK47" s="475"/>
      <c r="DL47" s="475"/>
      <c r="DM47" s="475"/>
      <c r="DN47" s="475"/>
      <c r="DO47" s="475"/>
      <c r="DP47" s="475"/>
      <c r="DQ47" s="475"/>
      <c r="DR47" s="475"/>
      <c r="DS47" s="475"/>
      <c r="DT47" s="475"/>
      <c r="DU47" s="475"/>
      <c r="DV47" s="475"/>
      <c r="DW47" s="475"/>
      <c r="DX47" s="475"/>
      <c r="DY47" s="475"/>
      <c r="DZ47" s="475"/>
      <c r="EA47" s="475"/>
      <c r="EB47" s="475"/>
      <c r="EC47" s="475"/>
      <c r="ED47" s="475"/>
      <c r="EE47" s="475"/>
      <c r="EF47" s="475"/>
      <c r="EG47" s="475"/>
      <c r="EH47" s="475"/>
      <c r="EI47" s="475"/>
      <c r="EJ47" s="475"/>
      <c r="EK47" s="475"/>
      <c r="EL47" s="475"/>
      <c r="EM47" s="475"/>
      <c r="EN47" s="475"/>
      <c r="EO47" s="475"/>
      <c r="EP47" s="475"/>
      <c r="EQ47" s="475"/>
      <c r="ER47" s="475"/>
      <c r="ES47" s="475"/>
      <c r="ET47" s="475"/>
      <c r="EU47" s="475"/>
      <c r="EV47" s="475"/>
      <c r="EW47" s="475"/>
      <c r="EZ47" s="975"/>
      <c r="FD47" s="976"/>
    </row>
    <row r="48" spans="1:161" s="495" customFormat="1">
      <c r="B48" s="310"/>
      <c r="C48" s="824">
        <f t="shared" si="7"/>
        <v>8</v>
      </c>
      <c r="D48" s="175"/>
      <c r="E48" s="79" t="s">
        <v>1773</v>
      </c>
      <c r="F48" s="59"/>
      <c r="G48" s="59"/>
      <c r="H48" s="328"/>
      <c r="I48" s="824" t="str">
        <f>VLOOKUP(J48,TOV!$C$434:$G$448,TOV!$G$1,FALSE)</f>
        <v>ha</v>
      </c>
      <c r="J48" s="970" t="str">
        <f>VLOOKUP(E48,CHOOSE({3,2,1},TOV!$C$435:$C$448,TOV!$D$435:$D$448,TOV!$E$435:$E$448),3,FALSE)</f>
        <v>#5.145</v>
      </c>
      <c r="K48" s="983">
        <f>VLOOKUP(J48,TOV!$C$434:$G$448,TOV!$F$1,FALSE)</f>
        <v>50000</v>
      </c>
      <c r="L48" s="117"/>
      <c r="M48" s="122">
        <f t="shared" si="6"/>
        <v>0</v>
      </c>
      <c r="N48" s="192"/>
      <c r="O48" s="191"/>
      <c r="P48" s="191"/>
      <c r="Q48" s="191"/>
      <c r="R48" s="190"/>
      <c r="S48" s="474"/>
      <c r="T48" s="474"/>
      <c r="U48" s="474"/>
      <c r="V48" s="474"/>
      <c r="W48" s="474"/>
      <c r="X48" s="474"/>
      <c r="Y48" s="474"/>
      <c r="Z48" s="474"/>
      <c r="AA48" s="474"/>
      <c r="AB48" s="474"/>
      <c r="AC48" s="474"/>
      <c r="AD48" s="475"/>
      <c r="AE48" s="475"/>
      <c r="AF48" s="475"/>
      <c r="AG48" s="475"/>
      <c r="AH48" s="475"/>
      <c r="AI48" s="475"/>
      <c r="AJ48" s="475"/>
      <c r="AK48" s="475"/>
      <c r="AL48" s="475"/>
      <c r="AM48" s="475"/>
      <c r="AN48" s="475"/>
      <c r="AO48" s="475"/>
      <c r="AP48" s="475"/>
      <c r="AQ48" s="475"/>
      <c r="AR48" s="475"/>
      <c r="AS48" s="475"/>
      <c r="AT48" s="475"/>
      <c r="AU48" s="475"/>
      <c r="AV48" s="475"/>
      <c r="AW48" s="475"/>
      <c r="AX48" s="475"/>
      <c r="AY48" s="475"/>
      <c r="AZ48" s="475"/>
      <c r="BA48" s="475"/>
      <c r="BB48" s="475"/>
      <c r="BC48" s="475"/>
      <c r="BD48" s="475"/>
      <c r="BE48" s="475"/>
      <c r="BF48" s="475"/>
      <c r="BG48" s="475"/>
      <c r="BH48" s="475"/>
      <c r="BI48" s="475"/>
      <c r="BJ48" s="475"/>
      <c r="BK48" s="475"/>
      <c r="BL48" s="475"/>
      <c r="BM48" s="475"/>
      <c r="BN48" s="475"/>
      <c r="BO48" s="475"/>
      <c r="BP48" s="475"/>
      <c r="BQ48" s="434"/>
      <c r="BR48" s="475"/>
      <c r="BS48" s="475"/>
      <c r="BT48" s="475"/>
      <c r="BU48" s="475"/>
      <c r="BV48" s="475"/>
      <c r="BW48" s="475"/>
      <c r="BX48" s="475"/>
      <c r="BY48" s="475"/>
      <c r="BZ48" s="475"/>
      <c r="CA48" s="475"/>
      <c r="CB48" s="475"/>
      <c r="CC48" s="475"/>
      <c r="CD48" s="475"/>
      <c r="CE48" s="475"/>
      <c r="CF48" s="475"/>
      <c r="CG48" s="475"/>
      <c r="CH48" s="475"/>
      <c r="CI48" s="475"/>
      <c r="CJ48" s="475"/>
      <c r="CK48" s="475"/>
      <c r="CL48" s="475"/>
      <c r="CM48" s="475"/>
      <c r="CN48" s="475"/>
      <c r="CO48" s="475"/>
      <c r="CP48" s="475"/>
      <c r="CQ48" s="475"/>
      <c r="CR48" s="475"/>
      <c r="CS48" s="475"/>
      <c r="CT48" s="475"/>
      <c r="CU48" s="475"/>
      <c r="CV48" s="475"/>
      <c r="CW48" s="475"/>
      <c r="CX48" s="475"/>
      <c r="CY48" s="475"/>
      <c r="CZ48" s="475"/>
      <c r="DA48" s="475"/>
      <c r="DB48" s="475"/>
      <c r="DC48" s="475"/>
      <c r="DD48" s="475"/>
      <c r="DE48" s="475"/>
      <c r="DF48" s="475"/>
      <c r="DG48" s="475"/>
      <c r="DH48" s="475"/>
      <c r="DI48" s="475"/>
      <c r="DJ48" s="475"/>
      <c r="DK48" s="475"/>
      <c r="DL48" s="475"/>
      <c r="DM48" s="475"/>
      <c r="DN48" s="475"/>
      <c r="DO48" s="475"/>
      <c r="DP48" s="475"/>
      <c r="DQ48" s="475"/>
      <c r="DR48" s="475"/>
      <c r="DS48" s="475"/>
      <c r="DT48" s="475"/>
      <c r="DU48" s="475"/>
      <c r="DV48" s="475"/>
      <c r="DW48" s="475"/>
      <c r="DX48" s="475"/>
      <c r="DY48" s="475"/>
      <c r="DZ48" s="475"/>
      <c r="EA48" s="475"/>
      <c r="EB48" s="475"/>
      <c r="EC48" s="475"/>
      <c r="ED48" s="475"/>
      <c r="EE48" s="475"/>
      <c r="EF48" s="475"/>
      <c r="EG48" s="475"/>
      <c r="EH48" s="475"/>
      <c r="EI48" s="475"/>
      <c r="EJ48" s="475"/>
      <c r="EK48" s="475"/>
      <c r="EL48" s="475"/>
      <c r="EM48" s="475"/>
      <c r="EN48" s="475"/>
      <c r="EO48" s="475"/>
      <c r="EP48" s="475"/>
      <c r="EQ48" s="475"/>
      <c r="ER48" s="475"/>
      <c r="ES48" s="475"/>
      <c r="ET48" s="475"/>
      <c r="EU48" s="475"/>
      <c r="EV48" s="475"/>
      <c r="EW48" s="475"/>
      <c r="EZ48" s="975"/>
      <c r="FD48" s="976"/>
    </row>
    <row r="49" spans="1:165" s="495" customFormat="1">
      <c r="B49" s="310"/>
      <c r="C49" s="824">
        <f t="shared" si="7"/>
        <v>9</v>
      </c>
      <c r="D49" s="175"/>
      <c r="E49" s="79" t="s">
        <v>1774</v>
      </c>
      <c r="F49" s="59"/>
      <c r="G49" s="59"/>
      <c r="H49" s="328"/>
      <c r="I49" s="824" t="str">
        <f>VLOOKUP(J49,TOV!$C$434:$G$448,TOV!$G$1,FALSE)</f>
        <v>ha</v>
      </c>
      <c r="J49" s="970" t="str">
        <f>VLOOKUP(E49,CHOOSE({3,2,1},TOV!$C$435:$C$448,TOV!$D$435:$D$448,TOV!$E$435:$E$448),3,FALSE)</f>
        <v>#5.146</v>
      </c>
      <c r="K49" s="983">
        <f>VLOOKUP(J49,TOV!$C$434:$G$448,TOV!$F$1,FALSE)</f>
        <v>49000</v>
      </c>
      <c r="L49" s="117"/>
      <c r="M49" s="122">
        <f>H49*IF(L49="",K49,L49)</f>
        <v>0</v>
      </c>
      <c r="N49" s="192"/>
      <c r="O49" s="191"/>
      <c r="P49" s="191"/>
      <c r="Q49" s="191"/>
      <c r="R49" s="190"/>
      <c r="S49" s="474"/>
      <c r="T49" s="474"/>
      <c r="U49" s="474"/>
      <c r="V49" s="474"/>
      <c r="W49" s="474"/>
      <c r="X49" s="474"/>
      <c r="Y49" s="474"/>
      <c r="Z49" s="474"/>
      <c r="AA49" s="474"/>
      <c r="AB49" s="474"/>
      <c r="AC49" s="474"/>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c r="AZ49" s="475"/>
      <c r="BA49" s="475"/>
      <c r="BB49" s="475"/>
      <c r="BC49" s="475"/>
      <c r="BD49" s="475"/>
      <c r="BE49" s="475"/>
      <c r="BF49" s="475"/>
      <c r="BG49" s="475"/>
      <c r="BH49" s="475"/>
      <c r="BI49" s="475"/>
      <c r="BJ49" s="475"/>
      <c r="BK49" s="475"/>
      <c r="BL49" s="475"/>
      <c r="BM49" s="475"/>
      <c r="BN49" s="475"/>
      <c r="BO49" s="475"/>
      <c r="BP49" s="475"/>
      <c r="BQ49" s="434"/>
      <c r="BR49" s="475"/>
      <c r="BS49" s="475"/>
      <c r="BT49" s="475"/>
      <c r="BU49" s="475"/>
      <c r="BV49" s="475"/>
      <c r="BW49" s="475"/>
      <c r="BX49" s="475"/>
      <c r="BY49" s="475"/>
      <c r="BZ49" s="475"/>
      <c r="CA49" s="475"/>
      <c r="CB49" s="475"/>
      <c r="CC49" s="475"/>
      <c r="CD49" s="475"/>
      <c r="CE49" s="475"/>
      <c r="CF49" s="475"/>
      <c r="CG49" s="475"/>
      <c r="CH49" s="475"/>
      <c r="CI49" s="475"/>
      <c r="CJ49" s="475"/>
      <c r="CK49" s="475"/>
      <c r="CL49" s="475"/>
      <c r="CM49" s="475"/>
      <c r="CN49" s="475"/>
      <c r="CO49" s="475"/>
      <c r="CP49" s="475"/>
      <c r="CQ49" s="475"/>
      <c r="CR49" s="475"/>
      <c r="CS49" s="475"/>
      <c r="CT49" s="475"/>
      <c r="CU49" s="475"/>
      <c r="CV49" s="475"/>
      <c r="CW49" s="475"/>
      <c r="CX49" s="475"/>
      <c r="CY49" s="475"/>
      <c r="CZ49" s="475"/>
      <c r="DA49" s="475"/>
      <c r="DB49" s="475"/>
      <c r="DC49" s="475"/>
      <c r="DD49" s="475"/>
      <c r="DE49" s="475"/>
      <c r="DF49" s="475"/>
      <c r="DG49" s="475"/>
      <c r="DH49" s="475"/>
      <c r="DI49" s="475"/>
      <c r="DJ49" s="475"/>
      <c r="DK49" s="475"/>
      <c r="DL49" s="475"/>
      <c r="DM49" s="475"/>
      <c r="DN49" s="475"/>
      <c r="DO49" s="475"/>
      <c r="DP49" s="475"/>
      <c r="DQ49" s="475"/>
      <c r="DR49" s="475"/>
      <c r="DS49" s="475"/>
      <c r="DT49" s="475"/>
      <c r="DU49" s="475"/>
      <c r="DV49" s="475"/>
      <c r="DW49" s="475"/>
      <c r="DX49" s="475"/>
      <c r="DY49" s="475"/>
      <c r="DZ49" s="475"/>
      <c r="EA49" s="475"/>
      <c r="EB49" s="475"/>
      <c r="EC49" s="475"/>
      <c r="ED49" s="475"/>
      <c r="EE49" s="475"/>
      <c r="EF49" s="475"/>
      <c r="EG49" s="475"/>
      <c r="EH49" s="475"/>
      <c r="EI49" s="475"/>
      <c r="EJ49" s="475"/>
      <c r="EK49" s="475"/>
      <c r="EL49" s="475"/>
      <c r="EM49" s="475"/>
      <c r="EN49" s="475"/>
      <c r="EO49" s="475"/>
      <c r="EP49" s="475"/>
      <c r="EQ49" s="475"/>
      <c r="ER49" s="475"/>
      <c r="ES49" s="475"/>
      <c r="ET49" s="475"/>
      <c r="EU49" s="475"/>
      <c r="EV49" s="475"/>
      <c r="EW49" s="475"/>
      <c r="EZ49" s="975"/>
      <c r="FD49" s="976"/>
    </row>
    <row r="50" spans="1:165" s="495" customFormat="1">
      <c r="B50" s="310"/>
      <c r="C50" s="824">
        <f t="shared" si="7"/>
        <v>10</v>
      </c>
      <c r="D50" s="1026"/>
      <c r="E50" s="79" t="s">
        <v>1775</v>
      </c>
      <c r="F50" s="59"/>
      <c r="G50" s="59"/>
      <c r="H50" s="328"/>
      <c r="I50" s="824" t="str">
        <f>VLOOKUP(J50,TOV!$C$434:$G$448,TOV!$G$1,FALSE)</f>
        <v>ha</v>
      </c>
      <c r="J50" s="970" t="str">
        <f>VLOOKUP(E50,CHOOSE({3,2,1},TOV!$C$435:$C$448,TOV!$D$435:$D$448,TOV!$E$435:$E$448),3,FALSE)</f>
        <v>#5.147</v>
      </c>
      <c r="K50" s="983">
        <f>VLOOKUP(J50,TOV!$C$434:$G$448,TOV!$F$1,FALSE)</f>
        <v>47000</v>
      </c>
      <c r="L50" s="117"/>
      <c r="M50" s="122">
        <f t="shared" si="6"/>
        <v>0</v>
      </c>
      <c r="N50" s="192"/>
      <c r="O50" s="191"/>
      <c r="P50" s="191"/>
      <c r="Q50" s="191"/>
      <c r="R50" s="190"/>
      <c r="S50" s="474"/>
      <c r="T50" s="474"/>
      <c r="U50" s="474"/>
      <c r="V50" s="474"/>
      <c r="W50" s="474"/>
      <c r="X50" s="474"/>
      <c r="Y50" s="474"/>
      <c r="Z50" s="474"/>
      <c r="AA50" s="474"/>
      <c r="AB50" s="474"/>
      <c r="AC50" s="474"/>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75"/>
      <c r="BM50" s="475"/>
      <c r="BN50" s="475"/>
      <c r="BO50" s="475"/>
      <c r="BP50" s="475"/>
      <c r="BQ50" s="434"/>
      <c r="BR50" s="475"/>
      <c r="BS50" s="475"/>
      <c r="BT50" s="475"/>
      <c r="BU50" s="475"/>
      <c r="BV50" s="475"/>
      <c r="BW50" s="475"/>
      <c r="BX50" s="475"/>
      <c r="BY50" s="475"/>
      <c r="BZ50" s="475"/>
      <c r="CA50" s="475"/>
      <c r="CB50" s="475"/>
      <c r="CC50" s="475"/>
      <c r="CD50" s="475"/>
      <c r="CE50" s="475"/>
      <c r="CF50" s="475"/>
      <c r="CG50" s="475"/>
      <c r="CH50" s="475"/>
      <c r="CI50" s="475"/>
      <c r="CJ50" s="475"/>
      <c r="CK50" s="475"/>
      <c r="CL50" s="475"/>
      <c r="CM50" s="475"/>
      <c r="CN50" s="475"/>
      <c r="CO50" s="475"/>
      <c r="CP50" s="475"/>
      <c r="CQ50" s="475"/>
      <c r="CR50" s="475"/>
      <c r="CS50" s="475"/>
      <c r="CT50" s="475"/>
      <c r="CU50" s="475"/>
      <c r="CV50" s="475"/>
      <c r="CW50" s="475"/>
      <c r="CX50" s="475"/>
      <c r="CY50" s="475"/>
      <c r="CZ50" s="475"/>
      <c r="DA50" s="475"/>
      <c r="DB50" s="475"/>
      <c r="DC50" s="475"/>
      <c r="DD50" s="475"/>
      <c r="DE50" s="475"/>
      <c r="DF50" s="475"/>
      <c r="DG50" s="475"/>
      <c r="DH50" s="475"/>
      <c r="DI50" s="475"/>
      <c r="DJ50" s="475"/>
      <c r="DK50" s="475"/>
      <c r="DL50" s="475"/>
      <c r="DM50" s="475"/>
      <c r="DN50" s="475"/>
      <c r="DO50" s="475"/>
      <c r="DP50" s="475"/>
      <c r="DQ50" s="475"/>
      <c r="DR50" s="475"/>
      <c r="DS50" s="475"/>
      <c r="DT50" s="475"/>
      <c r="DU50" s="475"/>
      <c r="DV50" s="475"/>
      <c r="DW50" s="475"/>
      <c r="DX50" s="475"/>
      <c r="DY50" s="475"/>
      <c r="DZ50" s="475"/>
      <c r="EA50" s="475"/>
      <c r="EB50" s="475"/>
      <c r="EC50" s="475"/>
      <c r="ED50" s="475"/>
      <c r="EE50" s="475"/>
      <c r="EF50" s="475"/>
      <c r="EG50" s="475"/>
      <c r="EH50" s="475"/>
      <c r="EI50" s="475"/>
      <c r="EJ50" s="475"/>
      <c r="EK50" s="475"/>
      <c r="EL50" s="475"/>
      <c r="EM50" s="475"/>
      <c r="EN50" s="475"/>
      <c r="EO50" s="475"/>
      <c r="EP50" s="475"/>
      <c r="EQ50" s="475"/>
      <c r="ER50" s="475"/>
      <c r="ES50" s="475"/>
      <c r="ET50" s="475"/>
      <c r="EU50" s="475"/>
      <c r="EV50" s="475"/>
      <c r="EW50" s="475"/>
      <c r="EZ50" s="975"/>
      <c r="FD50" s="976"/>
    </row>
    <row r="51" spans="1:165" s="495" customFormat="1">
      <c r="B51" s="310"/>
      <c r="C51" s="824">
        <f t="shared" si="7"/>
        <v>11</v>
      </c>
      <c r="D51" s="1026"/>
      <c r="E51" s="79" t="s">
        <v>1776</v>
      </c>
      <c r="F51" s="59"/>
      <c r="G51" s="59"/>
      <c r="H51" s="328"/>
      <c r="I51" s="824" t="str">
        <f>VLOOKUP(J51,TOV!$C$434:$G$448,TOV!$G$1,FALSE)</f>
        <v>ha</v>
      </c>
      <c r="J51" s="970" t="str">
        <f>VLOOKUP(E51,CHOOSE({3,2,1},TOV!$C$435:$C$448,TOV!$D$435:$D$448,TOV!$E$435:$E$448),3,FALSE)</f>
        <v>#5.148</v>
      </c>
      <c r="K51" s="983">
        <f>VLOOKUP(J51,TOV!$C$434:$G$448,TOV!$F$1,FALSE)</f>
        <v>45000</v>
      </c>
      <c r="L51" s="117"/>
      <c r="M51" s="122">
        <f t="shared" ref="M51" si="9">H51*IF(L51="",K51,L51)</f>
        <v>0</v>
      </c>
      <c r="N51" s="192"/>
      <c r="O51" s="191"/>
      <c r="P51" s="191"/>
      <c r="Q51" s="191"/>
      <c r="R51" s="190"/>
      <c r="S51" s="474"/>
      <c r="T51" s="474"/>
      <c r="U51" s="474"/>
      <c r="V51" s="474"/>
      <c r="W51" s="474"/>
      <c r="X51" s="474"/>
      <c r="Y51" s="474"/>
      <c r="Z51" s="474"/>
      <c r="AA51" s="474"/>
      <c r="AB51" s="474"/>
      <c r="AC51" s="474"/>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c r="AZ51" s="475"/>
      <c r="BA51" s="475"/>
      <c r="BB51" s="475"/>
      <c r="BC51" s="475"/>
      <c r="BD51" s="475"/>
      <c r="BE51" s="475"/>
      <c r="BF51" s="475"/>
      <c r="BG51" s="475"/>
      <c r="BH51" s="475"/>
      <c r="BI51" s="475"/>
      <c r="BJ51" s="475"/>
      <c r="BK51" s="475"/>
      <c r="BL51" s="475"/>
      <c r="BM51" s="475"/>
      <c r="BN51" s="475"/>
      <c r="BO51" s="475"/>
      <c r="BP51" s="475"/>
      <c r="BQ51" s="434"/>
      <c r="BR51" s="475"/>
      <c r="BS51" s="475"/>
      <c r="BT51" s="475"/>
      <c r="BU51" s="475"/>
      <c r="BV51" s="475"/>
      <c r="BW51" s="475"/>
      <c r="BX51" s="475"/>
      <c r="BY51" s="475"/>
      <c r="BZ51" s="475"/>
      <c r="CA51" s="475"/>
      <c r="CB51" s="475"/>
      <c r="CC51" s="475"/>
      <c r="CD51" s="475"/>
      <c r="CE51" s="475"/>
      <c r="CF51" s="475"/>
      <c r="CG51" s="475"/>
      <c r="CH51" s="475"/>
      <c r="CI51" s="475"/>
      <c r="CJ51" s="475"/>
      <c r="CK51" s="475"/>
      <c r="CL51" s="475"/>
      <c r="CM51" s="475"/>
      <c r="CN51" s="475"/>
      <c r="CO51" s="475"/>
      <c r="CP51" s="475"/>
      <c r="CQ51" s="475"/>
      <c r="CR51" s="475"/>
      <c r="CS51" s="475"/>
      <c r="CT51" s="475"/>
      <c r="CU51" s="475"/>
      <c r="CV51" s="475"/>
      <c r="CW51" s="475"/>
      <c r="CX51" s="475"/>
      <c r="CY51" s="475"/>
      <c r="CZ51" s="475"/>
      <c r="DA51" s="475"/>
      <c r="DB51" s="475"/>
      <c r="DC51" s="475"/>
      <c r="DD51" s="475"/>
      <c r="DE51" s="475"/>
      <c r="DF51" s="475"/>
      <c r="DG51" s="475"/>
      <c r="DH51" s="475"/>
      <c r="DI51" s="475"/>
      <c r="DJ51" s="475"/>
      <c r="DK51" s="475"/>
      <c r="DL51" s="475"/>
      <c r="DM51" s="475"/>
      <c r="DN51" s="475"/>
      <c r="DO51" s="475"/>
      <c r="DP51" s="475"/>
      <c r="DQ51" s="475"/>
      <c r="DR51" s="475"/>
      <c r="DS51" s="475"/>
      <c r="DT51" s="475"/>
      <c r="DU51" s="475"/>
      <c r="DV51" s="475"/>
      <c r="DW51" s="475"/>
      <c r="DX51" s="475"/>
      <c r="DY51" s="475"/>
      <c r="DZ51" s="475"/>
      <c r="EA51" s="475"/>
      <c r="EB51" s="475"/>
      <c r="EC51" s="475"/>
      <c r="ED51" s="475"/>
      <c r="EE51" s="475"/>
      <c r="EF51" s="475"/>
      <c r="EG51" s="475"/>
      <c r="EH51" s="475"/>
      <c r="EI51" s="475"/>
      <c r="EJ51" s="475"/>
      <c r="EK51" s="475"/>
      <c r="EL51" s="475"/>
      <c r="EM51" s="475"/>
      <c r="EN51" s="475"/>
      <c r="EO51" s="475"/>
      <c r="EP51" s="475"/>
      <c r="EQ51" s="475"/>
      <c r="ER51" s="475"/>
      <c r="ES51" s="475"/>
      <c r="ET51" s="475"/>
      <c r="EU51" s="475"/>
      <c r="EV51" s="475"/>
      <c r="EW51" s="475"/>
      <c r="EZ51" s="975"/>
      <c r="FD51" s="976"/>
    </row>
    <row r="52" spans="1:165" s="495" customFormat="1">
      <c r="B52" s="310"/>
      <c r="C52" s="824">
        <f t="shared" si="7"/>
        <v>12</v>
      </c>
      <c r="D52" s="1026"/>
      <c r="E52" s="79" t="s">
        <v>1777</v>
      </c>
      <c r="F52" s="59"/>
      <c r="G52" s="59"/>
      <c r="H52" s="328"/>
      <c r="I52" s="824" t="str">
        <f>VLOOKUP(J52,TOV!$C$434:$G$448,TOV!$G$1,FALSE)</f>
        <v>ha</v>
      </c>
      <c r="J52" s="970" t="str">
        <f>VLOOKUP(E52,CHOOSE({3,2,1},TOV!$C$435:$C$448,TOV!$D$435:$D$448,TOV!$E$435:$E$448),3,FALSE)</f>
        <v>#5.149</v>
      </c>
      <c r="K52" s="983">
        <f>VLOOKUP(J52,TOV!$C$434:$G$448,TOV!$F$1,FALSE)</f>
        <v>43000</v>
      </c>
      <c r="L52" s="117"/>
      <c r="M52" s="122">
        <f t="shared" ref="M52:M54" si="10">H52*IF(L52="",K52,L52)</f>
        <v>0</v>
      </c>
      <c r="N52" s="192"/>
      <c r="O52" s="191"/>
      <c r="P52" s="191"/>
      <c r="Q52" s="191"/>
      <c r="R52" s="190"/>
      <c r="S52" s="474"/>
      <c r="T52" s="474"/>
      <c r="U52" s="474"/>
      <c r="V52" s="474"/>
      <c r="W52" s="474"/>
      <c r="X52" s="474"/>
      <c r="Y52" s="474"/>
      <c r="Z52" s="474"/>
      <c r="AA52" s="474"/>
      <c r="AB52" s="474"/>
      <c r="AC52" s="474"/>
      <c r="AD52" s="475"/>
      <c r="AE52" s="475"/>
      <c r="AF52" s="475"/>
      <c r="AG52" s="475"/>
      <c r="AH52" s="475"/>
      <c r="AI52" s="475"/>
      <c r="AJ52" s="475"/>
      <c r="AK52" s="475"/>
      <c r="AL52" s="475"/>
      <c r="AM52" s="475"/>
      <c r="AN52" s="475"/>
      <c r="AO52" s="475"/>
      <c r="AP52" s="475"/>
      <c r="AQ52" s="475"/>
      <c r="AR52" s="475"/>
      <c r="AS52" s="475"/>
      <c r="AT52" s="475"/>
      <c r="AU52" s="475"/>
      <c r="AV52" s="475"/>
      <c r="AW52" s="475"/>
      <c r="AX52" s="475"/>
      <c r="AY52" s="475"/>
      <c r="AZ52" s="475"/>
      <c r="BA52" s="475"/>
      <c r="BB52" s="475"/>
      <c r="BC52" s="475"/>
      <c r="BD52" s="475"/>
      <c r="BE52" s="475"/>
      <c r="BF52" s="475"/>
      <c r="BG52" s="475"/>
      <c r="BH52" s="475"/>
      <c r="BI52" s="475"/>
      <c r="BJ52" s="475"/>
      <c r="BK52" s="475"/>
      <c r="BL52" s="475"/>
      <c r="BM52" s="475"/>
      <c r="BN52" s="475"/>
      <c r="BO52" s="475"/>
      <c r="BP52" s="475"/>
      <c r="BQ52" s="434"/>
      <c r="BR52" s="475"/>
      <c r="BS52" s="475"/>
      <c r="BT52" s="475"/>
      <c r="BU52" s="475"/>
      <c r="BV52" s="475"/>
      <c r="BW52" s="475"/>
      <c r="BX52" s="475"/>
      <c r="BY52" s="475"/>
      <c r="BZ52" s="475"/>
      <c r="CA52" s="475"/>
      <c r="CB52" s="475"/>
      <c r="CC52" s="475"/>
      <c r="CD52" s="475"/>
      <c r="CE52" s="475"/>
      <c r="CF52" s="475"/>
      <c r="CG52" s="475"/>
      <c r="CH52" s="475"/>
      <c r="CI52" s="475"/>
      <c r="CJ52" s="475"/>
      <c r="CK52" s="475"/>
      <c r="CL52" s="475"/>
      <c r="CM52" s="475"/>
      <c r="CN52" s="475"/>
      <c r="CO52" s="475"/>
      <c r="CP52" s="475"/>
      <c r="CQ52" s="475"/>
      <c r="CR52" s="475"/>
      <c r="CS52" s="475"/>
      <c r="CT52" s="475"/>
      <c r="CU52" s="475"/>
      <c r="CV52" s="475"/>
      <c r="CW52" s="475"/>
      <c r="CX52" s="475"/>
      <c r="CY52" s="475"/>
      <c r="CZ52" s="475"/>
      <c r="DA52" s="475"/>
      <c r="DB52" s="475"/>
      <c r="DC52" s="475"/>
      <c r="DD52" s="475"/>
      <c r="DE52" s="475"/>
      <c r="DF52" s="475"/>
      <c r="DG52" s="475"/>
      <c r="DH52" s="475"/>
      <c r="DI52" s="475"/>
      <c r="DJ52" s="475"/>
      <c r="DK52" s="475"/>
      <c r="DL52" s="475"/>
      <c r="DM52" s="475"/>
      <c r="DN52" s="475"/>
      <c r="DO52" s="475"/>
      <c r="DP52" s="475"/>
      <c r="DQ52" s="475"/>
      <c r="DR52" s="475"/>
      <c r="DS52" s="475"/>
      <c r="DT52" s="475"/>
      <c r="DU52" s="475"/>
      <c r="DV52" s="475"/>
      <c r="DW52" s="475"/>
      <c r="DX52" s="475"/>
      <c r="DY52" s="475"/>
      <c r="DZ52" s="475"/>
      <c r="EA52" s="475"/>
      <c r="EB52" s="475"/>
      <c r="EC52" s="475"/>
      <c r="ED52" s="475"/>
      <c r="EE52" s="475"/>
      <c r="EF52" s="475"/>
      <c r="EG52" s="475"/>
      <c r="EH52" s="475"/>
      <c r="EI52" s="475"/>
      <c r="EJ52" s="475"/>
      <c r="EK52" s="475"/>
      <c r="EL52" s="475"/>
      <c r="EM52" s="475"/>
      <c r="EN52" s="475"/>
      <c r="EO52" s="475"/>
      <c r="EP52" s="475"/>
      <c r="EQ52" s="475"/>
      <c r="ER52" s="475"/>
      <c r="ES52" s="475"/>
      <c r="ET52" s="475"/>
      <c r="EU52" s="475"/>
      <c r="EV52" s="475"/>
      <c r="EW52" s="475"/>
      <c r="EZ52" s="975"/>
      <c r="FD52" s="976"/>
    </row>
    <row r="53" spans="1:165" s="495" customFormat="1">
      <c r="B53" s="310"/>
      <c r="C53" s="824">
        <f t="shared" si="7"/>
        <v>13</v>
      </c>
      <c r="D53" s="1026"/>
      <c r="E53" s="79" t="s">
        <v>1778</v>
      </c>
      <c r="F53" s="59"/>
      <c r="G53" s="59"/>
      <c r="H53" s="328"/>
      <c r="I53" s="824" t="str">
        <f>VLOOKUP(J53,TOV!$C$434:$G$448,TOV!$G$1,FALSE)</f>
        <v>ha</v>
      </c>
      <c r="J53" s="970" t="str">
        <f>VLOOKUP(E53,CHOOSE({3,2,1},TOV!$C$435:$C$448,TOV!$D$435:$D$448,TOV!$E$435:$E$448),3,FALSE)</f>
        <v>#5.150</v>
      </c>
      <c r="K53" s="983">
        <f>VLOOKUP(J53,TOV!$C$434:$G$448,TOV!$F$1,FALSE)</f>
        <v>38000</v>
      </c>
      <c r="L53" s="117"/>
      <c r="M53" s="122">
        <f t="shared" si="10"/>
        <v>0</v>
      </c>
      <c r="N53" s="192"/>
      <c r="O53" s="191"/>
      <c r="P53" s="191"/>
      <c r="Q53" s="191"/>
      <c r="R53" s="190"/>
      <c r="S53" s="474"/>
      <c r="T53" s="474"/>
      <c r="U53" s="474"/>
      <c r="V53" s="474"/>
      <c r="W53" s="474"/>
      <c r="X53" s="474"/>
      <c r="Y53" s="474"/>
      <c r="Z53" s="474"/>
      <c r="AA53" s="474"/>
      <c r="AB53" s="474"/>
      <c r="AC53" s="474"/>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34"/>
      <c r="BR53" s="475"/>
      <c r="BS53" s="475"/>
      <c r="BT53" s="475"/>
      <c r="BU53" s="475"/>
      <c r="BV53" s="475"/>
      <c r="BW53" s="475"/>
      <c r="BX53" s="475"/>
      <c r="BY53" s="475"/>
      <c r="BZ53" s="475"/>
      <c r="CA53" s="475"/>
      <c r="CB53" s="475"/>
      <c r="CC53" s="475"/>
      <c r="CD53" s="475"/>
      <c r="CE53" s="475"/>
      <c r="CF53" s="475"/>
      <c r="CG53" s="475"/>
      <c r="CH53" s="475"/>
      <c r="CI53" s="475"/>
      <c r="CJ53" s="475"/>
      <c r="CK53" s="475"/>
      <c r="CL53" s="475"/>
      <c r="CM53" s="475"/>
      <c r="CN53" s="475"/>
      <c r="CO53" s="475"/>
      <c r="CP53" s="475"/>
      <c r="CQ53" s="475"/>
      <c r="CR53" s="475"/>
      <c r="CS53" s="475"/>
      <c r="CT53" s="475"/>
      <c r="CU53" s="475"/>
      <c r="CV53" s="475"/>
      <c r="CW53" s="475"/>
      <c r="CX53" s="475"/>
      <c r="CY53" s="475"/>
      <c r="CZ53" s="475"/>
      <c r="DA53" s="475"/>
      <c r="DB53" s="475"/>
      <c r="DC53" s="475"/>
      <c r="DD53" s="475"/>
      <c r="DE53" s="475"/>
      <c r="DF53" s="475"/>
      <c r="DG53" s="475"/>
      <c r="DH53" s="475"/>
      <c r="DI53" s="475"/>
      <c r="DJ53" s="475"/>
      <c r="DK53" s="475"/>
      <c r="DL53" s="475"/>
      <c r="DM53" s="475"/>
      <c r="DN53" s="475"/>
      <c r="DO53" s="475"/>
      <c r="DP53" s="475"/>
      <c r="DQ53" s="475"/>
      <c r="DR53" s="475"/>
      <c r="DS53" s="475"/>
      <c r="DT53" s="475"/>
      <c r="DU53" s="475"/>
      <c r="DV53" s="475"/>
      <c r="DW53" s="475"/>
      <c r="DX53" s="475"/>
      <c r="DY53" s="475"/>
      <c r="DZ53" s="475"/>
      <c r="EA53" s="475"/>
      <c r="EB53" s="475"/>
      <c r="EC53" s="475"/>
      <c r="ED53" s="475"/>
      <c r="EE53" s="475"/>
      <c r="EF53" s="475"/>
      <c r="EG53" s="475"/>
      <c r="EH53" s="475"/>
      <c r="EI53" s="475"/>
      <c r="EJ53" s="475"/>
      <c r="EK53" s="475"/>
      <c r="EL53" s="475"/>
      <c r="EM53" s="475"/>
      <c r="EN53" s="475"/>
      <c r="EO53" s="475"/>
      <c r="EP53" s="475"/>
      <c r="EQ53" s="475"/>
      <c r="ER53" s="475"/>
      <c r="ES53" s="475"/>
      <c r="ET53" s="475"/>
      <c r="EU53" s="475"/>
      <c r="EV53" s="475"/>
      <c r="EW53" s="475"/>
      <c r="EZ53" s="975"/>
      <c r="FD53" s="976"/>
    </row>
    <row r="54" spans="1:165" s="495" customFormat="1">
      <c r="B54" s="310"/>
      <c r="C54" s="824">
        <f t="shared" si="7"/>
        <v>14</v>
      </c>
      <c r="D54" s="1026"/>
      <c r="E54" s="79" t="s">
        <v>1779</v>
      </c>
      <c r="F54" s="59"/>
      <c r="G54" s="59"/>
      <c r="H54" s="328"/>
      <c r="I54" s="824" t="str">
        <f>VLOOKUP(J54,TOV!$C$434:$G$448,TOV!$G$1,FALSE)</f>
        <v>ha</v>
      </c>
      <c r="J54" s="970" t="str">
        <f>VLOOKUP(E54,CHOOSE({3,2,1},TOV!$C$435:$C$448,TOV!$D$435:$D$448,TOV!$E$435:$E$448),3,FALSE)</f>
        <v>#5.151</v>
      </c>
      <c r="K54" s="983">
        <f>VLOOKUP(J54,TOV!$C$434:$G$448,TOV!$F$1,FALSE)</f>
        <v>36000</v>
      </c>
      <c r="L54" s="117"/>
      <c r="M54" s="122">
        <f t="shared" si="10"/>
        <v>0</v>
      </c>
      <c r="N54" s="192"/>
      <c r="O54" s="191"/>
      <c r="P54" s="191"/>
      <c r="Q54" s="191"/>
      <c r="R54" s="190"/>
      <c r="S54" s="474"/>
      <c r="T54" s="474"/>
      <c r="U54" s="474"/>
      <c r="V54" s="474"/>
      <c r="W54" s="474"/>
      <c r="X54" s="474"/>
      <c r="Y54" s="474"/>
      <c r="Z54" s="474"/>
      <c r="AA54" s="474"/>
      <c r="AB54" s="474"/>
      <c r="AC54" s="474"/>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34"/>
      <c r="BR54" s="475"/>
      <c r="BS54" s="475"/>
      <c r="BT54" s="475"/>
      <c r="BU54" s="475"/>
      <c r="BV54" s="475"/>
      <c r="BW54" s="475"/>
      <c r="BX54" s="475"/>
      <c r="BY54" s="475"/>
      <c r="BZ54" s="475"/>
      <c r="CA54" s="475"/>
      <c r="CB54" s="475"/>
      <c r="CC54" s="475"/>
      <c r="CD54" s="475"/>
      <c r="CE54" s="475"/>
      <c r="CF54" s="475"/>
      <c r="CG54" s="475"/>
      <c r="CH54" s="475"/>
      <c r="CI54" s="475"/>
      <c r="CJ54" s="475"/>
      <c r="CK54" s="475"/>
      <c r="CL54" s="475"/>
      <c r="CM54" s="475"/>
      <c r="CN54" s="475"/>
      <c r="CO54" s="475"/>
      <c r="CP54" s="475"/>
      <c r="CQ54" s="475"/>
      <c r="CR54" s="475"/>
      <c r="CS54" s="475"/>
      <c r="CT54" s="475"/>
      <c r="CU54" s="475"/>
      <c r="CV54" s="475"/>
      <c r="CW54" s="475"/>
      <c r="CX54" s="475"/>
      <c r="CY54" s="475"/>
      <c r="CZ54" s="475"/>
      <c r="DA54" s="475"/>
      <c r="DB54" s="475"/>
      <c r="DC54" s="475"/>
      <c r="DD54" s="475"/>
      <c r="DE54" s="475"/>
      <c r="DF54" s="475"/>
      <c r="DG54" s="475"/>
      <c r="DH54" s="475"/>
      <c r="DI54" s="475"/>
      <c r="DJ54" s="475"/>
      <c r="DK54" s="475"/>
      <c r="DL54" s="475"/>
      <c r="DM54" s="475"/>
      <c r="DN54" s="475"/>
      <c r="DO54" s="475"/>
      <c r="DP54" s="475"/>
      <c r="DQ54" s="475"/>
      <c r="DR54" s="475"/>
      <c r="DS54" s="475"/>
      <c r="DT54" s="475"/>
      <c r="DU54" s="475"/>
      <c r="DV54" s="475"/>
      <c r="DW54" s="475"/>
      <c r="DX54" s="475"/>
      <c r="DY54" s="475"/>
      <c r="DZ54" s="475"/>
      <c r="EA54" s="475"/>
      <c r="EB54" s="475"/>
      <c r="EC54" s="475"/>
      <c r="ED54" s="475"/>
      <c r="EE54" s="475"/>
      <c r="EF54" s="475"/>
      <c r="EG54" s="475"/>
      <c r="EH54" s="475"/>
      <c r="EI54" s="475"/>
      <c r="EJ54" s="475"/>
      <c r="EK54" s="475"/>
      <c r="EL54" s="475"/>
      <c r="EM54" s="475"/>
      <c r="EN54" s="475"/>
      <c r="EO54" s="475"/>
      <c r="EP54" s="475"/>
      <c r="EQ54" s="475"/>
      <c r="ER54" s="475"/>
      <c r="ES54" s="475"/>
      <c r="ET54" s="475"/>
      <c r="EU54" s="475"/>
      <c r="EV54" s="475"/>
      <c r="EW54" s="475"/>
      <c r="EZ54" s="975"/>
      <c r="FD54" s="976"/>
    </row>
    <row r="55" spans="1:165" s="495" customFormat="1">
      <c r="B55" s="310"/>
      <c r="C55" s="824">
        <f t="shared" si="7"/>
        <v>15</v>
      </c>
      <c r="D55" s="1026"/>
      <c r="E55" s="79"/>
      <c r="F55" s="59"/>
      <c r="G55" s="59"/>
      <c r="H55" s="328"/>
      <c r="I55" s="48"/>
      <c r="J55" s="964"/>
      <c r="K55" s="518" t="str">
        <f>IF(AND(H55&gt;0,OR(L55="",L55=0)),"Enter Rate","No alert")</f>
        <v>No alert</v>
      </c>
      <c r="L55" s="112"/>
      <c r="M55" s="122">
        <f t="shared" ref="M55:M60" si="11">L55*H55</f>
        <v>0</v>
      </c>
      <c r="N55" s="192"/>
      <c r="O55" s="191"/>
      <c r="P55" s="191"/>
      <c r="Q55" s="191"/>
      <c r="R55" s="190"/>
      <c r="S55" s="474"/>
      <c r="T55" s="474"/>
      <c r="U55" s="474"/>
      <c r="V55" s="474"/>
      <c r="W55" s="474"/>
      <c r="X55" s="474"/>
      <c r="Y55" s="474"/>
      <c r="Z55" s="474"/>
      <c r="AA55" s="474"/>
      <c r="AB55" s="474"/>
      <c r="AC55" s="474"/>
      <c r="AD55" s="475"/>
      <c r="AE55" s="475"/>
      <c r="AF55" s="475"/>
      <c r="AG55" s="475"/>
      <c r="AH55" s="475"/>
      <c r="AI55" s="475"/>
      <c r="AJ55" s="475"/>
      <c r="AK55" s="475"/>
      <c r="AL55" s="475"/>
      <c r="AM55" s="475"/>
      <c r="AN55" s="475"/>
      <c r="AO55" s="475"/>
      <c r="AP55" s="475"/>
      <c r="AQ55" s="475"/>
      <c r="AR55" s="475"/>
      <c r="AS55" s="475"/>
      <c r="AT55" s="475"/>
      <c r="AU55" s="475"/>
      <c r="AV55" s="475"/>
      <c r="AW55" s="475"/>
      <c r="AX55" s="475"/>
      <c r="AY55" s="475"/>
      <c r="AZ55" s="475"/>
      <c r="BA55" s="475"/>
      <c r="BB55" s="475"/>
      <c r="BC55" s="475"/>
      <c r="BD55" s="475"/>
      <c r="BE55" s="475"/>
      <c r="BF55" s="475"/>
      <c r="BG55" s="475"/>
      <c r="BH55" s="475"/>
      <c r="BI55" s="475"/>
      <c r="BJ55" s="475"/>
      <c r="BK55" s="475"/>
      <c r="BL55" s="475"/>
      <c r="BM55" s="475"/>
      <c r="BN55" s="475"/>
      <c r="BO55" s="475"/>
      <c r="BP55" s="475"/>
      <c r="BQ55" s="434"/>
      <c r="BR55" s="475"/>
      <c r="BS55" s="475"/>
      <c r="BT55" s="475"/>
      <c r="BU55" s="475"/>
      <c r="BV55" s="475"/>
      <c r="BW55" s="475"/>
      <c r="BX55" s="475"/>
      <c r="BY55" s="475"/>
      <c r="BZ55" s="475"/>
      <c r="CA55" s="475"/>
      <c r="CB55" s="475"/>
      <c r="CC55" s="475"/>
      <c r="CD55" s="475"/>
      <c r="CE55" s="475"/>
      <c r="CF55" s="475"/>
      <c r="CG55" s="475"/>
      <c r="CH55" s="475"/>
      <c r="CI55" s="475"/>
      <c r="CJ55" s="475"/>
      <c r="CK55" s="475"/>
      <c r="CL55" s="475"/>
      <c r="CM55" s="475"/>
      <c r="CN55" s="475"/>
      <c r="CO55" s="475"/>
      <c r="CP55" s="475"/>
      <c r="CQ55" s="475"/>
      <c r="CR55" s="475"/>
      <c r="CS55" s="475"/>
      <c r="CT55" s="475"/>
      <c r="CU55" s="475"/>
      <c r="CV55" s="475"/>
      <c r="CW55" s="475"/>
      <c r="CX55" s="475"/>
      <c r="CY55" s="475"/>
      <c r="CZ55" s="475"/>
      <c r="DA55" s="475"/>
      <c r="DB55" s="475"/>
      <c r="DC55" s="475"/>
      <c r="DD55" s="475"/>
      <c r="DE55" s="475"/>
      <c r="DF55" s="475"/>
      <c r="DG55" s="475"/>
      <c r="DH55" s="475"/>
      <c r="DI55" s="475"/>
      <c r="DJ55" s="475"/>
      <c r="DK55" s="475"/>
      <c r="DL55" s="475"/>
      <c r="DM55" s="475"/>
      <c r="DN55" s="475"/>
      <c r="DO55" s="475"/>
      <c r="DP55" s="475"/>
      <c r="DQ55" s="475"/>
      <c r="DR55" s="475"/>
      <c r="DS55" s="475"/>
      <c r="DT55" s="475"/>
      <c r="DU55" s="475"/>
      <c r="DV55" s="475"/>
      <c r="DW55" s="475"/>
      <c r="DX55" s="475"/>
      <c r="DY55" s="475"/>
      <c r="DZ55" s="475"/>
      <c r="EA55" s="475"/>
      <c r="EB55" s="475"/>
      <c r="EC55" s="475"/>
      <c r="ED55" s="475"/>
      <c r="EE55" s="475"/>
      <c r="EF55" s="475"/>
      <c r="EG55" s="475"/>
      <c r="EH55" s="475"/>
      <c r="EI55" s="475"/>
      <c r="EJ55" s="475"/>
      <c r="EK55" s="475"/>
      <c r="EL55" s="475"/>
      <c r="EM55" s="475"/>
      <c r="EN55" s="475"/>
      <c r="EO55" s="475"/>
      <c r="EP55" s="475"/>
      <c r="EQ55" s="475"/>
      <c r="ER55" s="475"/>
      <c r="ES55" s="475"/>
      <c r="ET55" s="475"/>
      <c r="EU55" s="475"/>
      <c r="EV55" s="475"/>
      <c r="EW55" s="475"/>
      <c r="EZ55" s="975"/>
      <c r="FD55" s="976"/>
    </row>
    <row r="56" spans="1:165" s="495" customFormat="1">
      <c r="B56" s="310"/>
      <c r="C56" s="824">
        <f t="shared" si="7"/>
        <v>16</v>
      </c>
      <c r="D56" s="1026"/>
      <c r="E56" s="79"/>
      <c r="F56" s="59"/>
      <c r="G56" s="59"/>
      <c r="H56" s="328"/>
      <c r="I56" s="48"/>
      <c r="J56" s="964"/>
      <c r="K56" s="518" t="str">
        <f t="shared" ref="K56:K60" si="12">IF(AND(H56&gt;0,OR(L56="",L56=0)),"Enter Rate","No alert")</f>
        <v>No alert</v>
      </c>
      <c r="L56" s="112"/>
      <c r="M56" s="122">
        <f t="shared" si="11"/>
        <v>0</v>
      </c>
      <c r="N56" s="192"/>
      <c r="O56" s="191"/>
      <c r="P56" s="191"/>
      <c r="Q56" s="191"/>
      <c r="R56" s="190"/>
      <c r="S56" s="474"/>
      <c r="T56" s="474"/>
      <c r="U56" s="474"/>
      <c r="V56" s="474"/>
      <c r="W56" s="474"/>
      <c r="X56" s="474"/>
      <c r="Y56" s="474"/>
      <c r="Z56" s="474"/>
      <c r="AA56" s="474"/>
      <c r="AB56" s="474"/>
      <c r="AC56" s="474"/>
      <c r="AD56" s="475"/>
      <c r="AE56" s="475"/>
      <c r="AF56" s="475"/>
      <c r="AG56" s="475"/>
      <c r="AH56" s="475"/>
      <c r="AI56" s="475"/>
      <c r="AJ56" s="475"/>
      <c r="AK56" s="475"/>
      <c r="AL56" s="475"/>
      <c r="AM56" s="475"/>
      <c r="AN56" s="475"/>
      <c r="AO56" s="475"/>
      <c r="AP56" s="475"/>
      <c r="AQ56" s="475"/>
      <c r="AR56" s="475"/>
      <c r="AS56" s="475"/>
      <c r="AT56" s="475"/>
      <c r="AU56" s="475"/>
      <c r="AV56" s="475"/>
      <c r="AW56" s="475"/>
      <c r="AX56" s="475"/>
      <c r="AY56" s="475"/>
      <c r="AZ56" s="475"/>
      <c r="BA56" s="475"/>
      <c r="BB56" s="475"/>
      <c r="BC56" s="475"/>
      <c r="BD56" s="475"/>
      <c r="BE56" s="475"/>
      <c r="BF56" s="475"/>
      <c r="BG56" s="475"/>
      <c r="BH56" s="475"/>
      <c r="BI56" s="475"/>
      <c r="BJ56" s="475"/>
      <c r="BK56" s="475"/>
      <c r="BL56" s="475"/>
      <c r="BM56" s="475"/>
      <c r="BN56" s="475"/>
      <c r="BO56" s="475"/>
      <c r="BP56" s="475"/>
      <c r="BQ56" s="434"/>
      <c r="BR56" s="475"/>
      <c r="BS56" s="475"/>
      <c r="BT56" s="475"/>
      <c r="BU56" s="475"/>
      <c r="BV56" s="475"/>
      <c r="BW56" s="475"/>
      <c r="BX56" s="475"/>
      <c r="BY56" s="475"/>
      <c r="BZ56" s="475"/>
      <c r="CA56" s="475"/>
      <c r="CB56" s="475"/>
      <c r="CC56" s="475"/>
      <c r="CD56" s="475"/>
      <c r="CE56" s="475"/>
      <c r="CF56" s="475"/>
      <c r="CG56" s="475"/>
      <c r="CH56" s="475"/>
      <c r="CI56" s="475"/>
      <c r="CJ56" s="475"/>
      <c r="CK56" s="475"/>
      <c r="CL56" s="475"/>
      <c r="CM56" s="475"/>
      <c r="CN56" s="475"/>
      <c r="CO56" s="475"/>
      <c r="CP56" s="475"/>
      <c r="CQ56" s="475"/>
      <c r="CR56" s="475"/>
      <c r="CS56" s="475"/>
      <c r="CT56" s="475"/>
      <c r="CU56" s="475"/>
      <c r="CV56" s="475"/>
      <c r="CW56" s="475"/>
      <c r="CX56" s="475"/>
      <c r="CY56" s="475"/>
      <c r="CZ56" s="475"/>
      <c r="DA56" s="475"/>
      <c r="DB56" s="475"/>
      <c r="DC56" s="475"/>
      <c r="DD56" s="475"/>
      <c r="DE56" s="475"/>
      <c r="DF56" s="475"/>
      <c r="DG56" s="475"/>
      <c r="DH56" s="475"/>
      <c r="DI56" s="475"/>
      <c r="DJ56" s="475"/>
      <c r="DK56" s="475"/>
      <c r="DL56" s="475"/>
      <c r="DM56" s="475"/>
      <c r="DN56" s="475"/>
      <c r="DO56" s="475"/>
      <c r="DP56" s="475"/>
      <c r="DQ56" s="475"/>
      <c r="DR56" s="475"/>
      <c r="DS56" s="475"/>
      <c r="DT56" s="475"/>
      <c r="DU56" s="475"/>
      <c r="DV56" s="475"/>
      <c r="DW56" s="475"/>
      <c r="DX56" s="475"/>
      <c r="DY56" s="475"/>
      <c r="DZ56" s="475"/>
      <c r="EA56" s="475"/>
      <c r="EB56" s="475"/>
      <c r="EC56" s="475"/>
      <c r="ED56" s="475"/>
      <c r="EE56" s="475"/>
      <c r="EF56" s="475"/>
      <c r="EG56" s="475"/>
      <c r="EH56" s="475"/>
      <c r="EI56" s="475"/>
      <c r="EJ56" s="475"/>
      <c r="EK56" s="475"/>
      <c r="EL56" s="475"/>
      <c r="EM56" s="475"/>
      <c r="EN56" s="475"/>
      <c r="EO56" s="475"/>
      <c r="EP56" s="475"/>
      <c r="EQ56" s="475"/>
      <c r="ER56" s="475"/>
      <c r="ES56" s="475"/>
      <c r="ET56" s="475"/>
      <c r="EU56" s="475"/>
      <c r="EV56" s="475"/>
      <c r="EW56" s="475"/>
      <c r="EZ56" s="975"/>
      <c r="FD56" s="976"/>
    </row>
    <row r="57" spans="1:165" s="495" customFormat="1">
      <c r="B57" s="310"/>
      <c r="C57" s="824">
        <f t="shared" si="7"/>
        <v>17</v>
      </c>
      <c r="D57" s="1026"/>
      <c r="E57" s="79"/>
      <c r="F57" s="59"/>
      <c r="G57" s="59"/>
      <c r="H57" s="328"/>
      <c r="I57" s="48"/>
      <c r="J57" s="964"/>
      <c r="K57" s="518" t="str">
        <f t="shared" si="12"/>
        <v>No alert</v>
      </c>
      <c r="L57" s="112"/>
      <c r="M57" s="122">
        <f t="shared" si="11"/>
        <v>0</v>
      </c>
      <c r="N57" s="192"/>
      <c r="O57" s="191"/>
      <c r="P57" s="191"/>
      <c r="Q57" s="191"/>
      <c r="R57" s="190"/>
      <c r="S57" s="474"/>
      <c r="T57" s="474"/>
      <c r="U57" s="474"/>
      <c r="V57" s="474"/>
      <c r="W57" s="474"/>
      <c r="X57" s="474"/>
      <c r="Y57" s="474"/>
      <c r="Z57" s="474"/>
      <c r="AA57" s="474"/>
      <c r="AB57" s="474"/>
      <c r="AC57" s="474"/>
      <c r="AD57" s="475"/>
      <c r="AE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c r="BA57" s="475"/>
      <c r="BB57" s="475"/>
      <c r="BC57" s="475"/>
      <c r="BD57" s="475"/>
      <c r="BE57" s="475"/>
      <c r="BF57" s="475"/>
      <c r="BG57" s="475"/>
      <c r="BH57" s="475"/>
      <c r="BI57" s="475"/>
      <c r="BJ57" s="475"/>
      <c r="BK57" s="475"/>
      <c r="BL57" s="475"/>
      <c r="BM57" s="475"/>
      <c r="BN57" s="475"/>
      <c r="BO57" s="475"/>
      <c r="BP57" s="475"/>
      <c r="BQ57" s="434"/>
      <c r="BR57" s="475"/>
      <c r="BS57" s="475"/>
      <c r="BT57" s="475"/>
      <c r="BU57" s="475"/>
      <c r="BV57" s="475"/>
      <c r="BW57" s="475"/>
      <c r="BX57" s="475"/>
      <c r="BY57" s="475"/>
      <c r="BZ57" s="475"/>
      <c r="CA57" s="475"/>
      <c r="CB57" s="475"/>
      <c r="CC57" s="475"/>
      <c r="CD57" s="475"/>
      <c r="CE57" s="475"/>
      <c r="CF57" s="475"/>
      <c r="CG57" s="475"/>
      <c r="CH57" s="475"/>
      <c r="CI57" s="475"/>
      <c r="CJ57" s="475"/>
      <c r="CK57" s="475"/>
      <c r="CL57" s="475"/>
      <c r="CM57" s="475"/>
      <c r="CN57" s="475"/>
      <c r="CO57" s="475"/>
      <c r="CP57" s="475"/>
      <c r="CQ57" s="475"/>
      <c r="CR57" s="475"/>
      <c r="CS57" s="475"/>
      <c r="CT57" s="475"/>
      <c r="CU57" s="475"/>
      <c r="CV57" s="475"/>
      <c r="CW57" s="475"/>
      <c r="CX57" s="475"/>
      <c r="CY57" s="475"/>
      <c r="CZ57" s="475"/>
      <c r="DA57" s="475"/>
      <c r="DB57" s="475"/>
      <c r="DC57" s="475"/>
      <c r="DD57" s="475"/>
      <c r="DE57" s="475"/>
      <c r="DF57" s="475"/>
      <c r="DG57" s="475"/>
      <c r="DH57" s="475"/>
      <c r="DI57" s="475"/>
      <c r="DJ57" s="475"/>
      <c r="DK57" s="475"/>
      <c r="DL57" s="475"/>
      <c r="DM57" s="475"/>
      <c r="DN57" s="475"/>
      <c r="DO57" s="475"/>
      <c r="DP57" s="475"/>
      <c r="DQ57" s="475"/>
      <c r="DR57" s="475"/>
      <c r="DS57" s="475"/>
      <c r="DT57" s="475"/>
      <c r="DU57" s="475"/>
      <c r="DV57" s="475"/>
      <c r="DW57" s="475"/>
      <c r="DX57" s="475"/>
      <c r="DY57" s="475"/>
      <c r="DZ57" s="475"/>
      <c r="EA57" s="475"/>
      <c r="EB57" s="475"/>
      <c r="EC57" s="475"/>
      <c r="ED57" s="475"/>
      <c r="EE57" s="475"/>
      <c r="EF57" s="475"/>
      <c r="EG57" s="475"/>
      <c r="EH57" s="475"/>
      <c r="EI57" s="475"/>
      <c r="EJ57" s="475"/>
      <c r="EK57" s="475"/>
      <c r="EL57" s="475"/>
      <c r="EM57" s="475"/>
      <c r="EN57" s="475"/>
      <c r="EO57" s="475"/>
      <c r="EP57" s="475"/>
      <c r="EQ57" s="475"/>
      <c r="ER57" s="475"/>
      <c r="ES57" s="475"/>
      <c r="ET57" s="475"/>
      <c r="EU57" s="475"/>
      <c r="EV57" s="475"/>
      <c r="EW57" s="475"/>
      <c r="EZ57" s="975"/>
      <c r="FD57" s="976"/>
    </row>
    <row r="58" spans="1:165" s="495" customFormat="1">
      <c r="B58" s="310"/>
      <c r="C58" s="824">
        <f t="shared" si="7"/>
        <v>18</v>
      </c>
      <c r="D58" s="1026"/>
      <c r="E58" s="79"/>
      <c r="F58" s="59"/>
      <c r="G58" s="59"/>
      <c r="H58" s="328"/>
      <c r="I58" s="48"/>
      <c r="J58" s="964"/>
      <c r="K58" s="518" t="str">
        <f t="shared" si="12"/>
        <v>No alert</v>
      </c>
      <c r="L58" s="112"/>
      <c r="M58" s="122">
        <f t="shared" si="11"/>
        <v>0</v>
      </c>
      <c r="N58" s="192"/>
      <c r="O58" s="191"/>
      <c r="P58" s="191"/>
      <c r="Q58" s="191"/>
      <c r="R58" s="190"/>
      <c r="S58" s="474"/>
      <c r="T58" s="474"/>
      <c r="U58" s="474"/>
      <c r="V58" s="474"/>
      <c r="W58" s="474"/>
      <c r="X58" s="474"/>
      <c r="Y58" s="474"/>
      <c r="Z58" s="474"/>
      <c r="AA58" s="474"/>
      <c r="AB58" s="474"/>
      <c r="AC58" s="474"/>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5"/>
      <c r="BF58" s="475"/>
      <c r="BG58" s="475"/>
      <c r="BH58" s="475"/>
      <c r="BI58" s="475"/>
      <c r="BJ58" s="475"/>
      <c r="BK58" s="475"/>
      <c r="BL58" s="475"/>
      <c r="BM58" s="475"/>
      <c r="BN58" s="475"/>
      <c r="BO58" s="475"/>
      <c r="BP58" s="475"/>
      <c r="BQ58" s="434"/>
      <c r="BR58" s="475"/>
      <c r="BS58" s="475"/>
      <c r="BT58" s="475"/>
      <c r="BU58" s="475"/>
      <c r="BV58" s="475"/>
      <c r="BW58" s="475"/>
      <c r="BX58" s="475"/>
      <c r="BY58" s="475"/>
      <c r="BZ58" s="475"/>
      <c r="CA58" s="475"/>
      <c r="CB58" s="475"/>
      <c r="CC58" s="475"/>
      <c r="CD58" s="475"/>
      <c r="CE58" s="475"/>
      <c r="CF58" s="475"/>
      <c r="CG58" s="475"/>
      <c r="CH58" s="475"/>
      <c r="CI58" s="475"/>
      <c r="CJ58" s="475"/>
      <c r="CK58" s="475"/>
      <c r="CL58" s="475"/>
      <c r="CM58" s="475"/>
      <c r="CN58" s="475"/>
      <c r="CO58" s="475"/>
      <c r="CP58" s="475"/>
      <c r="CQ58" s="475"/>
      <c r="CR58" s="475"/>
      <c r="CS58" s="475"/>
      <c r="CT58" s="475"/>
      <c r="CU58" s="475"/>
      <c r="CV58" s="475"/>
      <c r="CW58" s="475"/>
      <c r="CX58" s="475"/>
      <c r="CY58" s="475"/>
      <c r="CZ58" s="475"/>
      <c r="DA58" s="475"/>
      <c r="DB58" s="475"/>
      <c r="DC58" s="475"/>
      <c r="DD58" s="475"/>
      <c r="DE58" s="475"/>
      <c r="DF58" s="475"/>
      <c r="DG58" s="475"/>
      <c r="DH58" s="475"/>
      <c r="DI58" s="475"/>
      <c r="DJ58" s="475"/>
      <c r="DK58" s="475"/>
      <c r="DL58" s="475"/>
      <c r="DM58" s="475"/>
      <c r="DN58" s="475"/>
      <c r="DO58" s="475"/>
      <c r="DP58" s="475"/>
      <c r="DQ58" s="475"/>
      <c r="DR58" s="475"/>
      <c r="DS58" s="475"/>
      <c r="DT58" s="475"/>
      <c r="DU58" s="475"/>
      <c r="DV58" s="475"/>
      <c r="DW58" s="475"/>
      <c r="DX58" s="475"/>
      <c r="DY58" s="475"/>
      <c r="DZ58" s="475"/>
      <c r="EA58" s="475"/>
      <c r="EB58" s="475"/>
      <c r="EC58" s="475"/>
      <c r="ED58" s="475"/>
      <c r="EE58" s="475"/>
      <c r="EF58" s="475"/>
      <c r="EG58" s="475"/>
      <c r="EH58" s="475"/>
      <c r="EI58" s="475"/>
      <c r="EJ58" s="475"/>
      <c r="EK58" s="475"/>
      <c r="EL58" s="475"/>
      <c r="EM58" s="475"/>
      <c r="EN58" s="475"/>
      <c r="EO58" s="475"/>
      <c r="EP58" s="475"/>
      <c r="EQ58" s="475"/>
      <c r="ER58" s="475"/>
      <c r="ES58" s="475"/>
      <c r="ET58" s="475"/>
      <c r="EU58" s="475"/>
      <c r="EV58" s="475"/>
      <c r="EW58" s="475"/>
      <c r="EZ58" s="975"/>
      <c r="FD58" s="976"/>
    </row>
    <row r="59" spans="1:165" s="495" customFormat="1">
      <c r="B59" s="310"/>
      <c r="C59" s="824">
        <f t="shared" si="7"/>
        <v>19</v>
      </c>
      <c r="D59" s="1026"/>
      <c r="E59" s="79"/>
      <c r="F59" s="59"/>
      <c r="G59" s="59"/>
      <c r="H59" s="328"/>
      <c r="I59" s="48"/>
      <c r="J59" s="964"/>
      <c r="K59" s="518" t="str">
        <f t="shared" si="12"/>
        <v>No alert</v>
      </c>
      <c r="L59" s="112"/>
      <c r="M59" s="122">
        <f t="shared" si="11"/>
        <v>0</v>
      </c>
      <c r="N59" s="192"/>
      <c r="O59" s="191"/>
      <c r="P59" s="191"/>
      <c r="Q59" s="191"/>
      <c r="R59" s="190"/>
      <c r="S59" s="474"/>
      <c r="T59" s="474"/>
      <c r="U59" s="474"/>
      <c r="V59" s="474"/>
      <c r="W59" s="474"/>
      <c r="X59" s="474"/>
      <c r="Y59" s="474"/>
      <c r="Z59" s="474"/>
      <c r="AA59" s="474"/>
      <c r="AB59" s="474"/>
      <c r="AC59" s="474"/>
      <c r="AD59" s="475"/>
      <c r="AE59" s="475"/>
      <c r="AF59" s="475"/>
      <c r="AG59" s="475"/>
      <c r="AH59" s="475"/>
      <c r="AI59" s="475"/>
      <c r="AJ59" s="475"/>
      <c r="AK59" s="475"/>
      <c r="AL59" s="475"/>
      <c r="AM59" s="475"/>
      <c r="AN59" s="475"/>
      <c r="AO59" s="475"/>
      <c r="AP59" s="475"/>
      <c r="AQ59" s="475"/>
      <c r="AR59" s="475"/>
      <c r="AS59" s="475"/>
      <c r="AT59" s="475"/>
      <c r="AU59" s="475"/>
      <c r="AV59" s="475"/>
      <c r="AW59" s="475"/>
      <c r="AX59" s="475"/>
      <c r="AY59" s="475"/>
      <c r="AZ59" s="475"/>
      <c r="BA59" s="475"/>
      <c r="BB59" s="475"/>
      <c r="BC59" s="475"/>
      <c r="BD59" s="475"/>
      <c r="BE59" s="475"/>
      <c r="BF59" s="475"/>
      <c r="BG59" s="475"/>
      <c r="BH59" s="475"/>
      <c r="BI59" s="475"/>
      <c r="BJ59" s="475"/>
      <c r="BK59" s="475"/>
      <c r="BL59" s="475"/>
      <c r="BM59" s="475"/>
      <c r="BN59" s="475"/>
      <c r="BO59" s="475"/>
      <c r="BP59" s="475"/>
      <c r="BQ59" s="434"/>
      <c r="BR59" s="475"/>
      <c r="BS59" s="475"/>
      <c r="BT59" s="475"/>
      <c r="BU59" s="475"/>
      <c r="BV59" s="475"/>
      <c r="BW59" s="475"/>
      <c r="BX59" s="475"/>
      <c r="BY59" s="475"/>
      <c r="BZ59" s="475"/>
      <c r="CA59" s="475"/>
      <c r="CB59" s="475"/>
      <c r="CC59" s="475"/>
      <c r="CD59" s="475"/>
      <c r="CE59" s="475"/>
      <c r="CF59" s="475"/>
      <c r="CG59" s="475"/>
      <c r="CH59" s="475"/>
      <c r="CI59" s="475"/>
      <c r="CJ59" s="475"/>
      <c r="CK59" s="475"/>
      <c r="CL59" s="475"/>
      <c r="CM59" s="475"/>
      <c r="CN59" s="475"/>
      <c r="CO59" s="475"/>
      <c r="CP59" s="475"/>
      <c r="CQ59" s="475"/>
      <c r="CR59" s="475"/>
      <c r="CS59" s="475"/>
      <c r="CT59" s="475"/>
      <c r="CU59" s="475"/>
      <c r="CV59" s="475"/>
      <c r="CW59" s="475"/>
      <c r="CX59" s="475"/>
      <c r="CY59" s="475"/>
      <c r="CZ59" s="475"/>
      <c r="DA59" s="475"/>
      <c r="DB59" s="475"/>
      <c r="DC59" s="475"/>
      <c r="DD59" s="475"/>
      <c r="DE59" s="475"/>
      <c r="DF59" s="475"/>
      <c r="DG59" s="475"/>
      <c r="DH59" s="475"/>
      <c r="DI59" s="475"/>
      <c r="DJ59" s="475"/>
      <c r="DK59" s="475"/>
      <c r="DL59" s="475"/>
      <c r="DM59" s="475"/>
      <c r="DN59" s="475"/>
      <c r="DO59" s="475"/>
      <c r="DP59" s="475"/>
      <c r="DQ59" s="475"/>
      <c r="DR59" s="475"/>
      <c r="DS59" s="475"/>
      <c r="DT59" s="475"/>
      <c r="DU59" s="475"/>
      <c r="DV59" s="475"/>
      <c r="DW59" s="475"/>
      <c r="DX59" s="475"/>
      <c r="DY59" s="475"/>
      <c r="DZ59" s="475"/>
      <c r="EA59" s="475"/>
      <c r="EB59" s="475"/>
      <c r="EC59" s="475"/>
      <c r="ED59" s="475"/>
      <c r="EE59" s="475"/>
      <c r="EF59" s="475"/>
      <c r="EG59" s="475"/>
      <c r="EH59" s="475"/>
      <c r="EI59" s="475"/>
      <c r="EJ59" s="475"/>
      <c r="EK59" s="475"/>
      <c r="EL59" s="475"/>
      <c r="EM59" s="475"/>
      <c r="EN59" s="475"/>
      <c r="EO59" s="475"/>
      <c r="EP59" s="475"/>
      <c r="EQ59" s="475"/>
      <c r="ER59" s="475"/>
      <c r="ES59" s="475"/>
      <c r="ET59" s="475"/>
      <c r="EU59" s="475"/>
      <c r="EV59" s="475"/>
      <c r="EW59" s="475"/>
      <c r="EZ59" s="975"/>
      <c r="FD59" s="976"/>
    </row>
    <row r="60" spans="1:165" s="495" customFormat="1">
      <c r="B60" s="310"/>
      <c r="C60" s="824">
        <f t="shared" si="7"/>
        <v>20</v>
      </c>
      <c r="D60" s="1026"/>
      <c r="E60" s="79"/>
      <c r="F60" s="59"/>
      <c r="G60" s="59"/>
      <c r="H60" s="328"/>
      <c r="I60" s="48"/>
      <c r="J60" s="964"/>
      <c r="K60" s="518" t="str">
        <f t="shared" si="12"/>
        <v>No alert</v>
      </c>
      <c r="L60" s="112"/>
      <c r="M60" s="122">
        <f t="shared" si="11"/>
        <v>0</v>
      </c>
      <c r="N60" s="192"/>
      <c r="O60" s="191"/>
      <c r="P60" s="191"/>
      <c r="Q60" s="191"/>
      <c r="R60" s="190"/>
      <c r="S60" s="474"/>
      <c r="T60" s="474"/>
      <c r="U60" s="474"/>
      <c r="V60" s="474"/>
      <c r="W60" s="474"/>
      <c r="X60" s="474"/>
      <c r="Y60" s="474"/>
      <c r="Z60" s="474"/>
      <c r="AA60" s="474"/>
      <c r="AB60" s="474"/>
      <c r="AC60" s="474"/>
      <c r="AD60" s="475"/>
      <c r="AE60" s="475"/>
      <c r="AF60" s="475"/>
      <c r="AG60" s="475"/>
      <c r="AH60" s="475"/>
      <c r="AI60" s="475"/>
      <c r="AJ60" s="475"/>
      <c r="AK60" s="475"/>
      <c r="AL60" s="475"/>
      <c r="AM60" s="475"/>
      <c r="AN60" s="475"/>
      <c r="AO60" s="475"/>
      <c r="AP60" s="475"/>
      <c r="AQ60" s="475"/>
      <c r="AR60" s="475"/>
      <c r="AS60" s="475"/>
      <c r="AT60" s="475"/>
      <c r="AU60" s="475"/>
      <c r="AV60" s="475"/>
      <c r="AW60" s="475"/>
      <c r="AX60" s="475"/>
      <c r="AY60" s="475"/>
      <c r="AZ60" s="475"/>
      <c r="BA60" s="475"/>
      <c r="BB60" s="475"/>
      <c r="BD60" s="475"/>
      <c r="BE60" s="475"/>
      <c r="BF60" s="475"/>
      <c r="BG60" s="475"/>
      <c r="BH60" s="475"/>
      <c r="BI60" s="475"/>
      <c r="BJ60" s="475"/>
      <c r="BK60" s="475"/>
      <c r="BL60" s="475"/>
      <c r="BM60" s="475"/>
      <c r="BN60" s="475"/>
      <c r="BO60" s="475"/>
      <c r="BP60" s="475"/>
      <c r="BQ60" s="475"/>
      <c r="BR60" s="434"/>
      <c r="BS60" s="475"/>
      <c r="BT60" s="475"/>
      <c r="BU60" s="475"/>
      <c r="BV60" s="475"/>
      <c r="BW60" s="475"/>
      <c r="BX60" s="475"/>
      <c r="BY60" s="475"/>
      <c r="BZ60" s="475"/>
      <c r="CA60" s="475"/>
      <c r="CB60" s="475"/>
      <c r="CC60" s="475"/>
      <c r="CD60" s="475"/>
      <c r="CE60" s="475"/>
      <c r="CF60" s="475"/>
      <c r="CG60" s="475"/>
      <c r="CH60" s="475"/>
      <c r="CI60" s="475"/>
      <c r="CJ60" s="475"/>
      <c r="CK60" s="475"/>
      <c r="CL60" s="475"/>
      <c r="CM60" s="475"/>
      <c r="CN60" s="475"/>
      <c r="CO60" s="475"/>
      <c r="CP60" s="475"/>
      <c r="CQ60" s="475"/>
      <c r="CR60" s="475"/>
      <c r="CS60" s="475"/>
      <c r="CT60" s="475"/>
      <c r="CU60" s="475"/>
      <c r="CV60" s="475"/>
      <c r="CW60" s="475"/>
      <c r="CX60" s="475"/>
      <c r="CY60" s="475"/>
      <c r="CZ60" s="475"/>
      <c r="DA60" s="475"/>
      <c r="DB60" s="475"/>
      <c r="DC60" s="475"/>
      <c r="DD60" s="475"/>
      <c r="DE60" s="475"/>
      <c r="DF60" s="475"/>
      <c r="DG60" s="475"/>
      <c r="DH60" s="475"/>
      <c r="DI60" s="475"/>
      <c r="DJ60" s="475"/>
      <c r="DK60" s="475"/>
      <c r="DL60" s="475"/>
      <c r="DM60" s="475"/>
      <c r="DN60" s="475"/>
      <c r="DO60" s="475"/>
      <c r="DP60" s="475"/>
      <c r="DQ60" s="475"/>
      <c r="DR60" s="475"/>
      <c r="DS60" s="475"/>
      <c r="DT60" s="475"/>
      <c r="DU60" s="475"/>
      <c r="DV60" s="475"/>
      <c r="DW60" s="475"/>
      <c r="DX60" s="475"/>
      <c r="DY60" s="475"/>
      <c r="DZ60" s="475"/>
      <c r="EA60" s="475"/>
      <c r="EB60" s="475"/>
      <c r="EC60" s="475"/>
      <c r="ED60" s="475"/>
      <c r="EE60" s="475"/>
      <c r="EF60" s="475"/>
      <c r="EG60" s="475"/>
      <c r="EH60" s="475"/>
      <c r="EI60" s="475"/>
      <c r="EJ60" s="475"/>
      <c r="EK60" s="475"/>
      <c r="EL60" s="475"/>
      <c r="EM60" s="475"/>
      <c r="EN60" s="475"/>
      <c r="EO60" s="475"/>
      <c r="EP60" s="475"/>
      <c r="EQ60" s="475"/>
      <c r="ER60" s="475"/>
      <c r="ES60" s="475"/>
      <c r="ET60" s="475"/>
      <c r="EU60" s="475"/>
      <c r="EV60" s="475"/>
      <c r="EY60" s="975"/>
      <c r="FC60" s="976"/>
    </row>
    <row r="61" spans="1:165" s="964" customFormat="1" ht="18" customHeight="1">
      <c r="B61" s="474"/>
      <c r="C61" s="474"/>
      <c r="H61" s="984"/>
      <c r="L61" s="985"/>
      <c r="M61" s="986"/>
      <c r="N61" s="474"/>
      <c r="O61" s="474"/>
      <c r="P61" s="474"/>
      <c r="Q61" s="474"/>
      <c r="R61" s="474"/>
      <c r="S61" s="474"/>
      <c r="T61" s="474"/>
      <c r="U61" s="474"/>
      <c r="V61" s="474"/>
      <c r="W61" s="474"/>
      <c r="X61" s="474"/>
      <c r="Y61" s="474"/>
      <c r="Z61" s="474"/>
      <c r="AA61" s="474"/>
      <c r="AB61" s="474"/>
      <c r="AC61" s="474"/>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906" t="str">
        <f>IF(BC64="","No Alert","Enter justification")</f>
        <v>No Alert</v>
      </c>
      <c r="BC61" s="906" t="str">
        <f>IF(BD64="","No Alert","Enter justification")</f>
        <v>No Alert</v>
      </c>
      <c r="BE61" s="475"/>
      <c r="BF61" s="475"/>
      <c r="BG61" s="475"/>
      <c r="BH61" s="475"/>
      <c r="BI61" s="475"/>
      <c r="BJ61" s="475"/>
      <c r="BK61" s="475"/>
      <c r="BL61" s="475"/>
      <c r="BM61" s="475"/>
      <c r="BN61" s="475"/>
      <c r="BO61" s="475"/>
      <c r="BP61" s="475"/>
      <c r="BQ61" s="475"/>
      <c r="BR61" s="434"/>
      <c r="BS61" s="475"/>
      <c r="BT61" s="475"/>
      <c r="BU61" s="475"/>
      <c r="BV61" s="475"/>
      <c r="BW61" s="475"/>
      <c r="BX61" s="475"/>
      <c r="BY61" s="475"/>
      <c r="BZ61" s="475"/>
      <c r="CA61" s="475"/>
      <c r="CB61" s="475"/>
      <c r="CC61" s="475"/>
      <c r="CD61" s="475"/>
      <c r="CE61" s="475"/>
      <c r="CF61" s="475"/>
      <c r="CG61" s="475"/>
      <c r="CH61" s="475"/>
      <c r="CI61" s="475"/>
      <c r="CJ61" s="475"/>
      <c r="CK61" s="475"/>
      <c r="CL61" s="475"/>
      <c r="CM61" s="475"/>
      <c r="CN61" s="475"/>
      <c r="CO61" s="475"/>
      <c r="CP61" s="475"/>
      <c r="CQ61" s="475"/>
      <c r="CR61" s="475"/>
      <c r="CS61" s="475"/>
      <c r="CT61" s="475"/>
      <c r="CU61" s="475"/>
      <c r="CV61" s="475"/>
      <c r="CW61" s="475"/>
      <c r="CX61" s="475"/>
      <c r="CY61" s="475"/>
      <c r="CZ61" s="475"/>
      <c r="DA61" s="475"/>
      <c r="DB61" s="475"/>
      <c r="DC61" s="475"/>
      <c r="DD61" s="475"/>
      <c r="DE61" s="475"/>
      <c r="DF61" s="475"/>
      <c r="DG61" s="475"/>
      <c r="DH61" s="475"/>
      <c r="DI61" s="475"/>
      <c r="DJ61" s="475"/>
      <c r="DK61" s="475"/>
      <c r="DL61" s="475"/>
      <c r="DM61" s="475"/>
      <c r="DN61" s="475"/>
      <c r="DO61" s="475"/>
      <c r="DP61" s="475"/>
      <c r="DQ61" s="475"/>
      <c r="DR61" s="475"/>
      <c r="DS61" s="475"/>
      <c r="DT61" s="475"/>
      <c r="DU61" s="475"/>
      <c r="DV61" s="475"/>
      <c r="DW61" s="475"/>
      <c r="DX61" s="475"/>
      <c r="DY61" s="475"/>
      <c r="DZ61" s="475"/>
      <c r="EA61" s="475"/>
      <c r="EB61" s="475"/>
      <c r="EC61" s="475"/>
      <c r="ED61" s="475"/>
      <c r="EE61" s="475"/>
      <c r="EF61" s="475"/>
      <c r="EG61" s="475"/>
      <c r="EH61" s="475"/>
      <c r="EI61" s="475"/>
      <c r="EJ61" s="475"/>
      <c r="EK61" s="475"/>
      <c r="EL61" s="475"/>
      <c r="EM61" s="475"/>
      <c r="EN61" s="475"/>
      <c r="EO61" s="475"/>
      <c r="EP61" s="475"/>
      <c r="EQ61" s="475"/>
      <c r="ER61" s="475"/>
      <c r="ES61" s="475"/>
      <c r="ET61" s="475"/>
      <c r="EU61" s="475"/>
      <c r="EV61" s="475"/>
      <c r="EY61" s="975"/>
      <c r="FC61" s="976"/>
    </row>
    <row r="62" spans="1:165" ht="18" customHeight="1">
      <c r="A62" s="579"/>
      <c r="H62" s="372">
        <f>SUM(H39:H61)</f>
        <v>0</v>
      </c>
      <c r="I62" s="800" t="s">
        <v>95</v>
      </c>
      <c r="J62" s="981"/>
      <c r="K62" s="981"/>
      <c r="L62" s="987"/>
      <c r="M62" s="122">
        <f>SUM(M40:M61)</f>
        <v>0</v>
      </c>
      <c r="N62" s="237">
        <f>IF(H62=0,0,M62/H62)</f>
        <v>0</v>
      </c>
      <c r="O62" s="463"/>
      <c r="BB62" s="789" t="s">
        <v>1521</v>
      </c>
      <c r="BC62" s="824" t="str">
        <f>TOVNum_Pasture</f>
        <v>#14.40</v>
      </c>
      <c r="BD62" s="824" t="str">
        <f>TOVNum_Native</f>
        <v>#14.41</v>
      </c>
      <c r="EV62" s="975"/>
      <c r="EY62" s="975"/>
      <c r="FC62" s="976"/>
    </row>
    <row r="63" spans="1:165" ht="18" customHeight="1">
      <c r="A63" s="579"/>
      <c r="I63" s="520"/>
      <c r="J63" s="981"/>
      <c r="K63" s="981"/>
      <c r="L63" s="987"/>
      <c r="M63" s="987"/>
      <c r="N63" s="987"/>
      <c r="O63" s="987"/>
      <c r="P63" s="987"/>
      <c r="Q63" s="987"/>
      <c r="R63" s="987"/>
      <c r="S63" s="987"/>
      <c r="T63" s="987"/>
      <c r="U63" s="987"/>
      <c r="V63" s="987"/>
      <c r="W63" s="987"/>
      <c r="BB63" s="789" t="s">
        <v>1780</v>
      </c>
      <c r="BC63" s="63">
        <f>Seed_pasture_rate</f>
        <v>1655.5</v>
      </c>
      <c r="BD63" s="63">
        <f>Seed_native_rate</f>
        <v>4196.5</v>
      </c>
      <c r="EV63" s="975"/>
      <c r="EY63" s="975"/>
      <c r="FC63" s="976"/>
    </row>
    <row r="64" spans="1:165" ht="18" customHeight="1">
      <c r="A64" s="579"/>
      <c r="G64" s="520"/>
      <c r="H64" s="520"/>
      <c r="I64" s="520"/>
      <c r="J64" s="520"/>
      <c r="K64" s="520"/>
      <c r="L64" s="520"/>
      <c r="M64" s="981"/>
      <c r="N64" s="981"/>
      <c r="O64" s="238"/>
      <c r="P64" s="238"/>
      <c r="Q64" s="238"/>
      <c r="R64" s="463"/>
      <c r="BB64" s="789" t="s">
        <v>1556</v>
      </c>
      <c r="BC64" s="117"/>
      <c r="BD64" s="117"/>
      <c r="FB64" s="975"/>
      <c r="FE64" s="975"/>
      <c r="FI64" s="976"/>
    </row>
    <row r="65" spans="1:162" ht="18" customHeight="1">
      <c r="A65" s="579"/>
      <c r="B65" s="988" t="s">
        <v>1781</v>
      </c>
      <c r="L65" s="988" t="s">
        <v>1782</v>
      </c>
      <c r="M65" s="989">
        <v>1.2</v>
      </c>
      <c r="U65" s="974"/>
      <c r="X65" s="614">
        <v>0.5</v>
      </c>
      <c r="Y65" s="495"/>
      <c r="Z65" s="495"/>
      <c r="AA65" s="990">
        <f>Default_Growth_Media</f>
        <v>150</v>
      </c>
      <c r="BB65" s="789" t="s">
        <v>2</v>
      </c>
      <c r="BC65" s="768" t="str">
        <f>VLOOKUP(BC62,TOV!$C$536:$G$585,TOV!$G$1,FALSE)</f>
        <v>ha</v>
      </c>
      <c r="BD65" s="768" t="str">
        <f>VLOOKUP(BD62,TOV!$C$536:$G$585,TOV!$G$1,FALSE)</f>
        <v>ha</v>
      </c>
      <c r="EZ65" s="975"/>
      <c r="FB65" s="975"/>
      <c r="FF65" s="976"/>
    </row>
    <row r="66" spans="1:162" s="475" customFormat="1" ht="18" customHeight="1">
      <c r="B66" s="284" t="str">
        <f>HYPERLINK(C92,"Top")</f>
        <v>Top</v>
      </c>
      <c r="C66" s="991" t="s">
        <v>1783</v>
      </c>
      <c r="D66" s="816"/>
      <c r="E66" s="992" t="s">
        <v>1784</v>
      </c>
      <c r="F66" s="993"/>
      <c r="G66" s="994"/>
      <c r="H66" s="994"/>
      <c r="I66" s="995"/>
      <c r="J66" s="994" t="s">
        <v>1785</v>
      </c>
      <c r="K66" s="996" t="s">
        <v>1786</v>
      </c>
      <c r="L66" s="994"/>
      <c r="M66" s="994"/>
      <c r="N66" s="995"/>
      <c r="O66" s="994" t="s">
        <v>1787</v>
      </c>
      <c r="P66" s="994"/>
      <c r="Q66" s="994"/>
      <c r="R66" s="994"/>
      <c r="S66" s="994"/>
      <c r="T66" s="994"/>
      <c r="U66" s="994"/>
      <c r="V66" s="994"/>
      <c r="W66" s="994"/>
      <c r="X66" s="996" t="s">
        <v>1788</v>
      </c>
      <c r="Y66" s="995"/>
      <c r="Z66" s="996" t="s">
        <v>1605</v>
      </c>
      <c r="AA66" s="994"/>
      <c r="AB66" s="994"/>
      <c r="AC66" s="994"/>
      <c r="AD66" s="994"/>
      <c r="AE66" s="994"/>
      <c r="AF66" s="994"/>
      <c r="AG66" s="994"/>
      <c r="AH66" s="996" t="s">
        <v>1789</v>
      </c>
      <c r="AI66" s="994"/>
      <c r="AJ66" s="995"/>
      <c r="AK66" s="994" t="s">
        <v>1606</v>
      </c>
      <c r="AL66" s="994"/>
      <c r="AM66" s="994"/>
      <c r="AN66" s="994"/>
      <c r="AO66" s="994"/>
      <c r="AP66" s="994"/>
      <c r="AQ66" s="994"/>
      <c r="AR66" s="994"/>
      <c r="AS66" s="994"/>
      <c r="AT66" s="994"/>
      <c r="AU66" s="994"/>
      <c r="AV66" s="994"/>
      <c r="AW66" s="997" t="s">
        <v>1607</v>
      </c>
      <c r="AX66" s="998"/>
      <c r="AY66" s="998"/>
      <c r="AZ66" s="998"/>
      <c r="BA66" s="998"/>
      <c r="BB66" s="998"/>
      <c r="BC66" s="998"/>
      <c r="BD66" s="998"/>
      <c r="BE66" s="998"/>
      <c r="BF66" s="998"/>
      <c r="BG66" s="997" t="s">
        <v>1608</v>
      </c>
      <c r="BH66" s="998"/>
      <c r="BI66" s="998"/>
      <c r="BJ66" s="998"/>
      <c r="BK66" s="998"/>
      <c r="BL66" s="998"/>
      <c r="BM66" s="998"/>
      <c r="BN66" s="998"/>
      <c r="BO66" s="998"/>
      <c r="BP66" s="997" t="s">
        <v>59</v>
      </c>
      <c r="BQ66" s="998"/>
      <c r="BR66" s="998"/>
      <c r="BS66" s="999"/>
      <c r="BT66" s="434"/>
      <c r="BU66" s="434"/>
      <c r="EZ66" s="975"/>
      <c r="FB66" s="975"/>
      <c r="FF66" s="976"/>
    </row>
    <row r="67" spans="1:162" ht="41.25" customHeight="1">
      <c r="A67" s="642"/>
      <c r="B67" s="774" t="s">
        <v>1517</v>
      </c>
      <c r="C67" s="774" t="s">
        <v>27</v>
      </c>
      <c r="D67" s="821" t="s">
        <v>1583</v>
      </c>
      <c r="E67" s="812" t="s">
        <v>111</v>
      </c>
      <c r="F67" s="822"/>
      <c r="G67" s="822" t="s">
        <v>1790</v>
      </c>
      <c r="H67" s="822" t="s">
        <v>1791</v>
      </c>
      <c r="I67" s="822" t="s">
        <v>1792</v>
      </c>
      <c r="J67" s="822" t="s">
        <v>1793</v>
      </c>
      <c r="K67" s="822" t="s">
        <v>1794</v>
      </c>
      <c r="L67" s="822" t="s">
        <v>1795</v>
      </c>
      <c r="M67" s="822" t="s">
        <v>1796</v>
      </c>
      <c r="N67" s="822" t="s">
        <v>1797</v>
      </c>
      <c r="O67" s="822" t="s">
        <v>1798</v>
      </c>
      <c r="P67" s="822" t="s">
        <v>1799</v>
      </c>
      <c r="Q67" s="822" t="s">
        <v>1800</v>
      </c>
      <c r="R67" s="822" t="s">
        <v>1801</v>
      </c>
      <c r="S67" s="822" t="s">
        <v>1802</v>
      </c>
      <c r="T67" s="822" t="s">
        <v>1803</v>
      </c>
      <c r="U67" s="822" t="s">
        <v>1804</v>
      </c>
      <c r="V67" s="822" t="s">
        <v>1805</v>
      </c>
      <c r="W67" s="822" t="s">
        <v>1806</v>
      </c>
      <c r="X67" s="822" t="s">
        <v>1807</v>
      </c>
      <c r="Y67" s="822" t="s">
        <v>1808</v>
      </c>
      <c r="Z67" s="822" t="s">
        <v>1809</v>
      </c>
      <c r="AA67" s="822" t="s">
        <v>1623</v>
      </c>
      <c r="AB67" s="822" t="s">
        <v>1810</v>
      </c>
      <c r="AC67" s="822" t="s">
        <v>1811</v>
      </c>
      <c r="AD67" s="822" t="s">
        <v>1627</v>
      </c>
      <c r="AE67" s="822" t="s">
        <v>1628</v>
      </c>
      <c r="AF67" s="822" t="s">
        <v>1629</v>
      </c>
      <c r="AG67" s="822" t="s">
        <v>1630</v>
      </c>
      <c r="AH67" s="822" t="s">
        <v>1812</v>
      </c>
      <c r="AI67" s="822" t="s">
        <v>1813</v>
      </c>
      <c r="AJ67" s="822" t="s">
        <v>1814</v>
      </c>
      <c r="AK67" s="822" t="s">
        <v>1815</v>
      </c>
      <c r="AL67" s="822"/>
      <c r="AM67" s="822" t="s">
        <v>1816</v>
      </c>
      <c r="AN67" s="822"/>
      <c r="AO67" s="822" t="s">
        <v>1817</v>
      </c>
      <c r="AP67" s="822"/>
      <c r="AQ67" s="822" t="s">
        <v>1818</v>
      </c>
      <c r="AR67" s="822"/>
      <c r="AS67" s="822" t="s">
        <v>1819</v>
      </c>
      <c r="AT67" s="822"/>
      <c r="AU67" s="822" t="s">
        <v>1820</v>
      </c>
      <c r="AV67" s="822"/>
      <c r="AW67" s="822" t="s">
        <v>1821</v>
      </c>
      <c r="AX67" s="822" t="s">
        <v>1822</v>
      </c>
      <c r="AY67" s="822" t="s">
        <v>1823</v>
      </c>
      <c r="AZ67" s="822" t="s">
        <v>1824</v>
      </c>
      <c r="BA67" s="822" t="s">
        <v>1825</v>
      </c>
      <c r="BB67" s="822" t="s">
        <v>1826</v>
      </c>
      <c r="BC67" s="822" t="s">
        <v>1827</v>
      </c>
      <c r="BD67" s="822" t="s">
        <v>1828</v>
      </c>
      <c r="BE67" s="822" t="s">
        <v>1829</v>
      </c>
      <c r="BF67" s="822" t="s">
        <v>1830</v>
      </c>
      <c r="BG67" s="822" t="s">
        <v>1831</v>
      </c>
      <c r="BH67" s="822" t="s">
        <v>1832</v>
      </c>
      <c r="BI67" s="822" t="s">
        <v>1833</v>
      </c>
      <c r="BJ67" s="822" t="s">
        <v>1834</v>
      </c>
      <c r="BK67" s="822" t="s">
        <v>1835</v>
      </c>
      <c r="BL67" s="822" t="s">
        <v>1836</v>
      </c>
      <c r="BM67" s="822" t="s">
        <v>1837</v>
      </c>
      <c r="BN67" s="822" t="s">
        <v>1838</v>
      </c>
      <c r="BO67" s="822" t="s">
        <v>1839</v>
      </c>
      <c r="BP67" s="1000" t="s">
        <v>1840</v>
      </c>
      <c r="BQ67" s="822" t="s">
        <v>85</v>
      </c>
      <c r="BR67" s="822" t="s">
        <v>28</v>
      </c>
      <c r="BS67" s="1000" t="s">
        <v>1841</v>
      </c>
      <c r="BV67" s="475"/>
      <c r="BW67" s="475"/>
      <c r="BX67" s="475"/>
      <c r="BY67" s="475"/>
      <c r="BZ67" s="475"/>
      <c r="CA67" s="475"/>
      <c r="CB67" s="475"/>
      <c r="CC67" s="475"/>
      <c r="CD67" s="475"/>
      <c r="CE67" s="475"/>
      <c r="CF67" s="475"/>
      <c r="CG67" s="475"/>
      <c r="CH67" s="475"/>
      <c r="CI67" s="475"/>
      <c r="CJ67" s="475"/>
      <c r="CK67" s="475"/>
      <c r="CL67" s="475"/>
      <c r="CM67" s="475"/>
      <c r="CN67" s="475"/>
      <c r="CO67" s="475"/>
      <c r="CP67" s="475"/>
      <c r="CQ67" s="475"/>
      <c r="CR67" s="475"/>
      <c r="CS67" s="475"/>
      <c r="CT67" s="475"/>
      <c r="CU67" s="475"/>
      <c r="CV67" s="475"/>
      <c r="CW67" s="475"/>
      <c r="CX67" s="475"/>
      <c r="CY67" s="475"/>
      <c r="CZ67" s="475"/>
      <c r="DA67" s="475"/>
      <c r="DB67" s="475"/>
      <c r="DC67" s="475"/>
      <c r="DD67" s="475"/>
      <c r="DE67" s="475"/>
      <c r="DF67" s="475"/>
      <c r="DG67" s="475"/>
      <c r="DH67" s="475"/>
      <c r="DI67" s="475"/>
      <c r="DJ67" s="475"/>
      <c r="DK67" s="475"/>
      <c r="DL67" s="475"/>
      <c r="DM67" s="475"/>
      <c r="DN67" s="475"/>
      <c r="DO67" s="475"/>
      <c r="DP67" s="475"/>
      <c r="DQ67" s="475"/>
      <c r="DR67" s="475"/>
      <c r="DS67" s="475"/>
      <c r="DT67" s="475"/>
      <c r="DU67" s="475"/>
      <c r="DV67" s="475"/>
      <c r="DW67" s="475"/>
      <c r="DX67" s="475"/>
      <c r="DY67" s="475"/>
      <c r="DZ67" s="475"/>
      <c r="EA67" s="475"/>
      <c r="EB67" s="475"/>
      <c r="EC67" s="475"/>
      <c r="ED67" s="475"/>
      <c r="EE67" s="475"/>
      <c r="EF67" s="475"/>
      <c r="EG67" s="475"/>
      <c r="EH67" s="475"/>
      <c r="EI67" s="475"/>
      <c r="EJ67" s="475"/>
      <c r="EK67" s="475"/>
      <c r="EL67" s="475"/>
      <c r="EM67" s="475"/>
      <c r="EN67" s="475"/>
      <c r="EO67" s="475"/>
      <c r="EP67" s="475"/>
      <c r="EQ67" s="475"/>
      <c r="ER67" s="475"/>
      <c r="ES67" s="475"/>
      <c r="ET67" s="475"/>
      <c r="EU67" s="475"/>
      <c r="EV67" s="475"/>
      <c r="EW67" s="475"/>
      <c r="EX67" s="475"/>
      <c r="EY67" s="475"/>
      <c r="FB67" s="975"/>
      <c r="FF67" s="976"/>
    </row>
    <row r="68" spans="1:162" ht="18" customHeight="1">
      <c r="B68" s="474"/>
      <c r="C68" s="474"/>
      <c r="D68" s="474"/>
      <c r="H68" s="125" t="s">
        <v>1563</v>
      </c>
      <c r="K68" s="125" t="s">
        <v>1646</v>
      </c>
      <c r="M68" s="1001"/>
      <c r="AB68" s="1001"/>
      <c r="AC68" s="1001"/>
      <c r="AD68" s="125"/>
      <c r="AE68" s="155"/>
      <c r="AF68" s="155"/>
      <c r="AG68" s="155"/>
      <c r="AH68" s="1001"/>
      <c r="AJ68" s="582"/>
      <c r="AK68" s="125" t="s">
        <v>1646</v>
      </c>
      <c r="AL68" s="1002"/>
      <c r="AM68" s="125" t="s">
        <v>1646</v>
      </c>
      <c r="AN68" s="1002"/>
      <c r="AO68" s="125" t="s">
        <v>1646</v>
      </c>
      <c r="AP68" s="1002"/>
      <c r="AQ68" s="125" t="s">
        <v>1646</v>
      </c>
      <c r="AR68" s="1002"/>
      <c r="AS68" s="125" t="s">
        <v>1646</v>
      </c>
      <c r="AT68" s="1002"/>
      <c r="AU68" s="125" t="s">
        <v>1646</v>
      </c>
      <c r="AX68" s="268" t="s">
        <v>340</v>
      </c>
      <c r="AY68" s="268" t="s">
        <v>463</v>
      </c>
      <c r="AZ68" s="268" t="s">
        <v>463</v>
      </c>
      <c r="BA68" s="268" t="s">
        <v>403</v>
      </c>
      <c r="BB68" s="268" t="s">
        <v>340</v>
      </c>
      <c r="EZ68" s="975"/>
      <c r="FB68" s="975"/>
      <c r="FF68" s="976"/>
    </row>
    <row r="69" spans="1:162" s="495" customFormat="1" ht="15">
      <c r="B69" s="310"/>
      <c r="C69" s="824">
        <v>1</v>
      </c>
      <c r="D69" s="175"/>
      <c r="E69" s="255"/>
      <c r="F69" s="1027"/>
      <c r="G69" s="197"/>
      <c r="H69" s="174"/>
      <c r="I69" s="328"/>
      <c r="J69" s="328"/>
      <c r="K69" s="174" t="s">
        <v>167</v>
      </c>
      <c r="L69" s="328"/>
      <c r="M69" s="1003">
        <f>IF(K69="Lined",IF(L69="",I69*Dams_linerX_raw_def,L69),0)</f>
        <v>0</v>
      </c>
      <c r="N69" s="577" t="str">
        <f>IF(AND(L69&lt;&gt;"",L69&lt;I69),"Error","No Alert")</f>
        <v>No Alert</v>
      </c>
      <c r="O69" s="197"/>
      <c r="P69" s="197"/>
      <c r="Q69" s="197"/>
      <c r="R69" s="614">
        <f t="shared" ref="R69:R81" si="13">Q69*O69*2+P69</f>
        <v>0</v>
      </c>
      <c r="S69" s="614">
        <f t="shared" ref="S69:S81" si="14">P69*O69+2*0.5*(R69-P69)/2</f>
        <v>0</v>
      </c>
      <c r="T69" s="197"/>
      <c r="U69" s="1003">
        <f t="shared" ref="U69:U98" si="15">SQRT(I69*10000)*4</f>
        <v>0</v>
      </c>
      <c r="V69" s="328"/>
      <c r="W69" s="1003">
        <f>IF(T69="",S69,T69)*IF(V69="",U69,V69)</f>
        <v>0</v>
      </c>
      <c r="X69" s="197"/>
      <c r="Y69" s="1003">
        <f>I69*10000*IF(X69="",$X$65,X69)</f>
        <v>0</v>
      </c>
      <c r="Z69" s="328">
        <f>I69</f>
        <v>0</v>
      </c>
      <c r="AA69" s="174"/>
      <c r="AB69" s="1003">
        <f>Z69*10000*IF(AA69&gt;0,AA69,$AA$65)/1000</f>
        <v>0</v>
      </c>
      <c r="AC69" s="328">
        <f>Z69</f>
        <v>0</v>
      </c>
      <c r="AD69" s="392">
        <v>1</v>
      </c>
      <c r="AE69" s="392"/>
      <c r="AF69" s="1004">
        <f>100%-SUM(AD69:AE69)</f>
        <v>0</v>
      </c>
      <c r="AG69" s="1005" t="str">
        <f>IF(ABS(AF69)&gt;0,"Error","No Alert")</f>
        <v>No Alert</v>
      </c>
      <c r="AH69" s="1003">
        <f t="shared" ref="AH69:AH98" si="16">I69</f>
        <v>0</v>
      </c>
      <c r="AI69" s="328"/>
      <c r="AJ69" s="197"/>
      <c r="AK69" s="239" t="s">
        <v>125</v>
      </c>
      <c r="AL69" s="240"/>
      <c r="AM69" s="239" t="s">
        <v>185</v>
      </c>
      <c r="AN69" s="240"/>
      <c r="AO69" s="239" t="s">
        <v>411</v>
      </c>
      <c r="AP69" s="240"/>
      <c r="AQ69" s="239" t="s">
        <v>3</v>
      </c>
      <c r="AR69" s="241" t="str">
        <f>IF(INDEX(Dozer_Push_Values,MATCH(AO69,Dozer_Push_Length,0),MATCH(AQ69,Dozers,0))="Dozer too small","Dozer too small","")</f>
        <v/>
      </c>
      <c r="AS69" s="239" t="s">
        <v>351</v>
      </c>
      <c r="AT69" s="240"/>
      <c r="AU69" s="239" t="s">
        <v>348</v>
      </c>
      <c r="AV69" s="240"/>
      <c r="AW69" s="1006">
        <f>TOV!$F$459</f>
        <v>120.44708803025631</v>
      </c>
      <c r="AX69" s="1006">
        <f t="shared" ref="AX69:AX98" si="17">INDEX(Load_and_Haul_Values,MATCH(AK69,Load_and_Haul,0),MATCH(AM69,Load_Haul_Fleet_size,0))</f>
        <v>5.3318476521729101</v>
      </c>
      <c r="AY69" s="1006">
        <f>Subrates!$D$117</f>
        <v>5852.5683548844463</v>
      </c>
      <c r="AZ69" s="1006">
        <f>Subrates!$D$118</f>
        <v>1600.8579286570243</v>
      </c>
      <c r="BA69" s="1006">
        <f>INDEX(Dozer_Push_Values,MATCH(AO69,Dozer_Push_Length,0),MATCH(AQ69,Dozers,0))</f>
        <v>1.9221853757639424</v>
      </c>
      <c r="BB69" s="1006">
        <f t="shared" ref="BB69:BB98" si="18">INDEX(Load_and_Haul_Values,MATCH(AS69,Load_and_Haul,0),MATCH(AU69,Load_Haul_Fleet_size,0))</f>
        <v>3.0953055046989575</v>
      </c>
      <c r="BC69" s="1006">
        <f>IF($BC$64&lt;&gt;"",$BC$64,$BC$63)</f>
        <v>1655.5</v>
      </c>
      <c r="BD69" s="1006">
        <f>IF($BD$64&lt;&gt;"",$BD$64,$BD$63)</f>
        <v>4196.5</v>
      </c>
      <c r="BE69" s="1006">
        <f>TOV!$F$518</f>
        <v>35075.581888424982</v>
      </c>
      <c r="BF69" s="1006">
        <f>TOV!$F$519</f>
        <v>3964.5309116330122</v>
      </c>
      <c r="BG69" s="351">
        <f t="shared" ref="BG69:BG98" si="19">AW69*J69</f>
        <v>0</v>
      </c>
      <c r="BH69" s="351">
        <f t="shared" ref="BH69:BH98" si="20">Y69*AX69</f>
        <v>0</v>
      </c>
      <c r="BI69" s="351">
        <f t="shared" ref="BI69:BI98" si="21">M69*AY69</f>
        <v>0</v>
      </c>
      <c r="BJ69" s="351">
        <f t="shared" ref="BJ69:BJ98" si="22">M69*AZ69</f>
        <v>0</v>
      </c>
      <c r="BK69" s="351">
        <f t="shared" ref="BK69:BK98" si="23">IF(BA69="Dozer too small","E",BA69*W69)</f>
        <v>0</v>
      </c>
      <c r="BL69" s="351">
        <f t="shared" ref="BL69:BL98" si="24">BB69*AB69</f>
        <v>0</v>
      </c>
      <c r="BM69" s="351">
        <f>AC69*(AD69*BC69+AE69*BD69)</f>
        <v>0</v>
      </c>
      <c r="BN69" s="351">
        <f t="shared" ref="BN69:BN98" si="25">IF(AJ69=0,0,IF(I69&gt;0,BE69*AJ69,0))</f>
        <v>0</v>
      </c>
      <c r="BO69" s="351">
        <f t="shared" ref="BO69:BO98" si="26">IF(AI69="",AH69,AI69)*BF69</f>
        <v>0</v>
      </c>
      <c r="BP69" s="1007">
        <f>SUM(BG69:BO69)</f>
        <v>0</v>
      </c>
      <c r="BQ69" s="1008" t="str">
        <f t="shared" ref="BQ69:BQ98" si="27">IF(I69=0,"Enter ML",BO69/I69)</f>
        <v>Enter ML</v>
      </c>
      <c r="BR69" s="1008" t="str">
        <f t="shared" ref="BR69:BR98" si="28">IF(I69=0,"Enter area",BP69/I69)</f>
        <v>Enter area</v>
      </c>
      <c r="BS69" s="1009">
        <f t="shared" ref="BS69:BS98" si="29">BP69*H69</f>
        <v>0</v>
      </c>
      <c r="BT69" s="1010" t="str">
        <f>IF(AND(BP69&gt;0,H69=0),"Enter # of structures","No Alert")</f>
        <v>No Alert</v>
      </c>
      <c r="EZ69" s="1011"/>
      <c r="FB69" s="975"/>
      <c r="FF69" s="976"/>
    </row>
    <row r="70" spans="1:162" s="495" customFormat="1" ht="15">
      <c r="B70" s="310"/>
      <c r="C70" s="824">
        <f t="shared" ref="C70:C98" si="30">C69+1</f>
        <v>2</v>
      </c>
      <c r="D70" s="175"/>
      <c r="E70" s="255"/>
      <c r="F70" s="1027"/>
      <c r="G70" s="197"/>
      <c r="H70" s="174"/>
      <c r="I70" s="328"/>
      <c r="J70" s="328"/>
      <c r="K70" s="174" t="s">
        <v>182</v>
      </c>
      <c r="L70" s="328"/>
      <c r="M70" s="1003">
        <f>IF(K70="Lined",IF(L70="",I70*Dams_linerX_raw_def,L70),0)</f>
        <v>0</v>
      </c>
      <c r="N70" s="577" t="str">
        <f t="shared" ref="N70:N98" si="31">IF(AND(L70&lt;&gt;"",L70&lt;I70),"Error","No Alert")</f>
        <v>No Alert</v>
      </c>
      <c r="O70" s="197"/>
      <c r="P70" s="197"/>
      <c r="Q70" s="197"/>
      <c r="R70" s="614">
        <f t="shared" si="13"/>
        <v>0</v>
      </c>
      <c r="S70" s="614">
        <f t="shared" si="14"/>
        <v>0</v>
      </c>
      <c r="T70" s="197"/>
      <c r="U70" s="1003">
        <f t="shared" si="15"/>
        <v>0</v>
      </c>
      <c r="V70" s="328"/>
      <c r="W70" s="1003">
        <f t="shared" ref="W70:W98" si="32">IF(T70="",S70,T70)*IF(V70="",U70,V70)</f>
        <v>0</v>
      </c>
      <c r="X70" s="197"/>
      <c r="Y70" s="1003">
        <f t="shared" ref="Y70:Y98" si="33">I70*10000*IF(X70="",$X$65,X70)</f>
        <v>0</v>
      </c>
      <c r="Z70" s="328">
        <f t="shared" ref="Z70:Z97" si="34">I70</f>
        <v>0</v>
      </c>
      <c r="AA70" s="337"/>
      <c r="AB70" s="1003">
        <f t="shared" ref="AB70:AB98" si="35">Z70*10000*IF(AA70&gt;0,AA70,$AA$65)/1000</f>
        <v>0</v>
      </c>
      <c r="AC70" s="328">
        <f t="shared" ref="AC70:AC97" si="36">Z70</f>
        <v>0</v>
      </c>
      <c r="AD70" s="392">
        <v>1</v>
      </c>
      <c r="AE70" s="392"/>
      <c r="AF70" s="1004">
        <f t="shared" ref="AF70:AF98" si="37">100%-SUM(AD70:AE70)</f>
        <v>0</v>
      </c>
      <c r="AG70" s="1005" t="str">
        <f t="shared" ref="AG70:AG98" si="38">IF(ABS(AF70)&gt;0,"Error","No Alert")</f>
        <v>No Alert</v>
      </c>
      <c r="AH70" s="1003">
        <f t="shared" si="16"/>
        <v>0</v>
      </c>
      <c r="AI70" s="328"/>
      <c r="AJ70" s="197"/>
      <c r="AK70" s="239" t="s">
        <v>125</v>
      </c>
      <c r="AL70" s="240"/>
      <c r="AM70" s="239" t="s">
        <v>185</v>
      </c>
      <c r="AN70" s="240"/>
      <c r="AO70" s="239" t="s">
        <v>411</v>
      </c>
      <c r="AP70" s="240"/>
      <c r="AQ70" s="239" t="s">
        <v>3</v>
      </c>
      <c r="AR70" s="241" t="str">
        <f t="shared" ref="AR70:AR98" si="39">IF(INDEX(Dozer_Push_Values,MATCH(AO70,Dozer_Push_Length,0),MATCH(AQ70,Dozers,0))="Dozer too small","E","")</f>
        <v/>
      </c>
      <c r="AS70" s="239" t="s">
        <v>357</v>
      </c>
      <c r="AT70" s="240"/>
      <c r="AU70" s="239" t="s">
        <v>348</v>
      </c>
      <c r="AV70" s="240"/>
      <c r="AW70" s="1006">
        <f>TOV!$F$459</f>
        <v>120.44708803025631</v>
      </c>
      <c r="AX70" s="1006">
        <f t="shared" si="17"/>
        <v>5.3318476521729101</v>
      </c>
      <c r="AY70" s="1006">
        <f>Subrates!$D$117</f>
        <v>5852.5683548844463</v>
      </c>
      <c r="AZ70" s="1006">
        <f>Subrates!$D$118</f>
        <v>1600.8579286570243</v>
      </c>
      <c r="BA70" s="1006">
        <f t="shared" ref="BA70:BA98" si="40">INDEX(Dozer_Push_Values,MATCH(AO70,Dozer_Push_Length,0),MATCH(AQ70,Dozers,0))</f>
        <v>1.9221853757639424</v>
      </c>
      <c r="BB70" s="1006">
        <f t="shared" si="18"/>
        <v>6.8872603457448571</v>
      </c>
      <c r="BC70" s="1006">
        <f t="shared" ref="BC70:BC98" si="41">IF($BC$64&lt;&gt;"",$BC$64,$BC$63)</f>
        <v>1655.5</v>
      </c>
      <c r="BD70" s="1006">
        <f t="shared" ref="BD70:BD98" si="42">IF($BD$64&lt;&gt;"",$BD$64,$BD$63)</f>
        <v>4196.5</v>
      </c>
      <c r="BE70" s="1006">
        <f>TOV!$F$518</f>
        <v>35075.581888424982</v>
      </c>
      <c r="BF70" s="1006">
        <f>TOV!$F$519</f>
        <v>3964.5309116330122</v>
      </c>
      <c r="BG70" s="351">
        <f t="shared" si="19"/>
        <v>0</v>
      </c>
      <c r="BH70" s="351">
        <f t="shared" si="20"/>
        <v>0</v>
      </c>
      <c r="BI70" s="351">
        <f t="shared" si="21"/>
        <v>0</v>
      </c>
      <c r="BJ70" s="351">
        <f t="shared" si="22"/>
        <v>0</v>
      </c>
      <c r="BK70" s="351">
        <f t="shared" si="23"/>
        <v>0</v>
      </c>
      <c r="BL70" s="351">
        <f t="shared" si="24"/>
        <v>0</v>
      </c>
      <c r="BM70" s="351">
        <f t="shared" ref="BM70:BM98" si="43">AC70*(AD70*BC70+AE70*BD70)</f>
        <v>0</v>
      </c>
      <c r="BN70" s="351">
        <f t="shared" si="25"/>
        <v>0</v>
      </c>
      <c r="BO70" s="351">
        <f t="shared" si="26"/>
        <v>0</v>
      </c>
      <c r="BP70" s="1007">
        <f t="shared" ref="BP70:BP98" si="44">SUM(BG70:BO70)</f>
        <v>0</v>
      </c>
      <c r="BQ70" s="1008" t="str">
        <f t="shared" si="27"/>
        <v>Enter ML</v>
      </c>
      <c r="BR70" s="1008" t="str">
        <f t="shared" si="28"/>
        <v>Enter area</v>
      </c>
      <c r="BS70" s="1009">
        <f t="shared" si="29"/>
        <v>0</v>
      </c>
      <c r="BT70" s="1010" t="str">
        <f t="shared" ref="BT70:BT98" si="45">IF(AND(BP70&gt;0,H70=0),"Enter # of structures","No Alert")</f>
        <v>No Alert</v>
      </c>
      <c r="EZ70" s="1011"/>
      <c r="FB70" s="975"/>
      <c r="FF70" s="976"/>
    </row>
    <row r="71" spans="1:162" s="495" customFormat="1" ht="15">
      <c r="B71" s="310"/>
      <c r="C71" s="824">
        <f t="shared" si="30"/>
        <v>3</v>
      </c>
      <c r="D71" s="175"/>
      <c r="E71" s="255"/>
      <c r="F71" s="1027"/>
      <c r="G71" s="197"/>
      <c r="H71" s="174"/>
      <c r="I71" s="328"/>
      <c r="J71" s="328"/>
      <c r="K71" s="174" t="s">
        <v>167</v>
      </c>
      <c r="L71" s="328"/>
      <c r="M71" s="1003">
        <f t="shared" ref="M71:M98" si="46">IF(K71="Lined",IF(L71="",I71*Dams_linerX_raw_def,L71),0)</f>
        <v>0</v>
      </c>
      <c r="N71" s="577" t="str">
        <f t="shared" si="31"/>
        <v>No Alert</v>
      </c>
      <c r="O71" s="197"/>
      <c r="P71" s="197"/>
      <c r="Q71" s="197"/>
      <c r="R71" s="614">
        <f t="shared" si="13"/>
        <v>0</v>
      </c>
      <c r="S71" s="614">
        <f t="shared" si="14"/>
        <v>0</v>
      </c>
      <c r="T71" s="197"/>
      <c r="U71" s="1003">
        <f t="shared" si="15"/>
        <v>0</v>
      </c>
      <c r="V71" s="328"/>
      <c r="W71" s="1003">
        <f t="shared" si="32"/>
        <v>0</v>
      </c>
      <c r="X71" s="197"/>
      <c r="Y71" s="1003">
        <f t="shared" si="33"/>
        <v>0</v>
      </c>
      <c r="Z71" s="328">
        <f t="shared" si="34"/>
        <v>0</v>
      </c>
      <c r="AA71" s="337"/>
      <c r="AB71" s="1003">
        <f t="shared" si="35"/>
        <v>0</v>
      </c>
      <c r="AC71" s="328">
        <f t="shared" si="36"/>
        <v>0</v>
      </c>
      <c r="AD71" s="392">
        <v>1</v>
      </c>
      <c r="AE71" s="392"/>
      <c r="AF71" s="1004">
        <f t="shared" si="37"/>
        <v>0</v>
      </c>
      <c r="AG71" s="1005" t="str">
        <f t="shared" si="38"/>
        <v>No Alert</v>
      </c>
      <c r="AH71" s="1003">
        <f t="shared" si="16"/>
        <v>0</v>
      </c>
      <c r="AI71" s="328"/>
      <c r="AJ71" s="197"/>
      <c r="AK71" s="239" t="s">
        <v>125</v>
      </c>
      <c r="AL71" s="240"/>
      <c r="AM71" s="239" t="s">
        <v>185</v>
      </c>
      <c r="AN71" s="240"/>
      <c r="AO71" s="239" t="s">
        <v>411</v>
      </c>
      <c r="AP71" s="240"/>
      <c r="AQ71" s="239" t="s">
        <v>3</v>
      </c>
      <c r="AR71" s="241" t="str">
        <f t="shared" si="39"/>
        <v/>
      </c>
      <c r="AS71" s="239" t="s">
        <v>125</v>
      </c>
      <c r="AT71" s="240"/>
      <c r="AU71" s="239" t="s">
        <v>348</v>
      </c>
      <c r="AV71" s="240"/>
      <c r="AW71" s="1006">
        <f>TOV!$F$459</f>
        <v>120.44708803025631</v>
      </c>
      <c r="AX71" s="1006">
        <f t="shared" si="17"/>
        <v>5.3318476521729101</v>
      </c>
      <c r="AY71" s="1006">
        <f>Subrates!$D$117</f>
        <v>5852.5683548844463</v>
      </c>
      <c r="AZ71" s="1006">
        <f>Subrates!$D$118</f>
        <v>1600.8579286570243</v>
      </c>
      <c r="BA71" s="1006">
        <f t="shared" si="40"/>
        <v>1.9221853757639424</v>
      </c>
      <c r="BB71" s="1006">
        <f t="shared" si="18"/>
        <v>4.8064250364478198</v>
      </c>
      <c r="BC71" s="1006">
        <f t="shared" si="41"/>
        <v>1655.5</v>
      </c>
      <c r="BD71" s="1006">
        <f t="shared" si="42"/>
        <v>4196.5</v>
      </c>
      <c r="BE71" s="1006">
        <f>TOV!$F$518</f>
        <v>35075.581888424982</v>
      </c>
      <c r="BF71" s="1006">
        <f>TOV!$F$519</f>
        <v>3964.5309116330122</v>
      </c>
      <c r="BG71" s="351">
        <f t="shared" si="19"/>
        <v>0</v>
      </c>
      <c r="BH71" s="351">
        <f t="shared" si="20"/>
        <v>0</v>
      </c>
      <c r="BI71" s="351">
        <f t="shared" si="21"/>
        <v>0</v>
      </c>
      <c r="BJ71" s="351">
        <f t="shared" si="22"/>
        <v>0</v>
      </c>
      <c r="BK71" s="351">
        <f t="shared" si="23"/>
        <v>0</v>
      </c>
      <c r="BL71" s="351">
        <f t="shared" si="24"/>
        <v>0</v>
      </c>
      <c r="BM71" s="351">
        <f t="shared" si="43"/>
        <v>0</v>
      </c>
      <c r="BN71" s="351">
        <f t="shared" si="25"/>
        <v>0</v>
      </c>
      <c r="BO71" s="351">
        <f t="shared" si="26"/>
        <v>0</v>
      </c>
      <c r="BP71" s="1007">
        <f t="shared" si="44"/>
        <v>0</v>
      </c>
      <c r="BQ71" s="1008" t="str">
        <f t="shared" si="27"/>
        <v>Enter ML</v>
      </c>
      <c r="BR71" s="1008" t="str">
        <f t="shared" si="28"/>
        <v>Enter area</v>
      </c>
      <c r="BS71" s="1009">
        <f t="shared" si="29"/>
        <v>0</v>
      </c>
      <c r="BT71" s="1010" t="str">
        <f t="shared" si="45"/>
        <v>No Alert</v>
      </c>
      <c r="EZ71" s="1011"/>
      <c r="FB71" s="975"/>
      <c r="FF71" s="976"/>
    </row>
    <row r="72" spans="1:162" s="495" customFormat="1" ht="15">
      <c r="B72" s="310"/>
      <c r="C72" s="824">
        <f t="shared" si="30"/>
        <v>4</v>
      </c>
      <c r="D72" s="175"/>
      <c r="E72" s="255"/>
      <c r="F72" s="1027"/>
      <c r="G72" s="197"/>
      <c r="H72" s="174"/>
      <c r="I72" s="328"/>
      <c r="J72" s="328"/>
      <c r="K72" s="174" t="s">
        <v>167</v>
      </c>
      <c r="L72" s="328"/>
      <c r="M72" s="1003">
        <f t="shared" si="46"/>
        <v>0</v>
      </c>
      <c r="N72" s="577" t="str">
        <f t="shared" si="31"/>
        <v>No Alert</v>
      </c>
      <c r="O72" s="197"/>
      <c r="P72" s="197"/>
      <c r="Q72" s="197"/>
      <c r="R72" s="614">
        <f t="shared" si="13"/>
        <v>0</v>
      </c>
      <c r="S72" s="614">
        <f t="shared" si="14"/>
        <v>0</v>
      </c>
      <c r="T72" s="197"/>
      <c r="U72" s="1003">
        <f t="shared" si="15"/>
        <v>0</v>
      </c>
      <c r="V72" s="328"/>
      <c r="W72" s="1003">
        <f t="shared" si="32"/>
        <v>0</v>
      </c>
      <c r="X72" s="197"/>
      <c r="Y72" s="1003">
        <f t="shared" si="33"/>
        <v>0</v>
      </c>
      <c r="Z72" s="328">
        <f t="shared" si="34"/>
        <v>0</v>
      </c>
      <c r="AA72" s="337"/>
      <c r="AB72" s="1003">
        <f t="shared" si="35"/>
        <v>0</v>
      </c>
      <c r="AC72" s="328">
        <f t="shared" si="36"/>
        <v>0</v>
      </c>
      <c r="AD72" s="392">
        <v>1</v>
      </c>
      <c r="AE72" s="392"/>
      <c r="AF72" s="1004">
        <f t="shared" si="37"/>
        <v>0</v>
      </c>
      <c r="AG72" s="1005" t="str">
        <f t="shared" si="38"/>
        <v>No Alert</v>
      </c>
      <c r="AH72" s="1003">
        <f t="shared" si="16"/>
        <v>0</v>
      </c>
      <c r="AI72" s="328"/>
      <c r="AJ72" s="197"/>
      <c r="AK72" s="239" t="s">
        <v>125</v>
      </c>
      <c r="AL72" s="240"/>
      <c r="AM72" s="239" t="s">
        <v>185</v>
      </c>
      <c r="AN72" s="240"/>
      <c r="AO72" s="239" t="s">
        <v>411</v>
      </c>
      <c r="AP72" s="240"/>
      <c r="AQ72" s="239" t="s">
        <v>3</v>
      </c>
      <c r="AR72" s="241" t="str">
        <f t="shared" si="39"/>
        <v/>
      </c>
      <c r="AS72" s="239" t="s">
        <v>125</v>
      </c>
      <c r="AT72" s="240"/>
      <c r="AU72" s="239" t="s">
        <v>348</v>
      </c>
      <c r="AV72" s="240"/>
      <c r="AW72" s="1006">
        <f>TOV!$F$459</f>
        <v>120.44708803025631</v>
      </c>
      <c r="AX72" s="1006">
        <f t="shared" si="17"/>
        <v>5.3318476521729101</v>
      </c>
      <c r="AY72" s="1006">
        <f>Subrates!$D$117</f>
        <v>5852.5683548844463</v>
      </c>
      <c r="AZ72" s="1006">
        <f>Subrates!$D$118</f>
        <v>1600.8579286570243</v>
      </c>
      <c r="BA72" s="1006">
        <f t="shared" si="40"/>
        <v>1.9221853757639424</v>
      </c>
      <c r="BB72" s="1006">
        <f t="shared" si="18"/>
        <v>4.8064250364478198</v>
      </c>
      <c r="BC72" s="1006">
        <f t="shared" si="41"/>
        <v>1655.5</v>
      </c>
      <c r="BD72" s="1006">
        <f t="shared" si="42"/>
        <v>4196.5</v>
      </c>
      <c r="BE72" s="1006">
        <f>TOV!$F$518</f>
        <v>35075.581888424982</v>
      </c>
      <c r="BF72" s="1006">
        <f>TOV!$F$519</f>
        <v>3964.5309116330122</v>
      </c>
      <c r="BG72" s="351">
        <f t="shared" si="19"/>
        <v>0</v>
      </c>
      <c r="BH72" s="351">
        <f t="shared" si="20"/>
        <v>0</v>
      </c>
      <c r="BI72" s="351">
        <f t="shared" si="21"/>
        <v>0</v>
      </c>
      <c r="BJ72" s="351">
        <f t="shared" si="22"/>
        <v>0</v>
      </c>
      <c r="BK72" s="351">
        <f t="shared" si="23"/>
        <v>0</v>
      </c>
      <c r="BL72" s="351">
        <f t="shared" si="24"/>
        <v>0</v>
      </c>
      <c r="BM72" s="351">
        <f t="shared" si="43"/>
        <v>0</v>
      </c>
      <c r="BN72" s="351">
        <f t="shared" si="25"/>
        <v>0</v>
      </c>
      <c r="BO72" s="351">
        <f t="shared" si="26"/>
        <v>0</v>
      </c>
      <c r="BP72" s="1007">
        <f t="shared" si="44"/>
        <v>0</v>
      </c>
      <c r="BQ72" s="1008" t="str">
        <f t="shared" si="27"/>
        <v>Enter ML</v>
      </c>
      <c r="BR72" s="1008" t="str">
        <f t="shared" si="28"/>
        <v>Enter area</v>
      </c>
      <c r="BS72" s="1009">
        <f t="shared" si="29"/>
        <v>0</v>
      </c>
      <c r="BT72" s="1010" t="str">
        <f t="shared" si="45"/>
        <v>No Alert</v>
      </c>
      <c r="EZ72" s="1011"/>
      <c r="FB72" s="975"/>
      <c r="FF72" s="976"/>
    </row>
    <row r="73" spans="1:162" s="495" customFormat="1" ht="15">
      <c r="B73" s="310"/>
      <c r="C73" s="824">
        <f t="shared" si="30"/>
        <v>5</v>
      </c>
      <c r="D73" s="175"/>
      <c r="E73" s="255"/>
      <c r="F73" s="1027"/>
      <c r="G73" s="197"/>
      <c r="H73" s="174"/>
      <c r="I73" s="328"/>
      <c r="J73" s="328"/>
      <c r="K73" s="174" t="s">
        <v>167</v>
      </c>
      <c r="L73" s="328"/>
      <c r="M73" s="1003">
        <f t="shared" si="46"/>
        <v>0</v>
      </c>
      <c r="N73" s="577" t="str">
        <f t="shared" si="31"/>
        <v>No Alert</v>
      </c>
      <c r="O73" s="197"/>
      <c r="P73" s="197"/>
      <c r="Q73" s="197"/>
      <c r="R73" s="614">
        <f t="shared" si="13"/>
        <v>0</v>
      </c>
      <c r="S73" s="614">
        <f t="shared" si="14"/>
        <v>0</v>
      </c>
      <c r="T73" s="197"/>
      <c r="U73" s="1003">
        <f t="shared" si="15"/>
        <v>0</v>
      </c>
      <c r="V73" s="328"/>
      <c r="W73" s="1003">
        <f t="shared" si="32"/>
        <v>0</v>
      </c>
      <c r="X73" s="197"/>
      <c r="Y73" s="1003">
        <f t="shared" si="33"/>
        <v>0</v>
      </c>
      <c r="Z73" s="328">
        <f t="shared" si="34"/>
        <v>0</v>
      </c>
      <c r="AA73" s="337"/>
      <c r="AB73" s="1003">
        <f t="shared" si="35"/>
        <v>0</v>
      </c>
      <c r="AC73" s="328">
        <f t="shared" si="36"/>
        <v>0</v>
      </c>
      <c r="AD73" s="392">
        <v>1</v>
      </c>
      <c r="AE73" s="392"/>
      <c r="AF73" s="1004">
        <f t="shared" si="37"/>
        <v>0</v>
      </c>
      <c r="AG73" s="1005" t="str">
        <f t="shared" si="38"/>
        <v>No Alert</v>
      </c>
      <c r="AH73" s="1003">
        <f t="shared" si="16"/>
        <v>0</v>
      </c>
      <c r="AI73" s="328"/>
      <c r="AJ73" s="197"/>
      <c r="AK73" s="239" t="s">
        <v>125</v>
      </c>
      <c r="AL73" s="240"/>
      <c r="AM73" s="239" t="s">
        <v>185</v>
      </c>
      <c r="AN73" s="240"/>
      <c r="AO73" s="239" t="s">
        <v>411</v>
      </c>
      <c r="AP73" s="240"/>
      <c r="AQ73" s="239" t="s">
        <v>3</v>
      </c>
      <c r="AR73" s="241" t="str">
        <f t="shared" si="39"/>
        <v/>
      </c>
      <c r="AS73" s="239" t="s">
        <v>125</v>
      </c>
      <c r="AT73" s="240"/>
      <c r="AU73" s="239" t="s">
        <v>348</v>
      </c>
      <c r="AV73" s="240"/>
      <c r="AW73" s="1006">
        <f>TOV!$F$459</f>
        <v>120.44708803025631</v>
      </c>
      <c r="AX73" s="1006">
        <f t="shared" si="17"/>
        <v>5.3318476521729101</v>
      </c>
      <c r="AY73" s="1006">
        <f>Subrates!$D$117</f>
        <v>5852.5683548844463</v>
      </c>
      <c r="AZ73" s="1006">
        <f>Subrates!$D$118</f>
        <v>1600.8579286570243</v>
      </c>
      <c r="BA73" s="1006">
        <f t="shared" si="40"/>
        <v>1.9221853757639424</v>
      </c>
      <c r="BB73" s="1006">
        <f t="shared" si="18"/>
        <v>4.8064250364478198</v>
      </c>
      <c r="BC73" s="1006">
        <f t="shared" si="41"/>
        <v>1655.5</v>
      </c>
      <c r="BD73" s="1006">
        <f t="shared" si="42"/>
        <v>4196.5</v>
      </c>
      <c r="BE73" s="1006">
        <f>TOV!$F$518</f>
        <v>35075.581888424982</v>
      </c>
      <c r="BF73" s="1006">
        <f>TOV!$F$519</f>
        <v>3964.5309116330122</v>
      </c>
      <c r="BG73" s="351">
        <f t="shared" si="19"/>
        <v>0</v>
      </c>
      <c r="BH73" s="351">
        <f t="shared" si="20"/>
        <v>0</v>
      </c>
      <c r="BI73" s="351">
        <f t="shared" si="21"/>
        <v>0</v>
      </c>
      <c r="BJ73" s="351">
        <f t="shared" si="22"/>
        <v>0</v>
      </c>
      <c r="BK73" s="351">
        <f t="shared" si="23"/>
        <v>0</v>
      </c>
      <c r="BL73" s="351">
        <f t="shared" si="24"/>
        <v>0</v>
      </c>
      <c r="BM73" s="351">
        <f t="shared" si="43"/>
        <v>0</v>
      </c>
      <c r="BN73" s="351">
        <f t="shared" si="25"/>
        <v>0</v>
      </c>
      <c r="BO73" s="351">
        <f t="shared" si="26"/>
        <v>0</v>
      </c>
      <c r="BP73" s="1007">
        <f t="shared" si="44"/>
        <v>0</v>
      </c>
      <c r="BQ73" s="1008" t="str">
        <f t="shared" si="27"/>
        <v>Enter ML</v>
      </c>
      <c r="BR73" s="1008" t="str">
        <f t="shared" si="28"/>
        <v>Enter area</v>
      </c>
      <c r="BS73" s="1009">
        <f t="shared" si="29"/>
        <v>0</v>
      </c>
      <c r="BT73" s="1010" t="str">
        <f t="shared" si="45"/>
        <v>No Alert</v>
      </c>
      <c r="EZ73" s="1011"/>
      <c r="FB73" s="975"/>
      <c r="FF73" s="976"/>
    </row>
    <row r="74" spans="1:162" s="495" customFormat="1" ht="15">
      <c r="B74" s="310"/>
      <c r="C74" s="824">
        <f t="shared" si="30"/>
        <v>6</v>
      </c>
      <c r="D74" s="175"/>
      <c r="E74" s="255"/>
      <c r="F74" s="1027"/>
      <c r="G74" s="197"/>
      <c r="H74" s="174"/>
      <c r="I74" s="328"/>
      <c r="J74" s="328"/>
      <c r="K74" s="174" t="s">
        <v>167</v>
      </c>
      <c r="L74" s="328"/>
      <c r="M74" s="1003">
        <f t="shared" si="46"/>
        <v>0</v>
      </c>
      <c r="N74" s="577" t="str">
        <f t="shared" si="31"/>
        <v>No Alert</v>
      </c>
      <c r="O74" s="197"/>
      <c r="P74" s="197"/>
      <c r="Q74" s="197"/>
      <c r="R74" s="614">
        <f t="shared" si="13"/>
        <v>0</v>
      </c>
      <c r="S74" s="614">
        <f t="shared" si="14"/>
        <v>0</v>
      </c>
      <c r="T74" s="197"/>
      <c r="U74" s="1003">
        <f t="shared" si="15"/>
        <v>0</v>
      </c>
      <c r="V74" s="328"/>
      <c r="W74" s="1003">
        <f t="shared" si="32"/>
        <v>0</v>
      </c>
      <c r="X74" s="197"/>
      <c r="Y74" s="1003">
        <f t="shared" si="33"/>
        <v>0</v>
      </c>
      <c r="Z74" s="328">
        <f t="shared" si="34"/>
        <v>0</v>
      </c>
      <c r="AA74" s="337"/>
      <c r="AB74" s="1003">
        <f t="shared" si="35"/>
        <v>0</v>
      </c>
      <c r="AC74" s="328">
        <f t="shared" si="36"/>
        <v>0</v>
      </c>
      <c r="AD74" s="392">
        <v>1</v>
      </c>
      <c r="AE74" s="392"/>
      <c r="AF74" s="1004">
        <f t="shared" si="37"/>
        <v>0</v>
      </c>
      <c r="AG74" s="1005" t="str">
        <f t="shared" si="38"/>
        <v>No Alert</v>
      </c>
      <c r="AH74" s="1003">
        <f t="shared" si="16"/>
        <v>0</v>
      </c>
      <c r="AI74" s="328"/>
      <c r="AJ74" s="197"/>
      <c r="AK74" s="239" t="s">
        <v>125</v>
      </c>
      <c r="AL74" s="240"/>
      <c r="AM74" s="239" t="s">
        <v>185</v>
      </c>
      <c r="AN74" s="240"/>
      <c r="AO74" s="239" t="s">
        <v>411</v>
      </c>
      <c r="AP74" s="240"/>
      <c r="AQ74" s="239" t="s">
        <v>3</v>
      </c>
      <c r="AR74" s="241" t="str">
        <f t="shared" si="39"/>
        <v/>
      </c>
      <c r="AS74" s="239" t="s">
        <v>125</v>
      </c>
      <c r="AT74" s="240"/>
      <c r="AU74" s="239" t="s">
        <v>348</v>
      </c>
      <c r="AV74" s="240"/>
      <c r="AW74" s="1006">
        <f>TOV!$F$459</f>
        <v>120.44708803025631</v>
      </c>
      <c r="AX74" s="1006">
        <f t="shared" si="17"/>
        <v>5.3318476521729101</v>
      </c>
      <c r="AY74" s="1006">
        <f>Subrates!$D$117</f>
        <v>5852.5683548844463</v>
      </c>
      <c r="AZ74" s="1006">
        <f>Subrates!$D$118</f>
        <v>1600.8579286570243</v>
      </c>
      <c r="BA74" s="1006">
        <f t="shared" si="40"/>
        <v>1.9221853757639424</v>
      </c>
      <c r="BB74" s="1006">
        <f t="shared" si="18"/>
        <v>4.8064250364478198</v>
      </c>
      <c r="BC74" s="1006">
        <f t="shared" si="41"/>
        <v>1655.5</v>
      </c>
      <c r="BD74" s="1006">
        <f t="shared" si="42"/>
        <v>4196.5</v>
      </c>
      <c r="BE74" s="1006">
        <f>TOV!$F$518</f>
        <v>35075.581888424982</v>
      </c>
      <c r="BF74" s="1006">
        <f>TOV!$F$519</f>
        <v>3964.5309116330122</v>
      </c>
      <c r="BG74" s="351">
        <f t="shared" si="19"/>
        <v>0</v>
      </c>
      <c r="BH74" s="351">
        <f t="shared" si="20"/>
        <v>0</v>
      </c>
      <c r="BI74" s="351">
        <f t="shared" si="21"/>
        <v>0</v>
      </c>
      <c r="BJ74" s="351">
        <f t="shared" si="22"/>
        <v>0</v>
      </c>
      <c r="BK74" s="351">
        <f t="shared" si="23"/>
        <v>0</v>
      </c>
      <c r="BL74" s="351">
        <f t="shared" si="24"/>
        <v>0</v>
      </c>
      <c r="BM74" s="351">
        <f t="shared" si="43"/>
        <v>0</v>
      </c>
      <c r="BN74" s="351">
        <f t="shared" si="25"/>
        <v>0</v>
      </c>
      <c r="BO74" s="351">
        <f t="shared" si="26"/>
        <v>0</v>
      </c>
      <c r="BP74" s="1007">
        <f t="shared" si="44"/>
        <v>0</v>
      </c>
      <c r="BQ74" s="1008" t="str">
        <f t="shared" si="27"/>
        <v>Enter ML</v>
      </c>
      <c r="BR74" s="1008" t="str">
        <f t="shared" si="28"/>
        <v>Enter area</v>
      </c>
      <c r="BS74" s="1009">
        <f t="shared" si="29"/>
        <v>0</v>
      </c>
      <c r="BT74" s="1010" t="str">
        <f t="shared" si="45"/>
        <v>No Alert</v>
      </c>
      <c r="EZ74" s="1011"/>
      <c r="FB74" s="975"/>
      <c r="FF74" s="976"/>
    </row>
    <row r="75" spans="1:162" s="495" customFormat="1" ht="15">
      <c r="B75" s="310"/>
      <c r="C75" s="824">
        <f t="shared" si="30"/>
        <v>7</v>
      </c>
      <c r="D75" s="175"/>
      <c r="E75" s="255"/>
      <c r="F75" s="1027"/>
      <c r="G75" s="197"/>
      <c r="H75" s="174"/>
      <c r="I75" s="328"/>
      <c r="J75" s="328"/>
      <c r="K75" s="174" t="s">
        <v>167</v>
      </c>
      <c r="L75" s="328"/>
      <c r="M75" s="1003">
        <f t="shared" si="46"/>
        <v>0</v>
      </c>
      <c r="N75" s="577" t="str">
        <f t="shared" si="31"/>
        <v>No Alert</v>
      </c>
      <c r="O75" s="197"/>
      <c r="P75" s="197"/>
      <c r="Q75" s="197"/>
      <c r="R75" s="614">
        <f t="shared" si="13"/>
        <v>0</v>
      </c>
      <c r="S75" s="614">
        <f t="shared" si="14"/>
        <v>0</v>
      </c>
      <c r="T75" s="197"/>
      <c r="U75" s="1003">
        <f t="shared" si="15"/>
        <v>0</v>
      </c>
      <c r="V75" s="328"/>
      <c r="W75" s="1003">
        <f t="shared" si="32"/>
        <v>0</v>
      </c>
      <c r="X75" s="197"/>
      <c r="Y75" s="1003">
        <f t="shared" si="33"/>
        <v>0</v>
      </c>
      <c r="Z75" s="328">
        <f t="shared" si="34"/>
        <v>0</v>
      </c>
      <c r="AA75" s="337"/>
      <c r="AB75" s="1003">
        <f t="shared" si="35"/>
        <v>0</v>
      </c>
      <c r="AC75" s="328">
        <f t="shared" si="36"/>
        <v>0</v>
      </c>
      <c r="AD75" s="392">
        <v>1</v>
      </c>
      <c r="AE75" s="392"/>
      <c r="AF75" s="1004">
        <f t="shared" si="37"/>
        <v>0</v>
      </c>
      <c r="AG75" s="1005" t="str">
        <f t="shared" si="38"/>
        <v>No Alert</v>
      </c>
      <c r="AH75" s="1003">
        <f t="shared" si="16"/>
        <v>0</v>
      </c>
      <c r="AI75" s="328"/>
      <c r="AJ75" s="197"/>
      <c r="AK75" s="239" t="s">
        <v>125</v>
      </c>
      <c r="AL75" s="240"/>
      <c r="AM75" s="239" t="s">
        <v>185</v>
      </c>
      <c r="AN75" s="240"/>
      <c r="AO75" s="239" t="s">
        <v>411</v>
      </c>
      <c r="AP75" s="240"/>
      <c r="AQ75" s="239" t="s">
        <v>3</v>
      </c>
      <c r="AR75" s="241" t="str">
        <f t="shared" si="39"/>
        <v/>
      </c>
      <c r="AS75" s="239" t="s">
        <v>125</v>
      </c>
      <c r="AT75" s="240"/>
      <c r="AU75" s="239" t="s">
        <v>348</v>
      </c>
      <c r="AV75" s="240"/>
      <c r="AW75" s="1006">
        <f>TOV!$F$459</f>
        <v>120.44708803025631</v>
      </c>
      <c r="AX75" s="1006">
        <f t="shared" si="17"/>
        <v>5.3318476521729101</v>
      </c>
      <c r="AY75" s="1006">
        <f>Subrates!$D$117</f>
        <v>5852.5683548844463</v>
      </c>
      <c r="AZ75" s="1006">
        <f>Subrates!$D$118</f>
        <v>1600.8579286570243</v>
      </c>
      <c r="BA75" s="1006">
        <f t="shared" si="40"/>
        <v>1.9221853757639424</v>
      </c>
      <c r="BB75" s="1006">
        <f t="shared" si="18"/>
        <v>4.8064250364478198</v>
      </c>
      <c r="BC75" s="1006">
        <f t="shared" si="41"/>
        <v>1655.5</v>
      </c>
      <c r="BD75" s="1006">
        <f t="shared" si="42"/>
        <v>4196.5</v>
      </c>
      <c r="BE75" s="1006">
        <f>TOV!$F$518</f>
        <v>35075.581888424982</v>
      </c>
      <c r="BF75" s="1006">
        <f>TOV!$F$519</f>
        <v>3964.5309116330122</v>
      </c>
      <c r="BG75" s="351">
        <f t="shared" si="19"/>
        <v>0</v>
      </c>
      <c r="BH75" s="351">
        <f t="shared" si="20"/>
        <v>0</v>
      </c>
      <c r="BI75" s="351">
        <f t="shared" si="21"/>
        <v>0</v>
      </c>
      <c r="BJ75" s="351">
        <f t="shared" si="22"/>
        <v>0</v>
      </c>
      <c r="BK75" s="351">
        <f t="shared" si="23"/>
        <v>0</v>
      </c>
      <c r="BL75" s="351">
        <f t="shared" si="24"/>
        <v>0</v>
      </c>
      <c r="BM75" s="351">
        <f t="shared" si="43"/>
        <v>0</v>
      </c>
      <c r="BN75" s="351">
        <f t="shared" si="25"/>
        <v>0</v>
      </c>
      <c r="BO75" s="351">
        <f t="shared" si="26"/>
        <v>0</v>
      </c>
      <c r="BP75" s="1007">
        <f t="shared" si="44"/>
        <v>0</v>
      </c>
      <c r="BQ75" s="1008" t="str">
        <f t="shared" si="27"/>
        <v>Enter ML</v>
      </c>
      <c r="BR75" s="1008" t="str">
        <f t="shared" si="28"/>
        <v>Enter area</v>
      </c>
      <c r="BS75" s="1009">
        <f t="shared" si="29"/>
        <v>0</v>
      </c>
      <c r="BT75" s="1010" t="str">
        <f t="shared" si="45"/>
        <v>No Alert</v>
      </c>
      <c r="EZ75" s="1011"/>
      <c r="FB75" s="975"/>
      <c r="FF75" s="976"/>
    </row>
    <row r="76" spans="1:162" s="495" customFormat="1" ht="15">
      <c r="B76" s="310"/>
      <c r="C76" s="824">
        <f t="shared" si="30"/>
        <v>8</v>
      </c>
      <c r="D76" s="175"/>
      <c r="E76" s="255"/>
      <c r="F76" s="1027"/>
      <c r="G76" s="197"/>
      <c r="H76" s="174"/>
      <c r="I76" s="328"/>
      <c r="J76" s="328"/>
      <c r="K76" s="174" t="s">
        <v>167</v>
      </c>
      <c r="L76" s="328"/>
      <c r="M76" s="1003">
        <f t="shared" si="46"/>
        <v>0</v>
      </c>
      <c r="N76" s="577" t="str">
        <f t="shared" si="31"/>
        <v>No Alert</v>
      </c>
      <c r="O76" s="197"/>
      <c r="P76" s="197"/>
      <c r="Q76" s="197"/>
      <c r="R76" s="614">
        <f t="shared" si="13"/>
        <v>0</v>
      </c>
      <c r="S76" s="614">
        <f t="shared" si="14"/>
        <v>0</v>
      </c>
      <c r="T76" s="197"/>
      <c r="U76" s="1003">
        <f t="shared" si="15"/>
        <v>0</v>
      </c>
      <c r="V76" s="328"/>
      <c r="W76" s="1003">
        <f t="shared" si="32"/>
        <v>0</v>
      </c>
      <c r="X76" s="197"/>
      <c r="Y76" s="1003">
        <f t="shared" si="33"/>
        <v>0</v>
      </c>
      <c r="Z76" s="328">
        <f t="shared" si="34"/>
        <v>0</v>
      </c>
      <c r="AA76" s="337"/>
      <c r="AB76" s="1003">
        <f t="shared" si="35"/>
        <v>0</v>
      </c>
      <c r="AC76" s="328">
        <f t="shared" si="36"/>
        <v>0</v>
      </c>
      <c r="AD76" s="392">
        <v>1</v>
      </c>
      <c r="AE76" s="392"/>
      <c r="AF76" s="1004">
        <f t="shared" si="37"/>
        <v>0</v>
      </c>
      <c r="AG76" s="1005" t="str">
        <f t="shared" si="38"/>
        <v>No Alert</v>
      </c>
      <c r="AH76" s="1003">
        <f t="shared" si="16"/>
        <v>0</v>
      </c>
      <c r="AI76" s="328"/>
      <c r="AJ76" s="197"/>
      <c r="AK76" s="239" t="s">
        <v>125</v>
      </c>
      <c r="AL76" s="240"/>
      <c r="AM76" s="239" t="s">
        <v>185</v>
      </c>
      <c r="AN76" s="240"/>
      <c r="AO76" s="239" t="s">
        <v>411</v>
      </c>
      <c r="AP76" s="240"/>
      <c r="AQ76" s="239" t="s">
        <v>3</v>
      </c>
      <c r="AR76" s="241" t="str">
        <f t="shared" si="39"/>
        <v/>
      </c>
      <c r="AS76" s="239" t="s">
        <v>125</v>
      </c>
      <c r="AT76" s="240"/>
      <c r="AU76" s="239" t="s">
        <v>348</v>
      </c>
      <c r="AV76" s="240"/>
      <c r="AW76" s="1006">
        <f>TOV!$F$459</f>
        <v>120.44708803025631</v>
      </c>
      <c r="AX76" s="1006">
        <f t="shared" si="17"/>
        <v>5.3318476521729101</v>
      </c>
      <c r="AY76" s="1006">
        <f>Subrates!$D$117</f>
        <v>5852.5683548844463</v>
      </c>
      <c r="AZ76" s="1006">
        <f>Subrates!$D$118</f>
        <v>1600.8579286570243</v>
      </c>
      <c r="BA76" s="1006">
        <f t="shared" si="40"/>
        <v>1.9221853757639424</v>
      </c>
      <c r="BB76" s="1006">
        <f t="shared" si="18"/>
        <v>4.8064250364478198</v>
      </c>
      <c r="BC76" s="1006">
        <f t="shared" si="41"/>
        <v>1655.5</v>
      </c>
      <c r="BD76" s="1006">
        <f t="shared" si="42"/>
        <v>4196.5</v>
      </c>
      <c r="BE76" s="1006">
        <f>TOV!$F$518</f>
        <v>35075.581888424982</v>
      </c>
      <c r="BF76" s="1006">
        <f>TOV!$F$519</f>
        <v>3964.5309116330122</v>
      </c>
      <c r="BG76" s="351">
        <f t="shared" si="19"/>
        <v>0</v>
      </c>
      <c r="BH76" s="351">
        <f t="shared" si="20"/>
        <v>0</v>
      </c>
      <c r="BI76" s="351">
        <f t="shared" si="21"/>
        <v>0</v>
      </c>
      <c r="BJ76" s="351">
        <f t="shared" si="22"/>
        <v>0</v>
      </c>
      <c r="BK76" s="351">
        <f t="shared" si="23"/>
        <v>0</v>
      </c>
      <c r="BL76" s="351">
        <f t="shared" si="24"/>
        <v>0</v>
      </c>
      <c r="BM76" s="351">
        <f t="shared" si="43"/>
        <v>0</v>
      </c>
      <c r="BN76" s="351">
        <f t="shared" si="25"/>
        <v>0</v>
      </c>
      <c r="BO76" s="351">
        <f t="shared" si="26"/>
        <v>0</v>
      </c>
      <c r="BP76" s="1007">
        <f t="shared" si="44"/>
        <v>0</v>
      </c>
      <c r="BQ76" s="1008" t="str">
        <f t="shared" si="27"/>
        <v>Enter ML</v>
      </c>
      <c r="BR76" s="1008" t="str">
        <f t="shared" si="28"/>
        <v>Enter area</v>
      </c>
      <c r="BS76" s="1009">
        <f t="shared" si="29"/>
        <v>0</v>
      </c>
      <c r="BT76" s="1010" t="str">
        <f t="shared" si="45"/>
        <v>No Alert</v>
      </c>
      <c r="EZ76" s="1011"/>
      <c r="FB76" s="975"/>
      <c r="FF76" s="976"/>
    </row>
    <row r="77" spans="1:162" s="495" customFormat="1" ht="15">
      <c r="B77" s="310"/>
      <c r="C77" s="824">
        <f t="shared" si="30"/>
        <v>9</v>
      </c>
      <c r="D77" s="175"/>
      <c r="E77" s="255"/>
      <c r="F77" s="1027"/>
      <c r="G77" s="197"/>
      <c r="H77" s="174"/>
      <c r="I77" s="328"/>
      <c r="J77" s="328"/>
      <c r="K77" s="174" t="s">
        <v>167</v>
      </c>
      <c r="L77" s="328"/>
      <c r="M77" s="1003">
        <f t="shared" si="46"/>
        <v>0</v>
      </c>
      <c r="N77" s="577" t="str">
        <f t="shared" si="31"/>
        <v>No Alert</v>
      </c>
      <c r="O77" s="197"/>
      <c r="P77" s="197"/>
      <c r="Q77" s="197"/>
      <c r="R77" s="614">
        <f t="shared" si="13"/>
        <v>0</v>
      </c>
      <c r="S77" s="614">
        <f t="shared" si="14"/>
        <v>0</v>
      </c>
      <c r="T77" s="197"/>
      <c r="U77" s="1003">
        <f t="shared" si="15"/>
        <v>0</v>
      </c>
      <c r="V77" s="328"/>
      <c r="W77" s="1003">
        <f t="shared" si="32"/>
        <v>0</v>
      </c>
      <c r="X77" s="197"/>
      <c r="Y77" s="1003">
        <f t="shared" si="33"/>
        <v>0</v>
      </c>
      <c r="Z77" s="328">
        <f t="shared" si="34"/>
        <v>0</v>
      </c>
      <c r="AA77" s="337"/>
      <c r="AB77" s="1003">
        <f t="shared" si="35"/>
        <v>0</v>
      </c>
      <c r="AC77" s="328">
        <f t="shared" si="36"/>
        <v>0</v>
      </c>
      <c r="AD77" s="392">
        <v>1</v>
      </c>
      <c r="AE77" s="392"/>
      <c r="AF77" s="1004">
        <f t="shared" si="37"/>
        <v>0</v>
      </c>
      <c r="AG77" s="1005" t="str">
        <f t="shared" si="38"/>
        <v>No Alert</v>
      </c>
      <c r="AH77" s="1003">
        <f t="shared" si="16"/>
        <v>0</v>
      </c>
      <c r="AI77" s="328"/>
      <c r="AJ77" s="197"/>
      <c r="AK77" s="239" t="s">
        <v>125</v>
      </c>
      <c r="AL77" s="240"/>
      <c r="AM77" s="239" t="s">
        <v>185</v>
      </c>
      <c r="AN77" s="240"/>
      <c r="AO77" s="239" t="s">
        <v>411</v>
      </c>
      <c r="AP77" s="240"/>
      <c r="AQ77" s="239" t="s">
        <v>3</v>
      </c>
      <c r="AR77" s="241" t="str">
        <f t="shared" si="39"/>
        <v/>
      </c>
      <c r="AS77" s="239" t="s">
        <v>125</v>
      </c>
      <c r="AT77" s="240"/>
      <c r="AU77" s="239" t="s">
        <v>348</v>
      </c>
      <c r="AV77" s="240"/>
      <c r="AW77" s="1006">
        <f>TOV!$F$459</f>
        <v>120.44708803025631</v>
      </c>
      <c r="AX77" s="1006">
        <f t="shared" si="17"/>
        <v>5.3318476521729101</v>
      </c>
      <c r="AY77" s="1006">
        <f>Subrates!$D$117</f>
        <v>5852.5683548844463</v>
      </c>
      <c r="AZ77" s="1006">
        <f>Subrates!$D$118</f>
        <v>1600.8579286570243</v>
      </c>
      <c r="BA77" s="1006">
        <f t="shared" si="40"/>
        <v>1.9221853757639424</v>
      </c>
      <c r="BB77" s="1006">
        <f t="shared" si="18"/>
        <v>4.8064250364478198</v>
      </c>
      <c r="BC77" s="1006">
        <f t="shared" si="41"/>
        <v>1655.5</v>
      </c>
      <c r="BD77" s="1006">
        <f t="shared" si="42"/>
        <v>4196.5</v>
      </c>
      <c r="BE77" s="1006">
        <f>TOV!$F$518</f>
        <v>35075.581888424982</v>
      </c>
      <c r="BF77" s="1006">
        <f>TOV!$F$519</f>
        <v>3964.5309116330122</v>
      </c>
      <c r="BG77" s="351">
        <f t="shared" si="19"/>
        <v>0</v>
      </c>
      <c r="BH77" s="351">
        <f t="shared" si="20"/>
        <v>0</v>
      </c>
      <c r="BI77" s="351">
        <f t="shared" si="21"/>
        <v>0</v>
      </c>
      <c r="BJ77" s="351">
        <f t="shared" si="22"/>
        <v>0</v>
      </c>
      <c r="BK77" s="351">
        <f t="shared" si="23"/>
        <v>0</v>
      </c>
      <c r="BL77" s="351">
        <f t="shared" si="24"/>
        <v>0</v>
      </c>
      <c r="BM77" s="351">
        <f t="shared" si="43"/>
        <v>0</v>
      </c>
      <c r="BN77" s="351">
        <f t="shared" si="25"/>
        <v>0</v>
      </c>
      <c r="BO77" s="351">
        <f t="shared" si="26"/>
        <v>0</v>
      </c>
      <c r="BP77" s="1007">
        <f t="shared" si="44"/>
        <v>0</v>
      </c>
      <c r="BQ77" s="1008" t="str">
        <f t="shared" si="27"/>
        <v>Enter ML</v>
      </c>
      <c r="BR77" s="1008" t="str">
        <f t="shared" si="28"/>
        <v>Enter area</v>
      </c>
      <c r="BS77" s="1009">
        <f t="shared" si="29"/>
        <v>0</v>
      </c>
      <c r="BT77" s="1010" t="str">
        <f t="shared" si="45"/>
        <v>No Alert</v>
      </c>
      <c r="EZ77" s="1011"/>
      <c r="FB77" s="975"/>
      <c r="FF77" s="976"/>
    </row>
    <row r="78" spans="1:162" s="495" customFormat="1" ht="15">
      <c r="B78" s="310"/>
      <c r="C78" s="824">
        <f t="shared" si="30"/>
        <v>10</v>
      </c>
      <c r="D78" s="175"/>
      <c r="E78" s="255"/>
      <c r="F78" s="1027"/>
      <c r="G78" s="197"/>
      <c r="H78" s="174"/>
      <c r="I78" s="328"/>
      <c r="J78" s="328"/>
      <c r="K78" s="174" t="s">
        <v>167</v>
      </c>
      <c r="L78" s="328"/>
      <c r="M78" s="1003">
        <f t="shared" si="46"/>
        <v>0</v>
      </c>
      <c r="N78" s="577" t="str">
        <f t="shared" si="31"/>
        <v>No Alert</v>
      </c>
      <c r="O78" s="197"/>
      <c r="P78" s="197"/>
      <c r="Q78" s="197"/>
      <c r="R78" s="614">
        <f t="shared" si="13"/>
        <v>0</v>
      </c>
      <c r="S78" s="614">
        <f t="shared" si="14"/>
        <v>0</v>
      </c>
      <c r="T78" s="197"/>
      <c r="U78" s="1003">
        <f t="shared" si="15"/>
        <v>0</v>
      </c>
      <c r="V78" s="328"/>
      <c r="W78" s="1003">
        <f t="shared" si="32"/>
        <v>0</v>
      </c>
      <c r="X78" s="197"/>
      <c r="Y78" s="1003">
        <f t="shared" si="33"/>
        <v>0</v>
      </c>
      <c r="Z78" s="328">
        <f t="shared" si="34"/>
        <v>0</v>
      </c>
      <c r="AA78" s="337"/>
      <c r="AB78" s="1003">
        <f t="shared" si="35"/>
        <v>0</v>
      </c>
      <c r="AC78" s="328">
        <f t="shared" si="36"/>
        <v>0</v>
      </c>
      <c r="AD78" s="392">
        <v>1</v>
      </c>
      <c r="AE78" s="392"/>
      <c r="AF78" s="1004">
        <f t="shared" si="37"/>
        <v>0</v>
      </c>
      <c r="AG78" s="1005" t="str">
        <f t="shared" si="38"/>
        <v>No Alert</v>
      </c>
      <c r="AH78" s="1003">
        <f t="shared" si="16"/>
        <v>0</v>
      </c>
      <c r="AI78" s="328"/>
      <c r="AJ78" s="197"/>
      <c r="AK78" s="239" t="s">
        <v>125</v>
      </c>
      <c r="AL78" s="240"/>
      <c r="AM78" s="239" t="s">
        <v>185</v>
      </c>
      <c r="AN78" s="240"/>
      <c r="AO78" s="239" t="s">
        <v>411</v>
      </c>
      <c r="AP78" s="240"/>
      <c r="AQ78" s="239" t="s">
        <v>3</v>
      </c>
      <c r="AR78" s="241" t="str">
        <f t="shared" si="39"/>
        <v/>
      </c>
      <c r="AS78" s="239" t="s">
        <v>125</v>
      </c>
      <c r="AT78" s="240"/>
      <c r="AU78" s="239" t="s">
        <v>348</v>
      </c>
      <c r="AV78" s="240"/>
      <c r="AW78" s="1006">
        <f>TOV!$F$459</f>
        <v>120.44708803025631</v>
      </c>
      <c r="AX78" s="1006">
        <f t="shared" si="17"/>
        <v>5.3318476521729101</v>
      </c>
      <c r="AY78" s="1006">
        <f>Subrates!$D$117</f>
        <v>5852.5683548844463</v>
      </c>
      <c r="AZ78" s="1006">
        <f>Subrates!$D$118</f>
        <v>1600.8579286570243</v>
      </c>
      <c r="BA78" s="1006">
        <f t="shared" si="40"/>
        <v>1.9221853757639424</v>
      </c>
      <c r="BB78" s="1006">
        <f t="shared" si="18"/>
        <v>4.8064250364478198</v>
      </c>
      <c r="BC78" s="1006">
        <f t="shared" si="41"/>
        <v>1655.5</v>
      </c>
      <c r="BD78" s="1006">
        <f t="shared" si="42"/>
        <v>4196.5</v>
      </c>
      <c r="BE78" s="1006">
        <f>TOV!$F$518</f>
        <v>35075.581888424982</v>
      </c>
      <c r="BF78" s="1006">
        <f>TOV!$F$519</f>
        <v>3964.5309116330122</v>
      </c>
      <c r="BG78" s="351">
        <f t="shared" si="19"/>
        <v>0</v>
      </c>
      <c r="BH78" s="351">
        <f t="shared" si="20"/>
        <v>0</v>
      </c>
      <c r="BI78" s="351">
        <f t="shared" si="21"/>
        <v>0</v>
      </c>
      <c r="BJ78" s="351">
        <f t="shared" si="22"/>
        <v>0</v>
      </c>
      <c r="BK78" s="351">
        <f t="shared" si="23"/>
        <v>0</v>
      </c>
      <c r="BL78" s="351">
        <f t="shared" si="24"/>
        <v>0</v>
      </c>
      <c r="BM78" s="351">
        <f t="shared" si="43"/>
        <v>0</v>
      </c>
      <c r="BN78" s="351">
        <f t="shared" si="25"/>
        <v>0</v>
      </c>
      <c r="BO78" s="351">
        <f t="shared" si="26"/>
        <v>0</v>
      </c>
      <c r="BP78" s="1007">
        <f t="shared" si="44"/>
        <v>0</v>
      </c>
      <c r="BQ78" s="1008" t="str">
        <f t="shared" si="27"/>
        <v>Enter ML</v>
      </c>
      <c r="BR78" s="1008" t="str">
        <f t="shared" si="28"/>
        <v>Enter area</v>
      </c>
      <c r="BS78" s="1009">
        <f t="shared" si="29"/>
        <v>0</v>
      </c>
      <c r="BT78" s="1010" t="str">
        <f t="shared" si="45"/>
        <v>No Alert</v>
      </c>
      <c r="EZ78" s="1011"/>
      <c r="FB78" s="975"/>
      <c r="FF78" s="976"/>
    </row>
    <row r="79" spans="1:162" s="495" customFormat="1" ht="15">
      <c r="B79" s="310"/>
      <c r="C79" s="824">
        <f t="shared" si="30"/>
        <v>11</v>
      </c>
      <c r="D79" s="175"/>
      <c r="E79" s="255"/>
      <c r="F79" s="1027"/>
      <c r="G79" s="197"/>
      <c r="H79" s="174"/>
      <c r="I79" s="328"/>
      <c r="J79" s="328"/>
      <c r="K79" s="174" t="s">
        <v>167</v>
      </c>
      <c r="L79" s="328"/>
      <c r="M79" s="1003">
        <f t="shared" si="46"/>
        <v>0</v>
      </c>
      <c r="N79" s="577" t="str">
        <f t="shared" si="31"/>
        <v>No Alert</v>
      </c>
      <c r="O79" s="197"/>
      <c r="P79" s="197"/>
      <c r="Q79" s="197"/>
      <c r="R79" s="614">
        <f t="shared" si="13"/>
        <v>0</v>
      </c>
      <c r="S79" s="614">
        <f t="shared" si="14"/>
        <v>0</v>
      </c>
      <c r="T79" s="197"/>
      <c r="U79" s="1003">
        <f t="shared" si="15"/>
        <v>0</v>
      </c>
      <c r="V79" s="328"/>
      <c r="W79" s="1003">
        <f t="shared" si="32"/>
        <v>0</v>
      </c>
      <c r="X79" s="197"/>
      <c r="Y79" s="1003">
        <f t="shared" si="33"/>
        <v>0</v>
      </c>
      <c r="Z79" s="328">
        <f t="shared" si="34"/>
        <v>0</v>
      </c>
      <c r="AA79" s="337"/>
      <c r="AB79" s="1003">
        <f t="shared" si="35"/>
        <v>0</v>
      </c>
      <c r="AC79" s="328">
        <f t="shared" si="36"/>
        <v>0</v>
      </c>
      <c r="AD79" s="392">
        <v>1</v>
      </c>
      <c r="AE79" s="392"/>
      <c r="AF79" s="1004">
        <f t="shared" si="37"/>
        <v>0</v>
      </c>
      <c r="AG79" s="1005" t="str">
        <f t="shared" si="38"/>
        <v>No Alert</v>
      </c>
      <c r="AH79" s="1003">
        <f t="shared" si="16"/>
        <v>0</v>
      </c>
      <c r="AI79" s="328"/>
      <c r="AJ79" s="197"/>
      <c r="AK79" s="239" t="s">
        <v>125</v>
      </c>
      <c r="AL79" s="240"/>
      <c r="AM79" s="239" t="s">
        <v>185</v>
      </c>
      <c r="AN79" s="240"/>
      <c r="AO79" s="239" t="s">
        <v>411</v>
      </c>
      <c r="AP79" s="240"/>
      <c r="AQ79" s="239" t="s">
        <v>3</v>
      </c>
      <c r="AR79" s="241" t="str">
        <f t="shared" si="39"/>
        <v/>
      </c>
      <c r="AS79" s="239" t="s">
        <v>125</v>
      </c>
      <c r="AT79" s="240"/>
      <c r="AU79" s="239" t="s">
        <v>348</v>
      </c>
      <c r="AV79" s="240"/>
      <c r="AW79" s="1006">
        <f>TOV!$F$459</f>
        <v>120.44708803025631</v>
      </c>
      <c r="AX79" s="1006">
        <f t="shared" si="17"/>
        <v>5.3318476521729101</v>
      </c>
      <c r="AY79" s="1006">
        <f>Subrates!$D$117</f>
        <v>5852.5683548844463</v>
      </c>
      <c r="AZ79" s="1006">
        <f>Subrates!$D$118</f>
        <v>1600.8579286570243</v>
      </c>
      <c r="BA79" s="1006">
        <f t="shared" si="40"/>
        <v>1.9221853757639424</v>
      </c>
      <c r="BB79" s="1006">
        <f t="shared" si="18"/>
        <v>4.8064250364478198</v>
      </c>
      <c r="BC79" s="1006">
        <f t="shared" si="41"/>
        <v>1655.5</v>
      </c>
      <c r="BD79" s="1006">
        <f t="shared" si="42"/>
        <v>4196.5</v>
      </c>
      <c r="BE79" s="1006">
        <f>TOV!$F$518</f>
        <v>35075.581888424982</v>
      </c>
      <c r="BF79" s="1006">
        <f>TOV!$F$519</f>
        <v>3964.5309116330122</v>
      </c>
      <c r="BG79" s="351">
        <f t="shared" si="19"/>
        <v>0</v>
      </c>
      <c r="BH79" s="351">
        <f t="shared" si="20"/>
        <v>0</v>
      </c>
      <c r="BI79" s="351">
        <f t="shared" si="21"/>
        <v>0</v>
      </c>
      <c r="BJ79" s="351">
        <f t="shared" si="22"/>
        <v>0</v>
      </c>
      <c r="BK79" s="351">
        <f t="shared" si="23"/>
        <v>0</v>
      </c>
      <c r="BL79" s="351">
        <f t="shared" si="24"/>
        <v>0</v>
      </c>
      <c r="BM79" s="351">
        <f t="shared" si="43"/>
        <v>0</v>
      </c>
      <c r="BN79" s="351">
        <f t="shared" si="25"/>
        <v>0</v>
      </c>
      <c r="BO79" s="351">
        <f t="shared" si="26"/>
        <v>0</v>
      </c>
      <c r="BP79" s="1007">
        <f t="shared" si="44"/>
        <v>0</v>
      </c>
      <c r="BQ79" s="1008" t="str">
        <f t="shared" si="27"/>
        <v>Enter ML</v>
      </c>
      <c r="BR79" s="1008" t="str">
        <f t="shared" si="28"/>
        <v>Enter area</v>
      </c>
      <c r="BS79" s="1009">
        <f t="shared" si="29"/>
        <v>0</v>
      </c>
      <c r="BT79" s="1010" t="str">
        <f t="shared" si="45"/>
        <v>No Alert</v>
      </c>
      <c r="EZ79" s="1011"/>
      <c r="FB79" s="975"/>
      <c r="FF79" s="976"/>
    </row>
    <row r="80" spans="1:162" s="495" customFormat="1" ht="15">
      <c r="B80" s="310"/>
      <c r="C80" s="824">
        <f t="shared" si="30"/>
        <v>12</v>
      </c>
      <c r="D80" s="175"/>
      <c r="E80" s="255"/>
      <c r="F80" s="1027"/>
      <c r="G80" s="197"/>
      <c r="H80" s="174"/>
      <c r="I80" s="328"/>
      <c r="J80" s="328"/>
      <c r="K80" s="174" t="s">
        <v>167</v>
      </c>
      <c r="L80" s="328"/>
      <c r="M80" s="1003">
        <f t="shared" si="46"/>
        <v>0</v>
      </c>
      <c r="N80" s="577" t="str">
        <f t="shared" si="31"/>
        <v>No Alert</v>
      </c>
      <c r="O80" s="197"/>
      <c r="P80" s="197"/>
      <c r="Q80" s="197"/>
      <c r="R80" s="614">
        <f t="shared" si="13"/>
        <v>0</v>
      </c>
      <c r="S80" s="614">
        <f t="shared" si="14"/>
        <v>0</v>
      </c>
      <c r="T80" s="197"/>
      <c r="U80" s="1003">
        <f t="shared" si="15"/>
        <v>0</v>
      </c>
      <c r="V80" s="328"/>
      <c r="W80" s="1003">
        <f t="shared" si="32"/>
        <v>0</v>
      </c>
      <c r="X80" s="197"/>
      <c r="Y80" s="1003">
        <f t="shared" si="33"/>
        <v>0</v>
      </c>
      <c r="Z80" s="328">
        <f t="shared" si="34"/>
        <v>0</v>
      </c>
      <c r="AA80" s="337"/>
      <c r="AB80" s="1003">
        <f t="shared" si="35"/>
        <v>0</v>
      </c>
      <c r="AC80" s="328">
        <f t="shared" si="36"/>
        <v>0</v>
      </c>
      <c r="AD80" s="392">
        <v>1</v>
      </c>
      <c r="AE80" s="392"/>
      <c r="AF80" s="1004">
        <f t="shared" si="37"/>
        <v>0</v>
      </c>
      <c r="AG80" s="1005" t="str">
        <f t="shared" si="38"/>
        <v>No Alert</v>
      </c>
      <c r="AH80" s="1003">
        <f t="shared" si="16"/>
        <v>0</v>
      </c>
      <c r="AI80" s="328"/>
      <c r="AJ80" s="197"/>
      <c r="AK80" s="239" t="s">
        <v>125</v>
      </c>
      <c r="AL80" s="240"/>
      <c r="AM80" s="239" t="s">
        <v>185</v>
      </c>
      <c r="AN80" s="240"/>
      <c r="AO80" s="239" t="s">
        <v>411</v>
      </c>
      <c r="AP80" s="240"/>
      <c r="AQ80" s="239" t="s">
        <v>3</v>
      </c>
      <c r="AR80" s="241" t="str">
        <f t="shared" si="39"/>
        <v/>
      </c>
      <c r="AS80" s="239" t="s">
        <v>125</v>
      </c>
      <c r="AT80" s="240"/>
      <c r="AU80" s="239" t="s">
        <v>348</v>
      </c>
      <c r="AV80" s="240"/>
      <c r="AW80" s="1006">
        <f>TOV!$F$459</f>
        <v>120.44708803025631</v>
      </c>
      <c r="AX80" s="1006">
        <f t="shared" si="17"/>
        <v>5.3318476521729101</v>
      </c>
      <c r="AY80" s="1006">
        <f>Subrates!$D$117</f>
        <v>5852.5683548844463</v>
      </c>
      <c r="AZ80" s="1006">
        <f>Subrates!$D$118</f>
        <v>1600.8579286570243</v>
      </c>
      <c r="BA80" s="1006">
        <f t="shared" si="40"/>
        <v>1.9221853757639424</v>
      </c>
      <c r="BB80" s="1006">
        <f t="shared" si="18"/>
        <v>4.8064250364478198</v>
      </c>
      <c r="BC80" s="1006">
        <f t="shared" si="41"/>
        <v>1655.5</v>
      </c>
      <c r="BD80" s="1006">
        <f t="shared" si="42"/>
        <v>4196.5</v>
      </c>
      <c r="BE80" s="1006">
        <f>TOV!$F$518</f>
        <v>35075.581888424982</v>
      </c>
      <c r="BF80" s="1006">
        <f>TOV!$F$519</f>
        <v>3964.5309116330122</v>
      </c>
      <c r="BG80" s="351">
        <f t="shared" si="19"/>
        <v>0</v>
      </c>
      <c r="BH80" s="351">
        <f t="shared" si="20"/>
        <v>0</v>
      </c>
      <c r="BI80" s="351">
        <f t="shared" si="21"/>
        <v>0</v>
      </c>
      <c r="BJ80" s="351">
        <f t="shared" si="22"/>
        <v>0</v>
      </c>
      <c r="BK80" s="351">
        <f t="shared" si="23"/>
        <v>0</v>
      </c>
      <c r="BL80" s="351">
        <f t="shared" si="24"/>
        <v>0</v>
      </c>
      <c r="BM80" s="351">
        <f t="shared" si="43"/>
        <v>0</v>
      </c>
      <c r="BN80" s="351">
        <f t="shared" si="25"/>
        <v>0</v>
      </c>
      <c r="BO80" s="351">
        <f t="shared" si="26"/>
        <v>0</v>
      </c>
      <c r="BP80" s="1007">
        <f t="shared" si="44"/>
        <v>0</v>
      </c>
      <c r="BQ80" s="1008" t="str">
        <f t="shared" si="27"/>
        <v>Enter ML</v>
      </c>
      <c r="BR80" s="1008" t="str">
        <f t="shared" si="28"/>
        <v>Enter area</v>
      </c>
      <c r="BS80" s="1009">
        <f t="shared" si="29"/>
        <v>0</v>
      </c>
      <c r="BT80" s="1010" t="str">
        <f t="shared" si="45"/>
        <v>No Alert</v>
      </c>
      <c r="EZ80" s="1011"/>
      <c r="FB80" s="975"/>
      <c r="FF80" s="976"/>
    </row>
    <row r="81" spans="2:162" s="495" customFormat="1" ht="15">
      <c r="B81" s="310"/>
      <c r="C81" s="824">
        <f t="shared" si="30"/>
        <v>13</v>
      </c>
      <c r="D81" s="175"/>
      <c r="E81" s="255"/>
      <c r="F81" s="1027"/>
      <c r="G81" s="197"/>
      <c r="H81" s="174"/>
      <c r="I81" s="328"/>
      <c r="J81" s="328"/>
      <c r="K81" s="174" t="s">
        <v>167</v>
      </c>
      <c r="L81" s="328"/>
      <c r="M81" s="1003">
        <f t="shared" si="46"/>
        <v>0</v>
      </c>
      <c r="N81" s="577" t="str">
        <f t="shared" si="31"/>
        <v>No Alert</v>
      </c>
      <c r="O81" s="197"/>
      <c r="P81" s="197"/>
      <c r="Q81" s="197"/>
      <c r="R81" s="614">
        <f t="shared" si="13"/>
        <v>0</v>
      </c>
      <c r="S81" s="614">
        <f t="shared" si="14"/>
        <v>0</v>
      </c>
      <c r="T81" s="197"/>
      <c r="U81" s="1003">
        <f t="shared" si="15"/>
        <v>0</v>
      </c>
      <c r="V81" s="328"/>
      <c r="W81" s="1003">
        <f t="shared" si="32"/>
        <v>0</v>
      </c>
      <c r="X81" s="197"/>
      <c r="Y81" s="1003">
        <f t="shared" si="33"/>
        <v>0</v>
      </c>
      <c r="Z81" s="328">
        <f t="shared" si="34"/>
        <v>0</v>
      </c>
      <c r="AA81" s="337"/>
      <c r="AB81" s="1003">
        <f t="shared" si="35"/>
        <v>0</v>
      </c>
      <c r="AC81" s="328">
        <f t="shared" si="36"/>
        <v>0</v>
      </c>
      <c r="AD81" s="392">
        <v>1</v>
      </c>
      <c r="AE81" s="392"/>
      <c r="AF81" s="1004">
        <f t="shared" si="37"/>
        <v>0</v>
      </c>
      <c r="AG81" s="1005" t="str">
        <f t="shared" si="38"/>
        <v>No Alert</v>
      </c>
      <c r="AH81" s="1003">
        <f t="shared" si="16"/>
        <v>0</v>
      </c>
      <c r="AI81" s="328"/>
      <c r="AJ81" s="197"/>
      <c r="AK81" s="239" t="s">
        <v>125</v>
      </c>
      <c r="AL81" s="240"/>
      <c r="AM81" s="239" t="s">
        <v>185</v>
      </c>
      <c r="AN81" s="240"/>
      <c r="AO81" s="239" t="s">
        <v>411</v>
      </c>
      <c r="AP81" s="240"/>
      <c r="AQ81" s="239" t="s">
        <v>3</v>
      </c>
      <c r="AR81" s="241" t="str">
        <f t="shared" si="39"/>
        <v/>
      </c>
      <c r="AS81" s="239" t="s">
        <v>125</v>
      </c>
      <c r="AT81" s="240"/>
      <c r="AU81" s="239" t="s">
        <v>348</v>
      </c>
      <c r="AV81" s="240"/>
      <c r="AW81" s="1006">
        <f>TOV!$F$459</f>
        <v>120.44708803025631</v>
      </c>
      <c r="AX81" s="1006">
        <f t="shared" si="17"/>
        <v>5.3318476521729101</v>
      </c>
      <c r="AY81" s="1006">
        <f>Subrates!$D$117</f>
        <v>5852.5683548844463</v>
      </c>
      <c r="AZ81" s="1006">
        <f>Subrates!$D$118</f>
        <v>1600.8579286570243</v>
      </c>
      <c r="BA81" s="1006">
        <f t="shared" si="40"/>
        <v>1.9221853757639424</v>
      </c>
      <c r="BB81" s="1006">
        <f t="shared" si="18"/>
        <v>4.8064250364478198</v>
      </c>
      <c r="BC81" s="1006">
        <f t="shared" si="41"/>
        <v>1655.5</v>
      </c>
      <c r="BD81" s="1006">
        <f t="shared" si="42"/>
        <v>4196.5</v>
      </c>
      <c r="BE81" s="1006">
        <f>TOV!$F$518</f>
        <v>35075.581888424982</v>
      </c>
      <c r="BF81" s="1006">
        <f>TOV!$F$519</f>
        <v>3964.5309116330122</v>
      </c>
      <c r="BG81" s="351">
        <f t="shared" si="19"/>
        <v>0</v>
      </c>
      <c r="BH81" s="351">
        <f t="shared" si="20"/>
        <v>0</v>
      </c>
      <c r="BI81" s="351">
        <f t="shared" si="21"/>
        <v>0</v>
      </c>
      <c r="BJ81" s="351">
        <f t="shared" si="22"/>
        <v>0</v>
      </c>
      <c r="BK81" s="351">
        <f t="shared" si="23"/>
        <v>0</v>
      </c>
      <c r="BL81" s="351">
        <f t="shared" si="24"/>
        <v>0</v>
      </c>
      <c r="BM81" s="351">
        <f t="shared" si="43"/>
        <v>0</v>
      </c>
      <c r="BN81" s="351">
        <f t="shared" si="25"/>
        <v>0</v>
      </c>
      <c r="BO81" s="351">
        <f t="shared" si="26"/>
        <v>0</v>
      </c>
      <c r="BP81" s="1007">
        <f t="shared" si="44"/>
        <v>0</v>
      </c>
      <c r="BQ81" s="1008" t="str">
        <f t="shared" si="27"/>
        <v>Enter ML</v>
      </c>
      <c r="BR81" s="1008" t="str">
        <f t="shared" si="28"/>
        <v>Enter area</v>
      </c>
      <c r="BS81" s="1009">
        <f t="shared" si="29"/>
        <v>0</v>
      </c>
      <c r="BT81" s="1010" t="str">
        <f t="shared" si="45"/>
        <v>No Alert</v>
      </c>
      <c r="EZ81" s="1011"/>
      <c r="FB81" s="975"/>
      <c r="FF81" s="976"/>
    </row>
    <row r="82" spans="2:162" s="495" customFormat="1" ht="15">
      <c r="B82" s="310"/>
      <c r="C82" s="824">
        <f t="shared" si="30"/>
        <v>14</v>
      </c>
      <c r="D82" s="175"/>
      <c r="E82" s="255"/>
      <c r="F82" s="1027"/>
      <c r="G82" s="197"/>
      <c r="H82" s="174"/>
      <c r="I82" s="328"/>
      <c r="J82" s="328"/>
      <c r="K82" s="174" t="s">
        <v>167</v>
      </c>
      <c r="L82" s="328"/>
      <c r="M82" s="1003">
        <f t="shared" si="46"/>
        <v>0</v>
      </c>
      <c r="N82" s="577" t="str">
        <f t="shared" si="31"/>
        <v>No Alert</v>
      </c>
      <c r="O82" s="197"/>
      <c r="P82" s="197"/>
      <c r="Q82" s="197"/>
      <c r="R82" s="614">
        <f t="shared" ref="R82:R94" si="47">Q82*O82*2+P82</f>
        <v>0</v>
      </c>
      <c r="S82" s="614">
        <f t="shared" ref="S82:S94" si="48">P82*O82+2*0.5*(R82-P82)/2</f>
        <v>0</v>
      </c>
      <c r="T82" s="197"/>
      <c r="U82" s="1003">
        <f t="shared" si="15"/>
        <v>0</v>
      </c>
      <c r="V82" s="328"/>
      <c r="W82" s="1003">
        <f t="shared" ref="W82:W94" si="49">IF(T82="",S82,T82)*IF(V82="",U82,V82)</f>
        <v>0</v>
      </c>
      <c r="X82" s="197"/>
      <c r="Y82" s="1003">
        <f t="shared" si="33"/>
        <v>0</v>
      </c>
      <c r="Z82" s="328">
        <f t="shared" si="34"/>
        <v>0</v>
      </c>
      <c r="AA82" s="337"/>
      <c r="AB82" s="1003">
        <f t="shared" si="35"/>
        <v>0</v>
      </c>
      <c r="AC82" s="328">
        <f t="shared" si="36"/>
        <v>0</v>
      </c>
      <c r="AD82" s="392">
        <v>1</v>
      </c>
      <c r="AE82" s="392"/>
      <c r="AF82" s="1004">
        <f t="shared" si="37"/>
        <v>0</v>
      </c>
      <c r="AG82" s="1005" t="str">
        <f t="shared" si="38"/>
        <v>No Alert</v>
      </c>
      <c r="AH82" s="1003">
        <f t="shared" si="16"/>
        <v>0</v>
      </c>
      <c r="AI82" s="328"/>
      <c r="AJ82" s="197"/>
      <c r="AK82" s="239" t="s">
        <v>125</v>
      </c>
      <c r="AL82" s="240"/>
      <c r="AM82" s="239" t="s">
        <v>185</v>
      </c>
      <c r="AN82" s="240"/>
      <c r="AO82" s="239" t="s">
        <v>411</v>
      </c>
      <c r="AP82" s="240"/>
      <c r="AQ82" s="239" t="s">
        <v>3</v>
      </c>
      <c r="AR82" s="241" t="str">
        <f t="shared" si="39"/>
        <v/>
      </c>
      <c r="AS82" s="239" t="s">
        <v>125</v>
      </c>
      <c r="AT82" s="240"/>
      <c r="AU82" s="239" t="s">
        <v>348</v>
      </c>
      <c r="AV82" s="240"/>
      <c r="AW82" s="1006">
        <f>TOV!$F$459</f>
        <v>120.44708803025631</v>
      </c>
      <c r="AX82" s="1006">
        <f t="shared" si="17"/>
        <v>5.3318476521729101</v>
      </c>
      <c r="AY82" s="1006">
        <f>Subrates!$D$117</f>
        <v>5852.5683548844463</v>
      </c>
      <c r="AZ82" s="1006">
        <f>Subrates!$D$118</f>
        <v>1600.8579286570243</v>
      </c>
      <c r="BA82" s="1006">
        <f t="shared" si="40"/>
        <v>1.9221853757639424</v>
      </c>
      <c r="BB82" s="1006">
        <f t="shared" si="18"/>
        <v>4.8064250364478198</v>
      </c>
      <c r="BC82" s="1006">
        <f t="shared" si="41"/>
        <v>1655.5</v>
      </c>
      <c r="BD82" s="1006">
        <f t="shared" si="42"/>
        <v>4196.5</v>
      </c>
      <c r="BE82" s="1006">
        <f>TOV!$F$518</f>
        <v>35075.581888424982</v>
      </c>
      <c r="BF82" s="1006">
        <f>TOV!$F$519</f>
        <v>3964.5309116330122</v>
      </c>
      <c r="BG82" s="351">
        <f t="shared" si="19"/>
        <v>0</v>
      </c>
      <c r="BH82" s="351">
        <f t="shared" si="20"/>
        <v>0</v>
      </c>
      <c r="BI82" s="351">
        <f t="shared" si="21"/>
        <v>0</v>
      </c>
      <c r="BJ82" s="351">
        <f t="shared" si="22"/>
        <v>0</v>
      </c>
      <c r="BK82" s="351">
        <f t="shared" si="23"/>
        <v>0</v>
      </c>
      <c r="BL82" s="351">
        <f t="shared" si="24"/>
        <v>0</v>
      </c>
      <c r="BM82" s="351">
        <f t="shared" si="43"/>
        <v>0</v>
      </c>
      <c r="BN82" s="351">
        <f t="shared" si="25"/>
        <v>0</v>
      </c>
      <c r="BO82" s="351">
        <f t="shared" si="26"/>
        <v>0</v>
      </c>
      <c r="BP82" s="1007">
        <f t="shared" si="44"/>
        <v>0</v>
      </c>
      <c r="BQ82" s="1008" t="str">
        <f t="shared" si="27"/>
        <v>Enter ML</v>
      </c>
      <c r="BR82" s="1008" t="str">
        <f t="shared" si="28"/>
        <v>Enter area</v>
      </c>
      <c r="BS82" s="1009">
        <f t="shared" si="29"/>
        <v>0</v>
      </c>
      <c r="BT82" s="1010" t="str">
        <f t="shared" si="45"/>
        <v>No Alert</v>
      </c>
      <c r="EZ82" s="1011"/>
      <c r="FB82" s="975"/>
      <c r="FF82" s="976"/>
    </row>
    <row r="83" spans="2:162" s="495" customFormat="1" ht="15">
      <c r="B83" s="310"/>
      <c r="C83" s="824">
        <f t="shared" si="30"/>
        <v>15</v>
      </c>
      <c r="D83" s="175"/>
      <c r="E83" s="255"/>
      <c r="F83" s="1027"/>
      <c r="G83" s="197"/>
      <c r="H83" s="174"/>
      <c r="I83" s="328"/>
      <c r="J83" s="328"/>
      <c r="K83" s="174" t="s">
        <v>167</v>
      </c>
      <c r="L83" s="328"/>
      <c r="M83" s="1003">
        <f t="shared" si="46"/>
        <v>0</v>
      </c>
      <c r="N83" s="577" t="str">
        <f t="shared" si="31"/>
        <v>No Alert</v>
      </c>
      <c r="O83" s="197"/>
      <c r="P83" s="197"/>
      <c r="Q83" s="197"/>
      <c r="R83" s="614">
        <f t="shared" si="47"/>
        <v>0</v>
      </c>
      <c r="S83" s="614">
        <f t="shared" si="48"/>
        <v>0</v>
      </c>
      <c r="T83" s="197"/>
      <c r="U83" s="1003">
        <f t="shared" si="15"/>
        <v>0</v>
      </c>
      <c r="V83" s="328"/>
      <c r="W83" s="1003">
        <f t="shared" si="49"/>
        <v>0</v>
      </c>
      <c r="X83" s="197"/>
      <c r="Y83" s="1003">
        <f t="shared" si="33"/>
        <v>0</v>
      </c>
      <c r="Z83" s="328">
        <f t="shared" si="34"/>
        <v>0</v>
      </c>
      <c r="AA83" s="337"/>
      <c r="AB83" s="1003">
        <f t="shared" si="35"/>
        <v>0</v>
      </c>
      <c r="AC83" s="328">
        <f t="shared" si="36"/>
        <v>0</v>
      </c>
      <c r="AD83" s="392">
        <v>1</v>
      </c>
      <c r="AE83" s="392"/>
      <c r="AF83" s="1004">
        <f t="shared" si="37"/>
        <v>0</v>
      </c>
      <c r="AG83" s="1005" t="str">
        <f t="shared" si="38"/>
        <v>No Alert</v>
      </c>
      <c r="AH83" s="1003">
        <f t="shared" si="16"/>
        <v>0</v>
      </c>
      <c r="AI83" s="328"/>
      <c r="AJ83" s="197"/>
      <c r="AK83" s="239" t="s">
        <v>125</v>
      </c>
      <c r="AL83" s="240"/>
      <c r="AM83" s="239" t="s">
        <v>185</v>
      </c>
      <c r="AN83" s="240"/>
      <c r="AO83" s="239" t="s">
        <v>411</v>
      </c>
      <c r="AP83" s="240"/>
      <c r="AQ83" s="239" t="s">
        <v>3</v>
      </c>
      <c r="AR83" s="241" t="str">
        <f t="shared" si="39"/>
        <v/>
      </c>
      <c r="AS83" s="239" t="s">
        <v>125</v>
      </c>
      <c r="AT83" s="240"/>
      <c r="AU83" s="239" t="s">
        <v>348</v>
      </c>
      <c r="AV83" s="240"/>
      <c r="AW83" s="1006">
        <f>TOV!$F$459</f>
        <v>120.44708803025631</v>
      </c>
      <c r="AX83" s="1006">
        <f t="shared" si="17"/>
        <v>5.3318476521729101</v>
      </c>
      <c r="AY83" s="1006">
        <f>Subrates!$D$117</f>
        <v>5852.5683548844463</v>
      </c>
      <c r="AZ83" s="1006">
        <f>Subrates!$D$118</f>
        <v>1600.8579286570243</v>
      </c>
      <c r="BA83" s="1006">
        <f t="shared" si="40"/>
        <v>1.9221853757639424</v>
      </c>
      <c r="BB83" s="1006">
        <f t="shared" si="18"/>
        <v>4.8064250364478198</v>
      </c>
      <c r="BC83" s="1006">
        <f t="shared" si="41"/>
        <v>1655.5</v>
      </c>
      <c r="BD83" s="1006">
        <f t="shared" si="42"/>
        <v>4196.5</v>
      </c>
      <c r="BE83" s="1006">
        <f>TOV!$F$518</f>
        <v>35075.581888424982</v>
      </c>
      <c r="BF83" s="1006">
        <f>TOV!$F$519</f>
        <v>3964.5309116330122</v>
      </c>
      <c r="BG83" s="351">
        <f t="shared" si="19"/>
        <v>0</v>
      </c>
      <c r="BH83" s="351">
        <f t="shared" si="20"/>
        <v>0</v>
      </c>
      <c r="BI83" s="351">
        <f t="shared" si="21"/>
        <v>0</v>
      </c>
      <c r="BJ83" s="351">
        <f t="shared" si="22"/>
        <v>0</v>
      </c>
      <c r="BK83" s="351">
        <f t="shared" si="23"/>
        <v>0</v>
      </c>
      <c r="BL83" s="351">
        <f t="shared" si="24"/>
        <v>0</v>
      </c>
      <c r="BM83" s="351">
        <f t="shared" si="43"/>
        <v>0</v>
      </c>
      <c r="BN83" s="351">
        <f t="shared" si="25"/>
        <v>0</v>
      </c>
      <c r="BO83" s="351">
        <f t="shared" si="26"/>
        <v>0</v>
      </c>
      <c r="BP83" s="1007">
        <f t="shared" si="44"/>
        <v>0</v>
      </c>
      <c r="BQ83" s="1008" t="str">
        <f t="shared" si="27"/>
        <v>Enter ML</v>
      </c>
      <c r="BR83" s="1008" t="str">
        <f t="shared" si="28"/>
        <v>Enter area</v>
      </c>
      <c r="BS83" s="1009">
        <f t="shared" si="29"/>
        <v>0</v>
      </c>
      <c r="BT83" s="1010" t="str">
        <f t="shared" si="45"/>
        <v>No Alert</v>
      </c>
      <c r="EZ83" s="1011"/>
      <c r="FB83" s="975"/>
      <c r="FF83" s="976"/>
    </row>
    <row r="84" spans="2:162" s="495" customFormat="1" ht="15">
      <c r="B84" s="310"/>
      <c r="C84" s="824">
        <f t="shared" si="30"/>
        <v>16</v>
      </c>
      <c r="D84" s="175"/>
      <c r="E84" s="255"/>
      <c r="F84" s="1027"/>
      <c r="G84" s="197"/>
      <c r="H84" s="174"/>
      <c r="I84" s="328"/>
      <c r="J84" s="328"/>
      <c r="K84" s="174" t="s">
        <v>167</v>
      </c>
      <c r="L84" s="328"/>
      <c r="M84" s="1003">
        <f t="shared" si="46"/>
        <v>0</v>
      </c>
      <c r="N84" s="577" t="str">
        <f t="shared" si="31"/>
        <v>No Alert</v>
      </c>
      <c r="O84" s="197"/>
      <c r="P84" s="197"/>
      <c r="Q84" s="197"/>
      <c r="R84" s="614">
        <f t="shared" si="47"/>
        <v>0</v>
      </c>
      <c r="S84" s="614">
        <f t="shared" si="48"/>
        <v>0</v>
      </c>
      <c r="T84" s="197"/>
      <c r="U84" s="1003">
        <f t="shared" si="15"/>
        <v>0</v>
      </c>
      <c r="V84" s="328"/>
      <c r="W84" s="1003">
        <f t="shared" si="49"/>
        <v>0</v>
      </c>
      <c r="X84" s="197"/>
      <c r="Y84" s="1003">
        <f t="shared" si="33"/>
        <v>0</v>
      </c>
      <c r="Z84" s="328">
        <f t="shared" si="34"/>
        <v>0</v>
      </c>
      <c r="AA84" s="337"/>
      <c r="AB84" s="1003">
        <f t="shared" si="35"/>
        <v>0</v>
      </c>
      <c r="AC84" s="328">
        <f t="shared" si="36"/>
        <v>0</v>
      </c>
      <c r="AD84" s="392">
        <v>1</v>
      </c>
      <c r="AE84" s="392"/>
      <c r="AF84" s="1004">
        <f t="shared" si="37"/>
        <v>0</v>
      </c>
      <c r="AG84" s="1005" t="str">
        <f t="shared" si="38"/>
        <v>No Alert</v>
      </c>
      <c r="AH84" s="1003">
        <f t="shared" si="16"/>
        <v>0</v>
      </c>
      <c r="AI84" s="328"/>
      <c r="AJ84" s="197"/>
      <c r="AK84" s="239" t="s">
        <v>125</v>
      </c>
      <c r="AL84" s="240"/>
      <c r="AM84" s="239" t="s">
        <v>185</v>
      </c>
      <c r="AN84" s="240"/>
      <c r="AO84" s="239" t="s">
        <v>411</v>
      </c>
      <c r="AP84" s="240"/>
      <c r="AQ84" s="239" t="s">
        <v>3</v>
      </c>
      <c r="AR84" s="241" t="str">
        <f t="shared" si="39"/>
        <v/>
      </c>
      <c r="AS84" s="239" t="s">
        <v>125</v>
      </c>
      <c r="AT84" s="240"/>
      <c r="AU84" s="239" t="s">
        <v>348</v>
      </c>
      <c r="AV84" s="240"/>
      <c r="AW84" s="1006">
        <f>TOV!$F$459</f>
        <v>120.44708803025631</v>
      </c>
      <c r="AX84" s="1006">
        <f t="shared" si="17"/>
        <v>5.3318476521729101</v>
      </c>
      <c r="AY84" s="1006">
        <f>Subrates!$D$117</f>
        <v>5852.5683548844463</v>
      </c>
      <c r="AZ84" s="1006">
        <f>Subrates!$D$118</f>
        <v>1600.8579286570243</v>
      </c>
      <c r="BA84" s="1006">
        <f t="shared" si="40"/>
        <v>1.9221853757639424</v>
      </c>
      <c r="BB84" s="1006">
        <f t="shared" si="18"/>
        <v>4.8064250364478198</v>
      </c>
      <c r="BC84" s="1006">
        <f t="shared" si="41"/>
        <v>1655.5</v>
      </c>
      <c r="BD84" s="1006">
        <f t="shared" si="42"/>
        <v>4196.5</v>
      </c>
      <c r="BE84" s="1006">
        <f>TOV!$F$518</f>
        <v>35075.581888424982</v>
      </c>
      <c r="BF84" s="1006">
        <f>TOV!$F$519</f>
        <v>3964.5309116330122</v>
      </c>
      <c r="BG84" s="351">
        <f t="shared" si="19"/>
        <v>0</v>
      </c>
      <c r="BH84" s="351">
        <f t="shared" si="20"/>
        <v>0</v>
      </c>
      <c r="BI84" s="351">
        <f t="shared" si="21"/>
        <v>0</v>
      </c>
      <c r="BJ84" s="351">
        <f t="shared" si="22"/>
        <v>0</v>
      </c>
      <c r="BK84" s="351">
        <f t="shared" si="23"/>
        <v>0</v>
      </c>
      <c r="BL84" s="351">
        <f t="shared" si="24"/>
        <v>0</v>
      </c>
      <c r="BM84" s="351">
        <f t="shared" si="43"/>
        <v>0</v>
      </c>
      <c r="BN84" s="351">
        <f t="shared" si="25"/>
        <v>0</v>
      </c>
      <c r="BO84" s="351">
        <f t="shared" si="26"/>
        <v>0</v>
      </c>
      <c r="BP84" s="1007">
        <f t="shared" si="44"/>
        <v>0</v>
      </c>
      <c r="BQ84" s="1008" t="str">
        <f t="shared" si="27"/>
        <v>Enter ML</v>
      </c>
      <c r="BR84" s="1008" t="str">
        <f t="shared" si="28"/>
        <v>Enter area</v>
      </c>
      <c r="BS84" s="1009">
        <f t="shared" si="29"/>
        <v>0</v>
      </c>
      <c r="BT84" s="1010" t="str">
        <f t="shared" si="45"/>
        <v>No Alert</v>
      </c>
      <c r="EZ84" s="1011"/>
      <c r="FB84" s="975"/>
      <c r="FF84" s="976"/>
    </row>
    <row r="85" spans="2:162" s="495" customFormat="1" ht="15">
      <c r="B85" s="310"/>
      <c r="C85" s="824">
        <f t="shared" si="30"/>
        <v>17</v>
      </c>
      <c r="D85" s="175"/>
      <c r="E85" s="255"/>
      <c r="F85" s="1027"/>
      <c r="G85" s="197"/>
      <c r="H85" s="174"/>
      <c r="I85" s="328"/>
      <c r="J85" s="328"/>
      <c r="K85" s="174" t="s">
        <v>167</v>
      </c>
      <c r="L85" s="328"/>
      <c r="M85" s="1003">
        <f t="shared" si="46"/>
        <v>0</v>
      </c>
      <c r="N85" s="577" t="str">
        <f t="shared" si="31"/>
        <v>No Alert</v>
      </c>
      <c r="O85" s="197"/>
      <c r="P85" s="197"/>
      <c r="Q85" s="197"/>
      <c r="R85" s="614">
        <f t="shared" si="47"/>
        <v>0</v>
      </c>
      <c r="S85" s="614">
        <f t="shared" si="48"/>
        <v>0</v>
      </c>
      <c r="T85" s="197"/>
      <c r="U85" s="1003">
        <f t="shared" si="15"/>
        <v>0</v>
      </c>
      <c r="V85" s="328"/>
      <c r="W85" s="1003">
        <f t="shared" si="49"/>
        <v>0</v>
      </c>
      <c r="X85" s="197"/>
      <c r="Y85" s="1003">
        <f t="shared" si="33"/>
        <v>0</v>
      </c>
      <c r="Z85" s="328">
        <f t="shared" si="34"/>
        <v>0</v>
      </c>
      <c r="AA85" s="337"/>
      <c r="AB85" s="1003">
        <f t="shared" si="35"/>
        <v>0</v>
      </c>
      <c r="AC85" s="328">
        <f t="shared" si="36"/>
        <v>0</v>
      </c>
      <c r="AD85" s="392">
        <v>1</v>
      </c>
      <c r="AE85" s="392"/>
      <c r="AF85" s="1004">
        <f t="shared" si="37"/>
        <v>0</v>
      </c>
      <c r="AG85" s="1005" t="str">
        <f t="shared" si="38"/>
        <v>No Alert</v>
      </c>
      <c r="AH85" s="1003">
        <f t="shared" si="16"/>
        <v>0</v>
      </c>
      <c r="AI85" s="328"/>
      <c r="AJ85" s="197"/>
      <c r="AK85" s="239" t="s">
        <v>125</v>
      </c>
      <c r="AL85" s="240"/>
      <c r="AM85" s="239" t="s">
        <v>185</v>
      </c>
      <c r="AN85" s="240"/>
      <c r="AO85" s="239" t="s">
        <v>411</v>
      </c>
      <c r="AP85" s="240"/>
      <c r="AQ85" s="239" t="s">
        <v>3</v>
      </c>
      <c r="AR85" s="241" t="str">
        <f t="shared" si="39"/>
        <v/>
      </c>
      <c r="AS85" s="239" t="s">
        <v>125</v>
      </c>
      <c r="AT85" s="240"/>
      <c r="AU85" s="239" t="s">
        <v>348</v>
      </c>
      <c r="AV85" s="240"/>
      <c r="AW85" s="1006">
        <f>TOV!$F$459</f>
        <v>120.44708803025631</v>
      </c>
      <c r="AX85" s="1006">
        <f t="shared" si="17"/>
        <v>5.3318476521729101</v>
      </c>
      <c r="AY85" s="1006">
        <f>Subrates!$D$117</f>
        <v>5852.5683548844463</v>
      </c>
      <c r="AZ85" s="1006">
        <f>Subrates!$D$118</f>
        <v>1600.8579286570243</v>
      </c>
      <c r="BA85" s="1006">
        <f t="shared" si="40"/>
        <v>1.9221853757639424</v>
      </c>
      <c r="BB85" s="1006">
        <f t="shared" si="18"/>
        <v>4.8064250364478198</v>
      </c>
      <c r="BC85" s="1006">
        <f t="shared" si="41"/>
        <v>1655.5</v>
      </c>
      <c r="BD85" s="1006">
        <f t="shared" si="42"/>
        <v>4196.5</v>
      </c>
      <c r="BE85" s="1006">
        <f>TOV!$F$518</f>
        <v>35075.581888424982</v>
      </c>
      <c r="BF85" s="1006">
        <f>TOV!$F$519</f>
        <v>3964.5309116330122</v>
      </c>
      <c r="BG85" s="351">
        <f t="shared" si="19"/>
        <v>0</v>
      </c>
      <c r="BH85" s="351">
        <f t="shared" si="20"/>
        <v>0</v>
      </c>
      <c r="BI85" s="351">
        <f t="shared" si="21"/>
        <v>0</v>
      </c>
      <c r="BJ85" s="351">
        <f t="shared" si="22"/>
        <v>0</v>
      </c>
      <c r="BK85" s="351">
        <f t="shared" si="23"/>
        <v>0</v>
      </c>
      <c r="BL85" s="351">
        <f t="shared" si="24"/>
        <v>0</v>
      </c>
      <c r="BM85" s="351">
        <f t="shared" si="43"/>
        <v>0</v>
      </c>
      <c r="BN85" s="351">
        <f t="shared" si="25"/>
        <v>0</v>
      </c>
      <c r="BO85" s="351">
        <f t="shared" si="26"/>
        <v>0</v>
      </c>
      <c r="BP85" s="1007">
        <f t="shared" si="44"/>
        <v>0</v>
      </c>
      <c r="BQ85" s="1008" t="str">
        <f t="shared" si="27"/>
        <v>Enter ML</v>
      </c>
      <c r="BR85" s="1008" t="str">
        <f t="shared" si="28"/>
        <v>Enter area</v>
      </c>
      <c r="BS85" s="1009">
        <f t="shared" si="29"/>
        <v>0</v>
      </c>
      <c r="BT85" s="1010" t="str">
        <f t="shared" si="45"/>
        <v>No Alert</v>
      </c>
      <c r="EZ85" s="1011"/>
      <c r="FB85" s="975"/>
      <c r="FF85" s="976"/>
    </row>
    <row r="86" spans="2:162" s="495" customFormat="1" ht="15">
      <c r="B86" s="310"/>
      <c r="C86" s="824">
        <f t="shared" si="30"/>
        <v>18</v>
      </c>
      <c r="D86" s="175"/>
      <c r="E86" s="255"/>
      <c r="F86" s="1027"/>
      <c r="G86" s="197"/>
      <c r="H86" s="174"/>
      <c r="I86" s="328"/>
      <c r="J86" s="328"/>
      <c r="K86" s="174" t="s">
        <v>167</v>
      </c>
      <c r="L86" s="328"/>
      <c r="M86" s="1003">
        <f t="shared" si="46"/>
        <v>0</v>
      </c>
      <c r="N86" s="577" t="str">
        <f t="shared" si="31"/>
        <v>No Alert</v>
      </c>
      <c r="O86" s="197"/>
      <c r="P86" s="197"/>
      <c r="Q86" s="197"/>
      <c r="R86" s="614">
        <f t="shared" si="47"/>
        <v>0</v>
      </c>
      <c r="S86" s="614">
        <f t="shared" si="48"/>
        <v>0</v>
      </c>
      <c r="T86" s="197"/>
      <c r="U86" s="1003">
        <f t="shared" si="15"/>
        <v>0</v>
      </c>
      <c r="V86" s="328"/>
      <c r="W86" s="1003">
        <f t="shared" si="49"/>
        <v>0</v>
      </c>
      <c r="X86" s="197"/>
      <c r="Y86" s="1003">
        <f t="shared" si="33"/>
        <v>0</v>
      </c>
      <c r="Z86" s="328">
        <f t="shared" si="34"/>
        <v>0</v>
      </c>
      <c r="AA86" s="337"/>
      <c r="AB86" s="1003">
        <f t="shared" si="35"/>
        <v>0</v>
      </c>
      <c r="AC86" s="328">
        <f t="shared" si="36"/>
        <v>0</v>
      </c>
      <c r="AD86" s="392">
        <v>1</v>
      </c>
      <c r="AE86" s="392"/>
      <c r="AF86" s="1004">
        <f t="shared" si="37"/>
        <v>0</v>
      </c>
      <c r="AG86" s="1005" t="str">
        <f t="shared" si="38"/>
        <v>No Alert</v>
      </c>
      <c r="AH86" s="1003">
        <f t="shared" si="16"/>
        <v>0</v>
      </c>
      <c r="AI86" s="328"/>
      <c r="AJ86" s="197"/>
      <c r="AK86" s="239" t="s">
        <v>125</v>
      </c>
      <c r="AL86" s="240"/>
      <c r="AM86" s="239" t="s">
        <v>185</v>
      </c>
      <c r="AN86" s="240"/>
      <c r="AO86" s="239" t="s">
        <v>411</v>
      </c>
      <c r="AP86" s="240"/>
      <c r="AQ86" s="239" t="s">
        <v>3</v>
      </c>
      <c r="AR86" s="241" t="str">
        <f t="shared" si="39"/>
        <v/>
      </c>
      <c r="AS86" s="239" t="s">
        <v>125</v>
      </c>
      <c r="AT86" s="240"/>
      <c r="AU86" s="239" t="s">
        <v>348</v>
      </c>
      <c r="AV86" s="240"/>
      <c r="AW86" s="1006">
        <f>TOV!$F$459</f>
        <v>120.44708803025631</v>
      </c>
      <c r="AX86" s="1006">
        <f t="shared" si="17"/>
        <v>5.3318476521729101</v>
      </c>
      <c r="AY86" s="1006">
        <f>Subrates!$D$117</f>
        <v>5852.5683548844463</v>
      </c>
      <c r="AZ86" s="1006">
        <f>Subrates!$D$118</f>
        <v>1600.8579286570243</v>
      </c>
      <c r="BA86" s="1006">
        <f t="shared" si="40"/>
        <v>1.9221853757639424</v>
      </c>
      <c r="BB86" s="1006">
        <f t="shared" si="18"/>
        <v>4.8064250364478198</v>
      </c>
      <c r="BC86" s="1006">
        <f t="shared" si="41"/>
        <v>1655.5</v>
      </c>
      <c r="BD86" s="1006">
        <f t="shared" si="42"/>
        <v>4196.5</v>
      </c>
      <c r="BE86" s="1006">
        <f>TOV!$F$518</f>
        <v>35075.581888424982</v>
      </c>
      <c r="BF86" s="1006">
        <f>TOV!$F$519</f>
        <v>3964.5309116330122</v>
      </c>
      <c r="BG86" s="351">
        <f t="shared" si="19"/>
        <v>0</v>
      </c>
      <c r="BH86" s="351">
        <f t="shared" si="20"/>
        <v>0</v>
      </c>
      <c r="BI86" s="351">
        <f t="shared" si="21"/>
        <v>0</v>
      </c>
      <c r="BJ86" s="351">
        <f t="shared" si="22"/>
        <v>0</v>
      </c>
      <c r="BK86" s="351">
        <f t="shared" si="23"/>
        <v>0</v>
      </c>
      <c r="BL86" s="351">
        <f t="shared" si="24"/>
        <v>0</v>
      </c>
      <c r="BM86" s="351">
        <f t="shared" si="43"/>
        <v>0</v>
      </c>
      <c r="BN86" s="351">
        <f t="shared" si="25"/>
        <v>0</v>
      </c>
      <c r="BO86" s="351">
        <f t="shared" si="26"/>
        <v>0</v>
      </c>
      <c r="BP86" s="1007">
        <f t="shared" si="44"/>
        <v>0</v>
      </c>
      <c r="BQ86" s="1008" t="str">
        <f t="shared" si="27"/>
        <v>Enter ML</v>
      </c>
      <c r="BR86" s="1008" t="str">
        <f t="shared" si="28"/>
        <v>Enter area</v>
      </c>
      <c r="BS86" s="1009">
        <f t="shared" si="29"/>
        <v>0</v>
      </c>
      <c r="BT86" s="1010" t="str">
        <f t="shared" si="45"/>
        <v>No Alert</v>
      </c>
      <c r="EZ86" s="1011"/>
      <c r="FB86" s="975"/>
      <c r="FF86" s="976"/>
    </row>
    <row r="87" spans="2:162" s="495" customFormat="1" ht="15">
      <c r="B87" s="310"/>
      <c r="C87" s="824">
        <f t="shared" si="30"/>
        <v>19</v>
      </c>
      <c r="D87" s="175"/>
      <c r="E87" s="255"/>
      <c r="F87" s="1027"/>
      <c r="G87" s="197"/>
      <c r="H87" s="174"/>
      <c r="I87" s="328"/>
      <c r="J87" s="328"/>
      <c r="K87" s="174" t="s">
        <v>167</v>
      </c>
      <c r="L87" s="328"/>
      <c r="M87" s="1003">
        <f t="shared" si="46"/>
        <v>0</v>
      </c>
      <c r="N87" s="577" t="str">
        <f t="shared" si="31"/>
        <v>No Alert</v>
      </c>
      <c r="O87" s="197"/>
      <c r="P87" s="197"/>
      <c r="Q87" s="197"/>
      <c r="R87" s="614">
        <f t="shared" si="47"/>
        <v>0</v>
      </c>
      <c r="S87" s="614">
        <f t="shared" si="48"/>
        <v>0</v>
      </c>
      <c r="T87" s="197"/>
      <c r="U87" s="1003">
        <f t="shared" si="15"/>
        <v>0</v>
      </c>
      <c r="V87" s="328"/>
      <c r="W87" s="1003">
        <f t="shared" si="49"/>
        <v>0</v>
      </c>
      <c r="X87" s="197"/>
      <c r="Y87" s="1003">
        <f t="shared" si="33"/>
        <v>0</v>
      </c>
      <c r="Z87" s="328">
        <f t="shared" si="34"/>
        <v>0</v>
      </c>
      <c r="AA87" s="337"/>
      <c r="AB87" s="1003">
        <f t="shared" si="35"/>
        <v>0</v>
      </c>
      <c r="AC87" s="328">
        <f t="shared" si="36"/>
        <v>0</v>
      </c>
      <c r="AD87" s="392">
        <v>1</v>
      </c>
      <c r="AE87" s="392"/>
      <c r="AF87" s="1004">
        <f t="shared" si="37"/>
        <v>0</v>
      </c>
      <c r="AG87" s="1005" t="str">
        <f t="shared" si="38"/>
        <v>No Alert</v>
      </c>
      <c r="AH87" s="1003">
        <f t="shared" si="16"/>
        <v>0</v>
      </c>
      <c r="AI87" s="328"/>
      <c r="AJ87" s="197"/>
      <c r="AK87" s="239" t="s">
        <v>125</v>
      </c>
      <c r="AL87" s="240"/>
      <c r="AM87" s="239" t="s">
        <v>185</v>
      </c>
      <c r="AN87" s="240"/>
      <c r="AO87" s="239" t="s">
        <v>411</v>
      </c>
      <c r="AP87" s="240"/>
      <c r="AQ87" s="239" t="s">
        <v>3</v>
      </c>
      <c r="AR87" s="241" t="str">
        <f t="shared" si="39"/>
        <v/>
      </c>
      <c r="AS87" s="239" t="s">
        <v>125</v>
      </c>
      <c r="AT87" s="240"/>
      <c r="AU87" s="239" t="s">
        <v>348</v>
      </c>
      <c r="AV87" s="240"/>
      <c r="AW87" s="1006">
        <f>TOV!$F$459</f>
        <v>120.44708803025631</v>
      </c>
      <c r="AX87" s="1006">
        <f t="shared" si="17"/>
        <v>5.3318476521729101</v>
      </c>
      <c r="AY87" s="1006">
        <f>Subrates!$D$117</f>
        <v>5852.5683548844463</v>
      </c>
      <c r="AZ87" s="1006">
        <f>Subrates!$D$118</f>
        <v>1600.8579286570243</v>
      </c>
      <c r="BA87" s="1006">
        <f t="shared" si="40"/>
        <v>1.9221853757639424</v>
      </c>
      <c r="BB87" s="1006">
        <f t="shared" si="18"/>
        <v>4.8064250364478198</v>
      </c>
      <c r="BC87" s="1006">
        <f t="shared" si="41"/>
        <v>1655.5</v>
      </c>
      <c r="BD87" s="1006">
        <f t="shared" si="42"/>
        <v>4196.5</v>
      </c>
      <c r="BE87" s="1006">
        <f>TOV!$F$518</f>
        <v>35075.581888424982</v>
      </c>
      <c r="BF87" s="1006">
        <f>TOV!$F$519</f>
        <v>3964.5309116330122</v>
      </c>
      <c r="BG87" s="351">
        <f t="shared" si="19"/>
        <v>0</v>
      </c>
      <c r="BH87" s="351">
        <f t="shared" si="20"/>
        <v>0</v>
      </c>
      <c r="BI87" s="351">
        <f t="shared" si="21"/>
        <v>0</v>
      </c>
      <c r="BJ87" s="351">
        <f t="shared" si="22"/>
        <v>0</v>
      </c>
      <c r="BK87" s="351">
        <f t="shared" si="23"/>
        <v>0</v>
      </c>
      <c r="BL87" s="351">
        <f t="shared" si="24"/>
        <v>0</v>
      </c>
      <c r="BM87" s="351">
        <f t="shared" si="43"/>
        <v>0</v>
      </c>
      <c r="BN87" s="351">
        <f t="shared" si="25"/>
        <v>0</v>
      </c>
      <c r="BO87" s="351">
        <f t="shared" si="26"/>
        <v>0</v>
      </c>
      <c r="BP87" s="1007">
        <f t="shared" si="44"/>
        <v>0</v>
      </c>
      <c r="BQ87" s="1008" t="str">
        <f t="shared" si="27"/>
        <v>Enter ML</v>
      </c>
      <c r="BR87" s="1008" t="str">
        <f t="shared" si="28"/>
        <v>Enter area</v>
      </c>
      <c r="BS87" s="1009">
        <f t="shared" si="29"/>
        <v>0</v>
      </c>
      <c r="BT87" s="1010" t="str">
        <f t="shared" si="45"/>
        <v>No Alert</v>
      </c>
      <c r="EZ87" s="1011"/>
      <c r="FB87" s="975"/>
      <c r="FF87" s="976"/>
    </row>
    <row r="88" spans="2:162" s="495" customFormat="1" ht="15">
      <c r="B88" s="310"/>
      <c r="C88" s="824">
        <f t="shared" si="30"/>
        <v>20</v>
      </c>
      <c r="D88" s="175"/>
      <c r="E88" s="255"/>
      <c r="F88" s="1027"/>
      <c r="G88" s="197"/>
      <c r="H88" s="174"/>
      <c r="I88" s="328"/>
      <c r="J88" s="328"/>
      <c r="K88" s="174" t="s">
        <v>167</v>
      </c>
      <c r="L88" s="328"/>
      <c r="M88" s="1003">
        <f t="shared" si="46"/>
        <v>0</v>
      </c>
      <c r="N88" s="577" t="str">
        <f t="shared" si="31"/>
        <v>No Alert</v>
      </c>
      <c r="O88" s="197"/>
      <c r="P88" s="197"/>
      <c r="Q88" s="197"/>
      <c r="R88" s="614">
        <f t="shared" si="47"/>
        <v>0</v>
      </c>
      <c r="S88" s="614">
        <f t="shared" si="48"/>
        <v>0</v>
      </c>
      <c r="T88" s="197"/>
      <c r="U88" s="1003">
        <f t="shared" si="15"/>
        <v>0</v>
      </c>
      <c r="V88" s="328"/>
      <c r="W88" s="1003">
        <f t="shared" si="49"/>
        <v>0</v>
      </c>
      <c r="X88" s="197"/>
      <c r="Y88" s="1003">
        <f t="shared" si="33"/>
        <v>0</v>
      </c>
      <c r="Z88" s="328">
        <f t="shared" si="34"/>
        <v>0</v>
      </c>
      <c r="AA88" s="337"/>
      <c r="AB88" s="1003">
        <f t="shared" si="35"/>
        <v>0</v>
      </c>
      <c r="AC88" s="328">
        <f t="shared" si="36"/>
        <v>0</v>
      </c>
      <c r="AD88" s="392">
        <v>1</v>
      </c>
      <c r="AE88" s="392"/>
      <c r="AF88" s="1004">
        <f t="shared" si="37"/>
        <v>0</v>
      </c>
      <c r="AG88" s="1005" t="str">
        <f t="shared" si="38"/>
        <v>No Alert</v>
      </c>
      <c r="AH88" s="1003">
        <f t="shared" si="16"/>
        <v>0</v>
      </c>
      <c r="AI88" s="328"/>
      <c r="AJ88" s="197"/>
      <c r="AK88" s="239" t="s">
        <v>125</v>
      </c>
      <c r="AL88" s="240"/>
      <c r="AM88" s="239" t="s">
        <v>185</v>
      </c>
      <c r="AN88" s="240"/>
      <c r="AO88" s="239" t="s">
        <v>411</v>
      </c>
      <c r="AP88" s="240"/>
      <c r="AQ88" s="239" t="s">
        <v>3</v>
      </c>
      <c r="AR88" s="241" t="str">
        <f t="shared" si="39"/>
        <v/>
      </c>
      <c r="AS88" s="239" t="s">
        <v>125</v>
      </c>
      <c r="AT88" s="240"/>
      <c r="AU88" s="239" t="s">
        <v>348</v>
      </c>
      <c r="AV88" s="240"/>
      <c r="AW88" s="1006">
        <f>TOV!$F$459</f>
        <v>120.44708803025631</v>
      </c>
      <c r="AX88" s="1006">
        <f t="shared" si="17"/>
        <v>5.3318476521729101</v>
      </c>
      <c r="AY88" s="1006">
        <f>Subrates!$D$117</f>
        <v>5852.5683548844463</v>
      </c>
      <c r="AZ88" s="1006">
        <f>Subrates!$D$118</f>
        <v>1600.8579286570243</v>
      </c>
      <c r="BA88" s="1006">
        <f t="shared" si="40"/>
        <v>1.9221853757639424</v>
      </c>
      <c r="BB88" s="1006">
        <f t="shared" si="18"/>
        <v>4.8064250364478198</v>
      </c>
      <c r="BC88" s="1006">
        <f t="shared" si="41"/>
        <v>1655.5</v>
      </c>
      <c r="BD88" s="1006">
        <f t="shared" si="42"/>
        <v>4196.5</v>
      </c>
      <c r="BE88" s="1006">
        <f>TOV!$F$518</f>
        <v>35075.581888424982</v>
      </c>
      <c r="BF88" s="1006">
        <f>TOV!$F$519</f>
        <v>3964.5309116330122</v>
      </c>
      <c r="BG88" s="351">
        <f t="shared" si="19"/>
        <v>0</v>
      </c>
      <c r="BH88" s="351">
        <f t="shared" si="20"/>
        <v>0</v>
      </c>
      <c r="BI88" s="351">
        <f t="shared" si="21"/>
        <v>0</v>
      </c>
      <c r="BJ88" s="351">
        <f t="shared" si="22"/>
        <v>0</v>
      </c>
      <c r="BK88" s="351">
        <f t="shared" si="23"/>
        <v>0</v>
      </c>
      <c r="BL88" s="351">
        <f t="shared" si="24"/>
        <v>0</v>
      </c>
      <c r="BM88" s="351">
        <f t="shared" si="43"/>
        <v>0</v>
      </c>
      <c r="BN88" s="351">
        <f t="shared" si="25"/>
        <v>0</v>
      </c>
      <c r="BO88" s="351">
        <f t="shared" si="26"/>
        <v>0</v>
      </c>
      <c r="BP88" s="1007">
        <f t="shared" si="44"/>
        <v>0</v>
      </c>
      <c r="BQ88" s="1008" t="str">
        <f t="shared" si="27"/>
        <v>Enter ML</v>
      </c>
      <c r="BR88" s="1008" t="str">
        <f t="shared" si="28"/>
        <v>Enter area</v>
      </c>
      <c r="BS88" s="1009">
        <f t="shared" si="29"/>
        <v>0</v>
      </c>
      <c r="BT88" s="1010" t="str">
        <f t="shared" si="45"/>
        <v>No Alert</v>
      </c>
      <c r="EZ88" s="1011"/>
      <c r="FB88" s="975"/>
      <c r="FF88" s="976"/>
    </row>
    <row r="89" spans="2:162" s="495" customFormat="1" ht="15">
      <c r="B89" s="310"/>
      <c r="C89" s="824">
        <f t="shared" si="30"/>
        <v>21</v>
      </c>
      <c r="D89" s="175"/>
      <c r="E89" s="255"/>
      <c r="F89" s="1027"/>
      <c r="G89" s="197"/>
      <c r="H89" s="174"/>
      <c r="I89" s="328"/>
      <c r="J89" s="328"/>
      <c r="K89" s="174" t="s">
        <v>167</v>
      </c>
      <c r="L89" s="328"/>
      <c r="M89" s="1003">
        <f t="shared" si="46"/>
        <v>0</v>
      </c>
      <c r="N89" s="577" t="str">
        <f t="shared" si="31"/>
        <v>No Alert</v>
      </c>
      <c r="O89" s="197"/>
      <c r="P89" s="197"/>
      <c r="Q89" s="197"/>
      <c r="R89" s="614">
        <f t="shared" si="47"/>
        <v>0</v>
      </c>
      <c r="S89" s="614">
        <f t="shared" si="48"/>
        <v>0</v>
      </c>
      <c r="T89" s="197"/>
      <c r="U89" s="1003">
        <f t="shared" si="15"/>
        <v>0</v>
      </c>
      <c r="V89" s="328"/>
      <c r="W89" s="1003">
        <f t="shared" si="49"/>
        <v>0</v>
      </c>
      <c r="X89" s="197"/>
      <c r="Y89" s="1003">
        <f t="shared" si="33"/>
        <v>0</v>
      </c>
      <c r="Z89" s="328">
        <f t="shared" si="34"/>
        <v>0</v>
      </c>
      <c r="AA89" s="337"/>
      <c r="AB89" s="1003">
        <f t="shared" si="35"/>
        <v>0</v>
      </c>
      <c r="AC89" s="328">
        <f t="shared" si="36"/>
        <v>0</v>
      </c>
      <c r="AD89" s="392">
        <v>1</v>
      </c>
      <c r="AE89" s="392"/>
      <c r="AF89" s="1004">
        <f t="shared" si="37"/>
        <v>0</v>
      </c>
      <c r="AG89" s="1005" t="str">
        <f t="shared" si="38"/>
        <v>No Alert</v>
      </c>
      <c r="AH89" s="1003">
        <f t="shared" si="16"/>
        <v>0</v>
      </c>
      <c r="AI89" s="328"/>
      <c r="AJ89" s="197"/>
      <c r="AK89" s="239" t="s">
        <v>125</v>
      </c>
      <c r="AL89" s="240"/>
      <c r="AM89" s="239" t="s">
        <v>185</v>
      </c>
      <c r="AN89" s="240"/>
      <c r="AO89" s="239" t="s">
        <v>411</v>
      </c>
      <c r="AP89" s="240"/>
      <c r="AQ89" s="239" t="s">
        <v>3</v>
      </c>
      <c r="AR89" s="241" t="str">
        <f t="shared" si="39"/>
        <v/>
      </c>
      <c r="AS89" s="239" t="s">
        <v>125</v>
      </c>
      <c r="AT89" s="240"/>
      <c r="AU89" s="239" t="s">
        <v>348</v>
      </c>
      <c r="AV89" s="240"/>
      <c r="AW89" s="1006">
        <f>TOV!$F$459</f>
        <v>120.44708803025631</v>
      </c>
      <c r="AX89" s="1006">
        <f t="shared" si="17"/>
        <v>5.3318476521729101</v>
      </c>
      <c r="AY89" s="1006">
        <f>Subrates!$D$117</f>
        <v>5852.5683548844463</v>
      </c>
      <c r="AZ89" s="1006">
        <f>Subrates!$D$118</f>
        <v>1600.8579286570243</v>
      </c>
      <c r="BA89" s="1006">
        <f t="shared" si="40"/>
        <v>1.9221853757639424</v>
      </c>
      <c r="BB89" s="1006">
        <f t="shared" si="18"/>
        <v>4.8064250364478198</v>
      </c>
      <c r="BC89" s="1006">
        <f t="shared" si="41"/>
        <v>1655.5</v>
      </c>
      <c r="BD89" s="1006">
        <f t="shared" si="42"/>
        <v>4196.5</v>
      </c>
      <c r="BE89" s="1006">
        <f>TOV!$F$518</f>
        <v>35075.581888424982</v>
      </c>
      <c r="BF89" s="1006">
        <f>TOV!$F$519</f>
        <v>3964.5309116330122</v>
      </c>
      <c r="BG89" s="351">
        <f t="shared" si="19"/>
        <v>0</v>
      </c>
      <c r="BH89" s="351">
        <f t="shared" si="20"/>
        <v>0</v>
      </c>
      <c r="BI89" s="351">
        <f t="shared" si="21"/>
        <v>0</v>
      </c>
      <c r="BJ89" s="351">
        <f t="shared" si="22"/>
        <v>0</v>
      </c>
      <c r="BK89" s="351">
        <f t="shared" si="23"/>
        <v>0</v>
      </c>
      <c r="BL89" s="351">
        <f t="shared" si="24"/>
        <v>0</v>
      </c>
      <c r="BM89" s="351">
        <f t="shared" si="43"/>
        <v>0</v>
      </c>
      <c r="BN89" s="351">
        <f t="shared" si="25"/>
        <v>0</v>
      </c>
      <c r="BO89" s="351">
        <f t="shared" si="26"/>
        <v>0</v>
      </c>
      <c r="BP89" s="1007">
        <f t="shared" si="44"/>
        <v>0</v>
      </c>
      <c r="BQ89" s="1008" t="str">
        <f t="shared" si="27"/>
        <v>Enter ML</v>
      </c>
      <c r="BR89" s="1008" t="str">
        <f t="shared" si="28"/>
        <v>Enter area</v>
      </c>
      <c r="BS89" s="1009">
        <f t="shared" si="29"/>
        <v>0</v>
      </c>
      <c r="BT89" s="1010" t="str">
        <f t="shared" si="45"/>
        <v>No Alert</v>
      </c>
      <c r="EZ89" s="1011"/>
      <c r="FB89" s="975"/>
      <c r="FF89" s="976"/>
    </row>
    <row r="90" spans="2:162" s="495" customFormat="1" ht="15">
      <c r="B90" s="310"/>
      <c r="C90" s="824">
        <f t="shared" si="30"/>
        <v>22</v>
      </c>
      <c r="D90" s="175"/>
      <c r="E90" s="255"/>
      <c r="F90" s="1027"/>
      <c r="G90" s="197"/>
      <c r="H90" s="174"/>
      <c r="I90" s="328"/>
      <c r="J90" s="328"/>
      <c r="K90" s="174" t="s">
        <v>167</v>
      </c>
      <c r="L90" s="328"/>
      <c r="M90" s="1003">
        <f t="shared" si="46"/>
        <v>0</v>
      </c>
      <c r="N90" s="577" t="str">
        <f t="shared" si="31"/>
        <v>No Alert</v>
      </c>
      <c r="O90" s="197"/>
      <c r="P90" s="197"/>
      <c r="Q90" s="197"/>
      <c r="R90" s="614">
        <f t="shared" si="47"/>
        <v>0</v>
      </c>
      <c r="S90" s="614">
        <f t="shared" si="48"/>
        <v>0</v>
      </c>
      <c r="T90" s="197"/>
      <c r="U90" s="1003">
        <f t="shared" si="15"/>
        <v>0</v>
      </c>
      <c r="V90" s="328"/>
      <c r="W90" s="1003">
        <f t="shared" si="49"/>
        <v>0</v>
      </c>
      <c r="X90" s="197"/>
      <c r="Y90" s="1003">
        <f t="shared" si="33"/>
        <v>0</v>
      </c>
      <c r="Z90" s="328">
        <f t="shared" si="34"/>
        <v>0</v>
      </c>
      <c r="AA90" s="337"/>
      <c r="AB90" s="1003">
        <f t="shared" si="35"/>
        <v>0</v>
      </c>
      <c r="AC90" s="328">
        <f t="shared" si="36"/>
        <v>0</v>
      </c>
      <c r="AD90" s="392">
        <v>1</v>
      </c>
      <c r="AE90" s="392"/>
      <c r="AF90" s="1004">
        <f t="shared" si="37"/>
        <v>0</v>
      </c>
      <c r="AG90" s="1005" t="str">
        <f t="shared" si="38"/>
        <v>No Alert</v>
      </c>
      <c r="AH90" s="1003">
        <f t="shared" si="16"/>
        <v>0</v>
      </c>
      <c r="AI90" s="328"/>
      <c r="AJ90" s="197"/>
      <c r="AK90" s="239" t="s">
        <v>125</v>
      </c>
      <c r="AL90" s="240"/>
      <c r="AM90" s="239" t="s">
        <v>185</v>
      </c>
      <c r="AN90" s="240"/>
      <c r="AO90" s="239" t="s">
        <v>411</v>
      </c>
      <c r="AP90" s="240"/>
      <c r="AQ90" s="239" t="s">
        <v>3</v>
      </c>
      <c r="AR90" s="241" t="str">
        <f t="shared" si="39"/>
        <v/>
      </c>
      <c r="AS90" s="239" t="s">
        <v>125</v>
      </c>
      <c r="AT90" s="240"/>
      <c r="AU90" s="239" t="s">
        <v>348</v>
      </c>
      <c r="AV90" s="240"/>
      <c r="AW90" s="1006">
        <f>TOV!$F$459</f>
        <v>120.44708803025631</v>
      </c>
      <c r="AX90" s="1006">
        <f t="shared" si="17"/>
        <v>5.3318476521729101</v>
      </c>
      <c r="AY90" s="1006">
        <f>Subrates!$D$117</f>
        <v>5852.5683548844463</v>
      </c>
      <c r="AZ90" s="1006">
        <f>Subrates!$D$118</f>
        <v>1600.8579286570243</v>
      </c>
      <c r="BA90" s="1006">
        <f t="shared" si="40"/>
        <v>1.9221853757639424</v>
      </c>
      <c r="BB90" s="1006">
        <f t="shared" si="18"/>
        <v>4.8064250364478198</v>
      </c>
      <c r="BC90" s="1006">
        <f t="shared" si="41"/>
        <v>1655.5</v>
      </c>
      <c r="BD90" s="1006">
        <f t="shared" si="42"/>
        <v>4196.5</v>
      </c>
      <c r="BE90" s="1006">
        <f>TOV!$F$518</f>
        <v>35075.581888424982</v>
      </c>
      <c r="BF90" s="1006">
        <f>TOV!$F$519</f>
        <v>3964.5309116330122</v>
      </c>
      <c r="BG90" s="351">
        <f t="shared" si="19"/>
        <v>0</v>
      </c>
      <c r="BH90" s="351">
        <f t="shared" si="20"/>
        <v>0</v>
      </c>
      <c r="BI90" s="351">
        <f t="shared" si="21"/>
        <v>0</v>
      </c>
      <c r="BJ90" s="351">
        <f t="shared" si="22"/>
        <v>0</v>
      </c>
      <c r="BK90" s="351">
        <f t="shared" si="23"/>
        <v>0</v>
      </c>
      <c r="BL90" s="351">
        <f t="shared" si="24"/>
        <v>0</v>
      </c>
      <c r="BM90" s="351">
        <f t="shared" si="43"/>
        <v>0</v>
      </c>
      <c r="BN90" s="351">
        <f t="shared" si="25"/>
        <v>0</v>
      </c>
      <c r="BO90" s="351">
        <f t="shared" si="26"/>
        <v>0</v>
      </c>
      <c r="BP90" s="1007">
        <f t="shared" si="44"/>
        <v>0</v>
      </c>
      <c r="BQ90" s="1008" t="str">
        <f t="shared" si="27"/>
        <v>Enter ML</v>
      </c>
      <c r="BR90" s="1008" t="str">
        <f t="shared" si="28"/>
        <v>Enter area</v>
      </c>
      <c r="BS90" s="1009">
        <f t="shared" si="29"/>
        <v>0</v>
      </c>
      <c r="BT90" s="1010" t="str">
        <f t="shared" si="45"/>
        <v>No Alert</v>
      </c>
      <c r="EZ90" s="1011"/>
      <c r="FB90" s="975"/>
      <c r="FF90" s="976"/>
    </row>
    <row r="91" spans="2:162" s="495" customFormat="1" ht="15">
      <c r="B91" s="310"/>
      <c r="C91" s="824">
        <f t="shared" si="30"/>
        <v>23</v>
      </c>
      <c r="D91" s="175"/>
      <c r="E91" s="255"/>
      <c r="F91" s="1027"/>
      <c r="G91" s="197"/>
      <c r="H91" s="174"/>
      <c r="I91" s="328"/>
      <c r="J91" s="328"/>
      <c r="K91" s="174" t="s">
        <v>167</v>
      </c>
      <c r="L91" s="328"/>
      <c r="M91" s="1003">
        <f t="shared" si="46"/>
        <v>0</v>
      </c>
      <c r="N91" s="577" t="str">
        <f t="shared" si="31"/>
        <v>No Alert</v>
      </c>
      <c r="O91" s="197"/>
      <c r="P91" s="197"/>
      <c r="Q91" s="197"/>
      <c r="R91" s="614">
        <f t="shared" si="47"/>
        <v>0</v>
      </c>
      <c r="S91" s="614">
        <f t="shared" si="48"/>
        <v>0</v>
      </c>
      <c r="T91" s="197"/>
      <c r="U91" s="1003">
        <f t="shared" si="15"/>
        <v>0</v>
      </c>
      <c r="V91" s="328"/>
      <c r="W91" s="1003">
        <f t="shared" si="49"/>
        <v>0</v>
      </c>
      <c r="X91" s="197"/>
      <c r="Y91" s="1003">
        <f t="shared" si="33"/>
        <v>0</v>
      </c>
      <c r="Z91" s="328">
        <f t="shared" si="34"/>
        <v>0</v>
      </c>
      <c r="AA91" s="337"/>
      <c r="AB91" s="1003">
        <f t="shared" si="35"/>
        <v>0</v>
      </c>
      <c r="AC91" s="328">
        <f t="shared" si="36"/>
        <v>0</v>
      </c>
      <c r="AD91" s="392">
        <v>1</v>
      </c>
      <c r="AE91" s="392"/>
      <c r="AF91" s="1004">
        <f t="shared" si="37"/>
        <v>0</v>
      </c>
      <c r="AG91" s="1005" t="str">
        <f t="shared" si="38"/>
        <v>No Alert</v>
      </c>
      <c r="AH91" s="1003">
        <f t="shared" si="16"/>
        <v>0</v>
      </c>
      <c r="AI91" s="328"/>
      <c r="AJ91" s="197"/>
      <c r="AK91" s="239" t="s">
        <v>125</v>
      </c>
      <c r="AL91" s="240"/>
      <c r="AM91" s="239" t="s">
        <v>185</v>
      </c>
      <c r="AN91" s="240"/>
      <c r="AO91" s="239" t="s">
        <v>411</v>
      </c>
      <c r="AP91" s="240"/>
      <c r="AQ91" s="239" t="s">
        <v>3</v>
      </c>
      <c r="AR91" s="241" t="str">
        <f t="shared" si="39"/>
        <v/>
      </c>
      <c r="AS91" s="239" t="s">
        <v>125</v>
      </c>
      <c r="AT91" s="240"/>
      <c r="AU91" s="239" t="s">
        <v>348</v>
      </c>
      <c r="AV91" s="240"/>
      <c r="AW91" s="1006">
        <f>TOV!$F$459</f>
        <v>120.44708803025631</v>
      </c>
      <c r="AX91" s="1006">
        <f t="shared" si="17"/>
        <v>5.3318476521729101</v>
      </c>
      <c r="AY91" s="1006">
        <f>Subrates!$D$117</f>
        <v>5852.5683548844463</v>
      </c>
      <c r="AZ91" s="1006">
        <f>Subrates!$D$118</f>
        <v>1600.8579286570243</v>
      </c>
      <c r="BA91" s="1006">
        <f t="shared" si="40"/>
        <v>1.9221853757639424</v>
      </c>
      <c r="BB91" s="1006">
        <f t="shared" si="18"/>
        <v>4.8064250364478198</v>
      </c>
      <c r="BC91" s="1006">
        <f t="shared" si="41"/>
        <v>1655.5</v>
      </c>
      <c r="BD91" s="1006">
        <f t="shared" si="42"/>
        <v>4196.5</v>
      </c>
      <c r="BE91" s="1006">
        <f>TOV!$F$518</f>
        <v>35075.581888424982</v>
      </c>
      <c r="BF91" s="1006">
        <f>TOV!$F$519</f>
        <v>3964.5309116330122</v>
      </c>
      <c r="BG91" s="351">
        <f t="shared" si="19"/>
        <v>0</v>
      </c>
      <c r="BH91" s="351">
        <f t="shared" si="20"/>
        <v>0</v>
      </c>
      <c r="BI91" s="351">
        <f t="shared" si="21"/>
        <v>0</v>
      </c>
      <c r="BJ91" s="351">
        <f t="shared" si="22"/>
        <v>0</v>
      </c>
      <c r="BK91" s="351">
        <f t="shared" si="23"/>
        <v>0</v>
      </c>
      <c r="BL91" s="351">
        <f t="shared" si="24"/>
        <v>0</v>
      </c>
      <c r="BM91" s="351">
        <f t="shared" si="43"/>
        <v>0</v>
      </c>
      <c r="BN91" s="351">
        <f t="shared" si="25"/>
        <v>0</v>
      </c>
      <c r="BO91" s="351">
        <f t="shared" si="26"/>
        <v>0</v>
      </c>
      <c r="BP91" s="1007">
        <f t="shared" si="44"/>
        <v>0</v>
      </c>
      <c r="BQ91" s="1008" t="str">
        <f t="shared" si="27"/>
        <v>Enter ML</v>
      </c>
      <c r="BR91" s="1008" t="str">
        <f t="shared" si="28"/>
        <v>Enter area</v>
      </c>
      <c r="BS91" s="1009">
        <f t="shared" si="29"/>
        <v>0</v>
      </c>
      <c r="BT91" s="1010" t="str">
        <f t="shared" si="45"/>
        <v>No Alert</v>
      </c>
      <c r="EZ91" s="1011"/>
      <c r="FB91" s="975"/>
      <c r="FF91" s="976"/>
    </row>
    <row r="92" spans="2:162" s="495" customFormat="1" ht="15">
      <c r="B92" s="310"/>
      <c r="C92" s="824">
        <f t="shared" si="30"/>
        <v>24</v>
      </c>
      <c r="D92" s="175"/>
      <c r="E92" s="255"/>
      <c r="F92" s="1027"/>
      <c r="G92" s="197"/>
      <c r="H92" s="174"/>
      <c r="I92" s="328"/>
      <c r="J92" s="328"/>
      <c r="K92" s="174" t="s">
        <v>167</v>
      </c>
      <c r="L92" s="328"/>
      <c r="M92" s="1003">
        <f t="shared" si="46"/>
        <v>0</v>
      </c>
      <c r="N92" s="577" t="str">
        <f t="shared" si="31"/>
        <v>No Alert</v>
      </c>
      <c r="O92" s="197"/>
      <c r="P92" s="197"/>
      <c r="Q92" s="197"/>
      <c r="R92" s="614">
        <f t="shared" si="47"/>
        <v>0</v>
      </c>
      <c r="S92" s="614">
        <f t="shared" si="48"/>
        <v>0</v>
      </c>
      <c r="T92" s="197"/>
      <c r="U92" s="1003">
        <f t="shared" si="15"/>
        <v>0</v>
      </c>
      <c r="V92" s="328"/>
      <c r="W92" s="1003">
        <f t="shared" si="49"/>
        <v>0</v>
      </c>
      <c r="X92" s="197"/>
      <c r="Y92" s="1003">
        <f t="shared" si="33"/>
        <v>0</v>
      </c>
      <c r="Z92" s="328">
        <f t="shared" si="34"/>
        <v>0</v>
      </c>
      <c r="AA92" s="337"/>
      <c r="AB92" s="1003">
        <f t="shared" si="35"/>
        <v>0</v>
      </c>
      <c r="AC92" s="328">
        <f t="shared" si="36"/>
        <v>0</v>
      </c>
      <c r="AD92" s="392">
        <v>1</v>
      </c>
      <c r="AE92" s="392"/>
      <c r="AF92" s="1004">
        <f t="shared" si="37"/>
        <v>0</v>
      </c>
      <c r="AG92" s="1005" t="str">
        <f t="shared" si="38"/>
        <v>No Alert</v>
      </c>
      <c r="AH92" s="1003">
        <f t="shared" si="16"/>
        <v>0</v>
      </c>
      <c r="AI92" s="328"/>
      <c r="AJ92" s="197"/>
      <c r="AK92" s="239" t="s">
        <v>125</v>
      </c>
      <c r="AL92" s="240"/>
      <c r="AM92" s="239" t="s">
        <v>185</v>
      </c>
      <c r="AN92" s="240"/>
      <c r="AO92" s="239" t="s">
        <v>411</v>
      </c>
      <c r="AP92" s="240"/>
      <c r="AQ92" s="239" t="s">
        <v>3</v>
      </c>
      <c r="AR92" s="241" t="str">
        <f t="shared" si="39"/>
        <v/>
      </c>
      <c r="AS92" s="239" t="s">
        <v>125</v>
      </c>
      <c r="AT92" s="240"/>
      <c r="AU92" s="239" t="s">
        <v>348</v>
      </c>
      <c r="AV92" s="240"/>
      <c r="AW92" s="1006">
        <f>TOV!$F$459</f>
        <v>120.44708803025631</v>
      </c>
      <c r="AX92" s="1006">
        <f t="shared" si="17"/>
        <v>5.3318476521729101</v>
      </c>
      <c r="AY92" s="1006">
        <f>Subrates!$D$117</f>
        <v>5852.5683548844463</v>
      </c>
      <c r="AZ92" s="1006">
        <f>Subrates!$D$118</f>
        <v>1600.8579286570243</v>
      </c>
      <c r="BA92" s="1006">
        <f t="shared" si="40"/>
        <v>1.9221853757639424</v>
      </c>
      <c r="BB92" s="1006">
        <f t="shared" si="18"/>
        <v>4.8064250364478198</v>
      </c>
      <c r="BC92" s="1006">
        <f t="shared" si="41"/>
        <v>1655.5</v>
      </c>
      <c r="BD92" s="1006">
        <f t="shared" si="42"/>
        <v>4196.5</v>
      </c>
      <c r="BE92" s="1006">
        <f>TOV!$F$518</f>
        <v>35075.581888424982</v>
      </c>
      <c r="BF92" s="1006">
        <f>TOV!$F$519</f>
        <v>3964.5309116330122</v>
      </c>
      <c r="BG92" s="351">
        <f t="shared" si="19"/>
        <v>0</v>
      </c>
      <c r="BH92" s="351">
        <f t="shared" si="20"/>
        <v>0</v>
      </c>
      <c r="BI92" s="351">
        <f t="shared" si="21"/>
        <v>0</v>
      </c>
      <c r="BJ92" s="351">
        <f t="shared" si="22"/>
        <v>0</v>
      </c>
      <c r="BK92" s="351">
        <f t="shared" si="23"/>
        <v>0</v>
      </c>
      <c r="BL92" s="351">
        <f t="shared" si="24"/>
        <v>0</v>
      </c>
      <c r="BM92" s="351">
        <f t="shared" si="43"/>
        <v>0</v>
      </c>
      <c r="BN92" s="351">
        <f t="shared" si="25"/>
        <v>0</v>
      </c>
      <c r="BO92" s="351">
        <f t="shared" si="26"/>
        <v>0</v>
      </c>
      <c r="BP92" s="1007">
        <f t="shared" si="44"/>
        <v>0</v>
      </c>
      <c r="BQ92" s="1008" t="str">
        <f t="shared" si="27"/>
        <v>Enter ML</v>
      </c>
      <c r="BR92" s="1008" t="str">
        <f t="shared" si="28"/>
        <v>Enter area</v>
      </c>
      <c r="BS92" s="1009">
        <f t="shared" si="29"/>
        <v>0</v>
      </c>
      <c r="BT92" s="1010" t="str">
        <f t="shared" si="45"/>
        <v>No Alert</v>
      </c>
      <c r="EZ92" s="1011"/>
      <c r="FB92" s="975"/>
      <c r="FF92" s="976"/>
    </row>
    <row r="93" spans="2:162" s="495" customFormat="1" ht="15">
      <c r="B93" s="310"/>
      <c r="C93" s="824">
        <f t="shared" si="30"/>
        <v>25</v>
      </c>
      <c r="D93" s="175"/>
      <c r="E93" s="255"/>
      <c r="F93" s="1027"/>
      <c r="G93" s="197"/>
      <c r="H93" s="174"/>
      <c r="I93" s="328"/>
      <c r="J93" s="328"/>
      <c r="K93" s="174" t="s">
        <v>167</v>
      </c>
      <c r="L93" s="328"/>
      <c r="M93" s="1003">
        <f t="shared" si="46"/>
        <v>0</v>
      </c>
      <c r="N93" s="577" t="str">
        <f t="shared" si="31"/>
        <v>No Alert</v>
      </c>
      <c r="O93" s="197"/>
      <c r="P93" s="197"/>
      <c r="Q93" s="197"/>
      <c r="R93" s="614">
        <f t="shared" si="47"/>
        <v>0</v>
      </c>
      <c r="S93" s="614">
        <f t="shared" si="48"/>
        <v>0</v>
      </c>
      <c r="T93" s="197"/>
      <c r="U93" s="1003">
        <f t="shared" si="15"/>
        <v>0</v>
      </c>
      <c r="V93" s="328"/>
      <c r="W93" s="1003">
        <f t="shared" si="49"/>
        <v>0</v>
      </c>
      <c r="X93" s="197"/>
      <c r="Y93" s="1003">
        <f t="shared" si="33"/>
        <v>0</v>
      </c>
      <c r="Z93" s="328">
        <f t="shared" si="34"/>
        <v>0</v>
      </c>
      <c r="AA93" s="337"/>
      <c r="AB93" s="1003">
        <f t="shared" si="35"/>
        <v>0</v>
      </c>
      <c r="AC93" s="328">
        <f t="shared" si="36"/>
        <v>0</v>
      </c>
      <c r="AD93" s="392">
        <v>1</v>
      </c>
      <c r="AE93" s="392"/>
      <c r="AF93" s="1004">
        <f t="shared" si="37"/>
        <v>0</v>
      </c>
      <c r="AG93" s="1005" t="str">
        <f t="shared" si="38"/>
        <v>No Alert</v>
      </c>
      <c r="AH93" s="1003">
        <f t="shared" si="16"/>
        <v>0</v>
      </c>
      <c r="AI93" s="328"/>
      <c r="AJ93" s="197"/>
      <c r="AK93" s="239" t="s">
        <v>125</v>
      </c>
      <c r="AL93" s="240"/>
      <c r="AM93" s="239" t="s">
        <v>185</v>
      </c>
      <c r="AN93" s="240"/>
      <c r="AO93" s="239" t="s">
        <v>411</v>
      </c>
      <c r="AP93" s="240"/>
      <c r="AQ93" s="239" t="s">
        <v>3</v>
      </c>
      <c r="AR93" s="241" t="str">
        <f t="shared" si="39"/>
        <v/>
      </c>
      <c r="AS93" s="239" t="s">
        <v>125</v>
      </c>
      <c r="AT93" s="240"/>
      <c r="AU93" s="239" t="s">
        <v>348</v>
      </c>
      <c r="AV93" s="240"/>
      <c r="AW93" s="1006">
        <f>TOV!$F$459</f>
        <v>120.44708803025631</v>
      </c>
      <c r="AX93" s="1006">
        <f t="shared" si="17"/>
        <v>5.3318476521729101</v>
      </c>
      <c r="AY93" s="1006">
        <f>Subrates!$D$117</f>
        <v>5852.5683548844463</v>
      </c>
      <c r="AZ93" s="1006">
        <f>Subrates!$D$118</f>
        <v>1600.8579286570243</v>
      </c>
      <c r="BA93" s="1006">
        <f t="shared" si="40"/>
        <v>1.9221853757639424</v>
      </c>
      <c r="BB93" s="1006">
        <f t="shared" si="18"/>
        <v>4.8064250364478198</v>
      </c>
      <c r="BC93" s="1006">
        <f t="shared" si="41"/>
        <v>1655.5</v>
      </c>
      <c r="BD93" s="1006">
        <f t="shared" si="42"/>
        <v>4196.5</v>
      </c>
      <c r="BE93" s="1006">
        <f>TOV!$F$518</f>
        <v>35075.581888424982</v>
      </c>
      <c r="BF93" s="1006">
        <f>TOV!$F$519</f>
        <v>3964.5309116330122</v>
      </c>
      <c r="BG93" s="351">
        <f t="shared" si="19"/>
        <v>0</v>
      </c>
      <c r="BH93" s="351">
        <f t="shared" si="20"/>
        <v>0</v>
      </c>
      <c r="BI93" s="351">
        <f t="shared" si="21"/>
        <v>0</v>
      </c>
      <c r="BJ93" s="351">
        <f t="shared" si="22"/>
        <v>0</v>
      </c>
      <c r="BK93" s="351">
        <f t="shared" si="23"/>
        <v>0</v>
      </c>
      <c r="BL93" s="351">
        <f t="shared" si="24"/>
        <v>0</v>
      </c>
      <c r="BM93" s="351">
        <f t="shared" si="43"/>
        <v>0</v>
      </c>
      <c r="BN93" s="351">
        <f t="shared" si="25"/>
        <v>0</v>
      </c>
      <c r="BO93" s="351">
        <f t="shared" si="26"/>
        <v>0</v>
      </c>
      <c r="BP93" s="1007">
        <f t="shared" si="44"/>
        <v>0</v>
      </c>
      <c r="BQ93" s="1008" t="str">
        <f t="shared" si="27"/>
        <v>Enter ML</v>
      </c>
      <c r="BR93" s="1008" t="str">
        <f t="shared" si="28"/>
        <v>Enter area</v>
      </c>
      <c r="BS93" s="1009">
        <f t="shared" si="29"/>
        <v>0</v>
      </c>
      <c r="BT93" s="1010" t="str">
        <f t="shared" si="45"/>
        <v>No Alert</v>
      </c>
      <c r="EZ93" s="1011"/>
      <c r="FB93" s="975"/>
      <c r="FF93" s="976"/>
    </row>
    <row r="94" spans="2:162" s="495" customFormat="1" ht="15">
      <c r="B94" s="310"/>
      <c r="C94" s="824">
        <f t="shared" si="30"/>
        <v>26</v>
      </c>
      <c r="D94" s="175"/>
      <c r="E94" s="255"/>
      <c r="F94" s="1027"/>
      <c r="G94" s="197"/>
      <c r="H94" s="174"/>
      <c r="I94" s="328"/>
      <c r="J94" s="328"/>
      <c r="K94" s="174" t="s">
        <v>167</v>
      </c>
      <c r="L94" s="328"/>
      <c r="M94" s="1003">
        <f t="shared" si="46"/>
        <v>0</v>
      </c>
      <c r="N94" s="577" t="str">
        <f t="shared" si="31"/>
        <v>No Alert</v>
      </c>
      <c r="O94" s="197"/>
      <c r="P94" s="197"/>
      <c r="Q94" s="197"/>
      <c r="R94" s="614">
        <f t="shared" si="47"/>
        <v>0</v>
      </c>
      <c r="S94" s="614">
        <f t="shared" si="48"/>
        <v>0</v>
      </c>
      <c r="T94" s="197"/>
      <c r="U94" s="1003">
        <f t="shared" si="15"/>
        <v>0</v>
      </c>
      <c r="V94" s="328"/>
      <c r="W94" s="1003">
        <f t="shared" si="49"/>
        <v>0</v>
      </c>
      <c r="X94" s="197"/>
      <c r="Y94" s="1003">
        <f t="shared" si="33"/>
        <v>0</v>
      </c>
      <c r="Z94" s="328">
        <f t="shared" si="34"/>
        <v>0</v>
      </c>
      <c r="AA94" s="337"/>
      <c r="AB94" s="1003">
        <f t="shared" si="35"/>
        <v>0</v>
      </c>
      <c r="AC94" s="328">
        <f t="shared" si="36"/>
        <v>0</v>
      </c>
      <c r="AD94" s="392">
        <v>1</v>
      </c>
      <c r="AE94" s="392"/>
      <c r="AF94" s="1004">
        <f t="shared" si="37"/>
        <v>0</v>
      </c>
      <c r="AG94" s="1005" t="str">
        <f t="shared" si="38"/>
        <v>No Alert</v>
      </c>
      <c r="AH94" s="1003">
        <f t="shared" si="16"/>
        <v>0</v>
      </c>
      <c r="AI94" s="328"/>
      <c r="AJ94" s="197"/>
      <c r="AK94" s="239" t="s">
        <v>125</v>
      </c>
      <c r="AL94" s="240"/>
      <c r="AM94" s="239" t="s">
        <v>185</v>
      </c>
      <c r="AN94" s="240"/>
      <c r="AO94" s="239" t="s">
        <v>411</v>
      </c>
      <c r="AP94" s="240"/>
      <c r="AQ94" s="239" t="s">
        <v>3</v>
      </c>
      <c r="AR94" s="241" t="str">
        <f t="shared" si="39"/>
        <v/>
      </c>
      <c r="AS94" s="239" t="s">
        <v>125</v>
      </c>
      <c r="AT94" s="240"/>
      <c r="AU94" s="239" t="s">
        <v>348</v>
      </c>
      <c r="AV94" s="240"/>
      <c r="AW94" s="1006">
        <f>TOV!$F$459</f>
        <v>120.44708803025631</v>
      </c>
      <c r="AX94" s="1006">
        <f t="shared" si="17"/>
        <v>5.3318476521729101</v>
      </c>
      <c r="AY94" s="1006">
        <f>Subrates!$D$117</f>
        <v>5852.5683548844463</v>
      </c>
      <c r="AZ94" s="1006">
        <f>Subrates!$D$118</f>
        <v>1600.8579286570243</v>
      </c>
      <c r="BA94" s="1006">
        <f t="shared" si="40"/>
        <v>1.9221853757639424</v>
      </c>
      <c r="BB94" s="1006">
        <f t="shared" si="18"/>
        <v>4.8064250364478198</v>
      </c>
      <c r="BC94" s="1006">
        <f t="shared" si="41"/>
        <v>1655.5</v>
      </c>
      <c r="BD94" s="1006">
        <f t="shared" si="42"/>
        <v>4196.5</v>
      </c>
      <c r="BE94" s="1006">
        <f>TOV!$F$518</f>
        <v>35075.581888424982</v>
      </c>
      <c r="BF94" s="1006">
        <f>TOV!$F$519</f>
        <v>3964.5309116330122</v>
      </c>
      <c r="BG94" s="351">
        <f t="shared" si="19"/>
        <v>0</v>
      </c>
      <c r="BH94" s="351">
        <f t="shared" si="20"/>
        <v>0</v>
      </c>
      <c r="BI94" s="351">
        <f t="shared" si="21"/>
        <v>0</v>
      </c>
      <c r="BJ94" s="351">
        <f t="shared" si="22"/>
        <v>0</v>
      </c>
      <c r="BK94" s="351">
        <f t="shared" si="23"/>
        <v>0</v>
      </c>
      <c r="BL94" s="351">
        <f t="shared" si="24"/>
        <v>0</v>
      </c>
      <c r="BM94" s="351">
        <f t="shared" si="43"/>
        <v>0</v>
      </c>
      <c r="BN94" s="351">
        <f t="shared" si="25"/>
        <v>0</v>
      </c>
      <c r="BO94" s="351">
        <f t="shared" si="26"/>
        <v>0</v>
      </c>
      <c r="BP94" s="1007">
        <f t="shared" si="44"/>
        <v>0</v>
      </c>
      <c r="BQ94" s="1008" t="str">
        <f t="shared" si="27"/>
        <v>Enter ML</v>
      </c>
      <c r="BR94" s="1008" t="str">
        <f t="shared" si="28"/>
        <v>Enter area</v>
      </c>
      <c r="BS94" s="1009">
        <f t="shared" si="29"/>
        <v>0</v>
      </c>
      <c r="BT94" s="1010" t="str">
        <f t="shared" si="45"/>
        <v>No Alert</v>
      </c>
      <c r="EZ94" s="1011"/>
      <c r="FB94" s="975"/>
      <c r="FF94" s="976"/>
    </row>
    <row r="95" spans="2:162" s="495" customFormat="1" ht="15">
      <c r="B95" s="310"/>
      <c r="C95" s="824">
        <f t="shared" si="30"/>
        <v>27</v>
      </c>
      <c r="D95" s="175"/>
      <c r="E95" s="255"/>
      <c r="F95" s="1027"/>
      <c r="G95" s="197"/>
      <c r="H95" s="174"/>
      <c r="I95" s="328"/>
      <c r="J95" s="328"/>
      <c r="K95" s="174" t="s">
        <v>167</v>
      </c>
      <c r="L95" s="328"/>
      <c r="M95" s="1003">
        <f t="shared" si="46"/>
        <v>0</v>
      </c>
      <c r="N95" s="577" t="str">
        <f t="shared" si="31"/>
        <v>No Alert</v>
      </c>
      <c r="O95" s="197"/>
      <c r="P95" s="197"/>
      <c r="Q95" s="197"/>
      <c r="R95" s="614">
        <f>Q95*O95*2+P95</f>
        <v>0</v>
      </c>
      <c r="S95" s="614">
        <f>P95*O95+2*0.5*(R95-P95)/2</f>
        <v>0</v>
      </c>
      <c r="T95" s="197"/>
      <c r="U95" s="1003">
        <f t="shared" si="15"/>
        <v>0</v>
      </c>
      <c r="V95" s="328"/>
      <c r="W95" s="1003">
        <f t="shared" si="32"/>
        <v>0</v>
      </c>
      <c r="X95" s="197"/>
      <c r="Y95" s="1003">
        <f t="shared" si="33"/>
        <v>0</v>
      </c>
      <c r="Z95" s="328">
        <f t="shared" si="34"/>
        <v>0</v>
      </c>
      <c r="AA95" s="337"/>
      <c r="AB95" s="1003">
        <f t="shared" si="35"/>
        <v>0</v>
      </c>
      <c r="AC95" s="328">
        <f t="shared" si="36"/>
        <v>0</v>
      </c>
      <c r="AD95" s="392">
        <v>1</v>
      </c>
      <c r="AE95" s="392"/>
      <c r="AF95" s="1004">
        <f t="shared" si="37"/>
        <v>0</v>
      </c>
      <c r="AG95" s="1005" t="str">
        <f t="shared" si="38"/>
        <v>No Alert</v>
      </c>
      <c r="AH95" s="1003">
        <f t="shared" si="16"/>
        <v>0</v>
      </c>
      <c r="AI95" s="328"/>
      <c r="AJ95" s="197"/>
      <c r="AK95" s="239" t="s">
        <v>125</v>
      </c>
      <c r="AL95" s="240"/>
      <c r="AM95" s="239" t="s">
        <v>185</v>
      </c>
      <c r="AN95" s="240"/>
      <c r="AO95" s="239" t="s">
        <v>411</v>
      </c>
      <c r="AP95" s="240"/>
      <c r="AQ95" s="239" t="s">
        <v>3</v>
      </c>
      <c r="AR95" s="241" t="str">
        <f t="shared" si="39"/>
        <v/>
      </c>
      <c r="AS95" s="239" t="s">
        <v>125</v>
      </c>
      <c r="AT95" s="240"/>
      <c r="AU95" s="239" t="s">
        <v>348</v>
      </c>
      <c r="AV95" s="240"/>
      <c r="AW95" s="1006">
        <f>TOV!$F$459</f>
        <v>120.44708803025631</v>
      </c>
      <c r="AX95" s="1006">
        <f t="shared" si="17"/>
        <v>5.3318476521729101</v>
      </c>
      <c r="AY95" s="1006">
        <f>Subrates!$D$117</f>
        <v>5852.5683548844463</v>
      </c>
      <c r="AZ95" s="1006">
        <f>Subrates!$D$118</f>
        <v>1600.8579286570243</v>
      </c>
      <c r="BA95" s="1006">
        <f t="shared" si="40"/>
        <v>1.9221853757639424</v>
      </c>
      <c r="BB95" s="1006">
        <f t="shared" si="18"/>
        <v>4.8064250364478198</v>
      </c>
      <c r="BC95" s="1006">
        <f t="shared" si="41"/>
        <v>1655.5</v>
      </c>
      <c r="BD95" s="1006">
        <f t="shared" si="42"/>
        <v>4196.5</v>
      </c>
      <c r="BE95" s="1006">
        <f>TOV!$F$518</f>
        <v>35075.581888424982</v>
      </c>
      <c r="BF95" s="1006">
        <f>TOV!$F$519</f>
        <v>3964.5309116330122</v>
      </c>
      <c r="BG95" s="351">
        <f t="shared" si="19"/>
        <v>0</v>
      </c>
      <c r="BH95" s="351">
        <f t="shared" si="20"/>
        <v>0</v>
      </c>
      <c r="BI95" s="351">
        <f t="shared" si="21"/>
        <v>0</v>
      </c>
      <c r="BJ95" s="351">
        <f t="shared" si="22"/>
        <v>0</v>
      </c>
      <c r="BK95" s="351">
        <f t="shared" si="23"/>
        <v>0</v>
      </c>
      <c r="BL95" s="351">
        <f t="shared" si="24"/>
        <v>0</v>
      </c>
      <c r="BM95" s="351">
        <f t="shared" si="43"/>
        <v>0</v>
      </c>
      <c r="BN95" s="351">
        <f t="shared" si="25"/>
        <v>0</v>
      </c>
      <c r="BO95" s="351">
        <f t="shared" si="26"/>
        <v>0</v>
      </c>
      <c r="BP95" s="1007">
        <f t="shared" si="44"/>
        <v>0</v>
      </c>
      <c r="BQ95" s="1008" t="str">
        <f t="shared" si="27"/>
        <v>Enter ML</v>
      </c>
      <c r="BR95" s="1008" t="str">
        <f t="shared" si="28"/>
        <v>Enter area</v>
      </c>
      <c r="BS95" s="1009">
        <f t="shared" si="29"/>
        <v>0</v>
      </c>
      <c r="BT95" s="1010" t="str">
        <f t="shared" si="45"/>
        <v>No Alert</v>
      </c>
      <c r="EZ95" s="1011"/>
      <c r="FB95" s="975"/>
      <c r="FF95" s="976"/>
    </row>
    <row r="96" spans="2:162" s="495" customFormat="1" ht="15">
      <c r="B96" s="310"/>
      <c r="C96" s="824">
        <f t="shared" si="30"/>
        <v>28</v>
      </c>
      <c r="D96" s="175"/>
      <c r="E96" s="255"/>
      <c r="F96" s="1027"/>
      <c r="G96" s="197"/>
      <c r="H96" s="174"/>
      <c r="I96" s="328"/>
      <c r="J96" s="328"/>
      <c r="K96" s="174" t="s">
        <v>167</v>
      </c>
      <c r="L96" s="328"/>
      <c r="M96" s="1003">
        <f t="shared" si="46"/>
        <v>0</v>
      </c>
      <c r="N96" s="577" t="str">
        <f t="shared" si="31"/>
        <v>No Alert</v>
      </c>
      <c r="O96" s="197"/>
      <c r="P96" s="197"/>
      <c r="Q96" s="197"/>
      <c r="R96" s="614">
        <f>Q96*O96*2+P96</f>
        <v>0</v>
      </c>
      <c r="S96" s="614">
        <f>P96*O96+2*0.5*(R96-P96)/2</f>
        <v>0</v>
      </c>
      <c r="T96" s="197"/>
      <c r="U96" s="1003">
        <f t="shared" si="15"/>
        <v>0</v>
      </c>
      <c r="V96" s="328"/>
      <c r="W96" s="1003">
        <f t="shared" si="32"/>
        <v>0</v>
      </c>
      <c r="X96" s="197"/>
      <c r="Y96" s="1003">
        <f t="shared" si="33"/>
        <v>0</v>
      </c>
      <c r="Z96" s="328">
        <f t="shared" si="34"/>
        <v>0</v>
      </c>
      <c r="AA96" s="337"/>
      <c r="AB96" s="1003">
        <f t="shared" si="35"/>
        <v>0</v>
      </c>
      <c r="AC96" s="328">
        <f t="shared" si="36"/>
        <v>0</v>
      </c>
      <c r="AD96" s="392">
        <v>1</v>
      </c>
      <c r="AE96" s="392"/>
      <c r="AF96" s="1004">
        <f t="shared" si="37"/>
        <v>0</v>
      </c>
      <c r="AG96" s="1005" t="str">
        <f t="shared" si="38"/>
        <v>No Alert</v>
      </c>
      <c r="AH96" s="1003">
        <f t="shared" si="16"/>
        <v>0</v>
      </c>
      <c r="AI96" s="328"/>
      <c r="AJ96" s="197"/>
      <c r="AK96" s="239" t="s">
        <v>125</v>
      </c>
      <c r="AL96" s="240"/>
      <c r="AM96" s="239" t="s">
        <v>185</v>
      </c>
      <c r="AN96" s="240"/>
      <c r="AO96" s="239" t="s">
        <v>411</v>
      </c>
      <c r="AP96" s="240"/>
      <c r="AQ96" s="239" t="s">
        <v>3</v>
      </c>
      <c r="AR96" s="241" t="str">
        <f t="shared" si="39"/>
        <v/>
      </c>
      <c r="AS96" s="239" t="s">
        <v>125</v>
      </c>
      <c r="AT96" s="240"/>
      <c r="AU96" s="239" t="s">
        <v>348</v>
      </c>
      <c r="AV96" s="240"/>
      <c r="AW96" s="1006">
        <f>TOV!$F$459</f>
        <v>120.44708803025631</v>
      </c>
      <c r="AX96" s="1006">
        <f t="shared" si="17"/>
        <v>5.3318476521729101</v>
      </c>
      <c r="AY96" s="1006">
        <f>Subrates!$D$117</f>
        <v>5852.5683548844463</v>
      </c>
      <c r="AZ96" s="1006">
        <f>Subrates!$D$118</f>
        <v>1600.8579286570243</v>
      </c>
      <c r="BA96" s="1006">
        <f t="shared" si="40"/>
        <v>1.9221853757639424</v>
      </c>
      <c r="BB96" s="1006">
        <f t="shared" si="18"/>
        <v>4.8064250364478198</v>
      </c>
      <c r="BC96" s="1006">
        <f t="shared" si="41"/>
        <v>1655.5</v>
      </c>
      <c r="BD96" s="1006">
        <f t="shared" si="42"/>
        <v>4196.5</v>
      </c>
      <c r="BE96" s="1006">
        <f>TOV!$F$518</f>
        <v>35075.581888424982</v>
      </c>
      <c r="BF96" s="1006">
        <f>TOV!$F$519</f>
        <v>3964.5309116330122</v>
      </c>
      <c r="BG96" s="351">
        <f t="shared" si="19"/>
        <v>0</v>
      </c>
      <c r="BH96" s="351">
        <f t="shared" si="20"/>
        <v>0</v>
      </c>
      <c r="BI96" s="351">
        <f t="shared" si="21"/>
        <v>0</v>
      </c>
      <c r="BJ96" s="351">
        <f t="shared" si="22"/>
        <v>0</v>
      </c>
      <c r="BK96" s="351">
        <f t="shared" si="23"/>
        <v>0</v>
      </c>
      <c r="BL96" s="351">
        <f t="shared" si="24"/>
        <v>0</v>
      </c>
      <c r="BM96" s="351">
        <f t="shared" si="43"/>
        <v>0</v>
      </c>
      <c r="BN96" s="351">
        <f t="shared" si="25"/>
        <v>0</v>
      </c>
      <c r="BO96" s="351">
        <f t="shared" si="26"/>
        <v>0</v>
      </c>
      <c r="BP96" s="1007">
        <f t="shared" si="44"/>
        <v>0</v>
      </c>
      <c r="BQ96" s="1008" t="str">
        <f t="shared" si="27"/>
        <v>Enter ML</v>
      </c>
      <c r="BR96" s="1008" t="str">
        <f t="shared" si="28"/>
        <v>Enter area</v>
      </c>
      <c r="BS96" s="1009">
        <f t="shared" si="29"/>
        <v>0</v>
      </c>
      <c r="BT96" s="1010" t="str">
        <f t="shared" si="45"/>
        <v>No Alert</v>
      </c>
      <c r="EZ96" s="1011"/>
      <c r="FB96" s="975"/>
      <c r="FF96" s="976"/>
    </row>
    <row r="97" spans="2:165" s="495" customFormat="1" ht="15">
      <c r="B97" s="310"/>
      <c r="C97" s="824">
        <f t="shared" si="30"/>
        <v>29</v>
      </c>
      <c r="D97" s="175"/>
      <c r="E97" s="255"/>
      <c r="F97" s="1027"/>
      <c r="G97" s="197"/>
      <c r="H97" s="174"/>
      <c r="I97" s="328"/>
      <c r="J97" s="328"/>
      <c r="K97" s="174" t="s">
        <v>167</v>
      </c>
      <c r="L97" s="328"/>
      <c r="M97" s="1003">
        <f t="shared" si="46"/>
        <v>0</v>
      </c>
      <c r="N97" s="577" t="str">
        <f t="shared" si="31"/>
        <v>No Alert</v>
      </c>
      <c r="O97" s="197"/>
      <c r="P97" s="197"/>
      <c r="Q97" s="197"/>
      <c r="R97" s="614">
        <f>Q97*O97*2+P97</f>
        <v>0</v>
      </c>
      <c r="S97" s="614">
        <f>P97*O97+2*0.5*(R97-P97)/2</f>
        <v>0</v>
      </c>
      <c r="T97" s="197"/>
      <c r="U97" s="1003">
        <f t="shared" si="15"/>
        <v>0</v>
      </c>
      <c r="V97" s="328"/>
      <c r="W97" s="1003">
        <f t="shared" si="32"/>
        <v>0</v>
      </c>
      <c r="X97" s="197"/>
      <c r="Y97" s="1003">
        <f t="shared" si="33"/>
        <v>0</v>
      </c>
      <c r="Z97" s="328">
        <f t="shared" si="34"/>
        <v>0</v>
      </c>
      <c r="AA97" s="337"/>
      <c r="AB97" s="1003">
        <f t="shared" si="35"/>
        <v>0</v>
      </c>
      <c r="AC97" s="328">
        <f t="shared" si="36"/>
        <v>0</v>
      </c>
      <c r="AD97" s="392">
        <v>1</v>
      </c>
      <c r="AE97" s="392"/>
      <c r="AF97" s="1004">
        <f t="shared" si="37"/>
        <v>0</v>
      </c>
      <c r="AG97" s="1005" t="str">
        <f t="shared" si="38"/>
        <v>No Alert</v>
      </c>
      <c r="AH97" s="1003">
        <f t="shared" si="16"/>
        <v>0</v>
      </c>
      <c r="AI97" s="328"/>
      <c r="AJ97" s="197"/>
      <c r="AK97" s="239" t="s">
        <v>125</v>
      </c>
      <c r="AL97" s="240"/>
      <c r="AM97" s="239" t="s">
        <v>185</v>
      </c>
      <c r="AN97" s="240"/>
      <c r="AO97" s="239" t="s">
        <v>411</v>
      </c>
      <c r="AP97" s="240"/>
      <c r="AQ97" s="239" t="s">
        <v>3</v>
      </c>
      <c r="AR97" s="241" t="str">
        <f t="shared" si="39"/>
        <v/>
      </c>
      <c r="AS97" s="239" t="s">
        <v>125</v>
      </c>
      <c r="AT97" s="240"/>
      <c r="AU97" s="239" t="s">
        <v>348</v>
      </c>
      <c r="AV97" s="240"/>
      <c r="AW97" s="1006">
        <f>TOV!$F$459</f>
        <v>120.44708803025631</v>
      </c>
      <c r="AX97" s="1006">
        <f t="shared" si="17"/>
        <v>5.3318476521729101</v>
      </c>
      <c r="AY97" s="1006">
        <f>Subrates!$D$117</f>
        <v>5852.5683548844463</v>
      </c>
      <c r="AZ97" s="1006">
        <f>Subrates!$D$118</f>
        <v>1600.8579286570243</v>
      </c>
      <c r="BA97" s="1006">
        <f t="shared" si="40"/>
        <v>1.9221853757639424</v>
      </c>
      <c r="BB97" s="1006">
        <f t="shared" si="18"/>
        <v>4.8064250364478198</v>
      </c>
      <c r="BC97" s="1006">
        <f t="shared" si="41"/>
        <v>1655.5</v>
      </c>
      <c r="BD97" s="1006">
        <f t="shared" si="42"/>
        <v>4196.5</v>
      </c>
      <c r="BE97" s="1006">
        <f>TOV!$F$518</f>
        <v>35075.581888424982</v>
      </c>
      <c r="BF97" s="1006">
        <f>TOV!$F$519</f>
        <v>3964.5309116330122</v>
      </c>
      <c r="BG97" s="351">
        <f t="shared" si="19"/>
        <v>0</v>
      </c>
      <c r="BH97" s="351">
        <f t="shared" si="20"/>
        <v>0</v>
      </c>
      <c r="BI97" s="351">
        <f t="shared" si="21"/>
        <v>0</v>
      </c>
      <c r="BJ97" s="351">
        <f t="shared" si="22"/>
        <v>0</v>
      </c>
      <c r="BK97" s="351">
        <f t="shared" si="23"/>
        <v>0</v>
      </c>
      <c r="BL97" s="351">
        <f t="shared" si="24"/>
        <v>0</v>
      </c>
      <c r="BM97" s="351">
        <f t="shared" si="43"/>
        <v>0</v>
      </c>
      <c r="BN97" s="351">
        <f t="shared" si="25"/>
        <v>0</v>
      </c>
      <c r="BO97" s="351">
        <f t="shared" si="26"/>
        <v>0</v>
      </c>
      <c r="BP97" s="1007">
        <f t="shared" si="44"/>
        <v>0</v>
      </c>
      <c r="BQ97" s="1008" t="str">
        <f t="shared" si="27"/>
        <v>Enter ML</v>
      </c>
      <c r="BR97" s="1008" t="str">
        <f t="shared" si="28"/>
        <v>Enter area</v>
      </c>
      <c r="BS97" s="1009">
        <f t="shared" si="29"/>
        <v>0</v>
      </c>
      <c r="BT97" s="1010" t="str">
        <f t="shared" si="45"/>
        <v>No Alert</v>
      </c>
      <c r="EZ97" s="1011"/>
      <c r="FB97" s="975"/>
      <c r="FF97" s="976"/>
    </row>
    <row r="98" spans="2:165" s="495" customFormat="1" ht="15">
      <c r="B98" s="310"/>
      <c r="C98" s="824">
        <f t="shared" si="30"/>
        <v>30</v>
      </c>
      <c r="D98" s="175"/>
      <c r="E98" s="255"/>
      <c r="F98" s="1027"/>
      <c r="G98" s="197"/>
      <c r="H98" s="174"/>
      <c r="I98" s="328"/>
      <c r="J98" s="328"/>
      <c r="K98" s="174" t="s">
        <v>167</v>
      </c>
      <c r="L98" s="328"/>
      <c r="M98" s="1003">
        <f t="shared" si="46"/>
        <v>0</v>
      </c>
      <c r="N98" s="577" t="str">
        <f t="shared" si="31"/>
        <v>No Alert</v>
      </c>
      <c r="O98" s="197"/>
      <c r="P98" s="197"/>
      <c r="Q98" s="197"/>
      <c r="R98" s="614">
        <f>Q98*O98*2+P98</f>
        <v>0</v>
      </c>
      <c r="S98" s="614">
        <f>P98*O98+2*0.5*(R98-P98)/2</f>
        <v>0</v>
      </c>
      <c r="T98" s="197"/>
      <c r="U98" s="1003">
        <f t="shared" si="15"/>
        <v>0</v>
      </c>
      <c r="V98" s="328"/>
      <c r="W98" s="1003">
        <f t="shared" si="32"/>
        <v>0</v>
      </c>
      <c r="X98" s="197"/>
      <c r="Y98" s="1003">
        <f t="shared" si="33"/>
        <v>0</v>
      </c>
      <c r="Z98" s="328"/>
      <c r="AA98" s="337"/>
      <c r="AB98" s="1003">
        <f t="shared" si="35"/>
        <v>0</v>
      </c>
      <c r="AC98" s="328"/>
      <c r="AD98" s="392">
        <v>1</v>
      </c>
      <c r="AE98" s="392"/>
      <c r="AF98" s="1004">
        <f t="shared" si="37"/>
        <v>0</v>
      </c>
      <c r="AG98" s="1005" t="str">
        <f t="shared" si="38"/>
        <v>No Alert</v>
      </c>
      <c r="AH98" s="1003">
        <f t="shared" si="16"/>
        <v>0</v>
      </c>
      <c r="AI98" s="328"/>
      <c r="AJ98" s="197"/>
      <c r="AK98" s="239" t="s">
        <v>125</v>
      </c>
      <c r="AL98" s="240"/>
      <c r="AM98" s="239" t="s">
        <v>185</v>
      </c>
      <c r="AN98" s="240"/>
      <c r="AO98" s="239" t="s">
        <v>411</v>
      </c>
      <c r="AP98" s="240"/>
      <c r="AQ98" s="239" t="s">
        <v>3</v>
      </c>
      <c r="AR98" s="241" t="str">
        <f t="shared" si="39"/>
        <v/>
      </c>
      <c r="AS98" s="239" t="s">
        <v>125</v>
      </c>
      <c r="AT98" s="240"/>
      <c r="AU98" s="239" t="s">
        <v>348</v>
      </c>
      <c r="AV98" s="240"/>
      <c r="AW98" s="1006">
        <f>TOV!$F$459</f>
        <v>120.44708803025631</v>
      </c>
      <c r="AX98" s="1006">
        <f t="shared" si="17"/>
        <v>5.3318476521729101</v>
      </c>
      <c r="AY98" s="1006">
        <f>Subrates!$D$117</f>
        <v>5852.5683548844463</v>
      </c>
      <c r="AZ98" s="1006">
        <f>Subrates!$D$118</f>
        <v>1600.8579286570243</v>
      </c>
      <c r="BA98" s="1006">
        <f t="shared" si="40"/>
        <v>1.9221853757639424</v>
      </c>
      <c r="BB98" s="1006">
        <f t="shared" si="18"/>
        <v>4.8064250364478198</v>
      </c>
      <c r="BC98" s="1006">
        <f t="shared" si="41"/>
        <v>1655.5</v>
      </c>
      <c r="BD98" s="1006">
        <f t="shared" si="42"/>
        <v>4196.5</v>
      </c>
      <c r="BE98" s="1006">
        <f>TOV!$F$518</f>
        <v>35075.581888424982</v>
      </c>
      <c r="BF98" s="1006">
        <f>TOV!$F$519</f>
        <v>3964.5309116330122</v>
      </c>
      <c r="BG98" s="351">
        <f t="shared" si="19"/>
        <v>0</v>
      </c>
      <c r="BH98" s="351">
        <f t="shared" si="20"/>
        <v>0</v>
      </c>
      <c r="BI98" s="351">
        <f t="shared" si="21"/>
        <v>0</v>
      </c>
      <c r="BJ98" s="351">
        <f t="shared" si="22"/>
        <v>0</v>
      </c>
      <c r="BK98" s="351">
        <f t="shared" si="23"/>
        <v>0</v>
      </c>
      <c r="BL98" s="351">
        <f t="shared" si="24"/>
        <v>0</v>
      </c>
      <c r="BM98" s="351">
        <f t="shared" si="43"/>
        <v>0</v>
      </c>
      <c r="BN98" s="351">
        <f t="shared" si="25"/>
        <v>0</v>
      </c>
      <c r="BO98" s="351">
        <f t="shared" si="26"/>
        <v>0</v>
      </c>
      <c r="BP98" s="1007">
        <f t="shared" si="44"/>
        <v>0</v>
      </c>
      <c r="BQ98" s="1008" t="str">
        <f t="shared" si="27"/>
        <v>Enter ML</v>
      </c>
      <c r="BR98" s="1008" t="str">
        <f t="shared" si="28"/>
        <v>Enter area</v>
      </c>
      <c r="BS98" s="1009">
        <f t="shared" si="29"/>
        <v>0</v>
      </c>
      <c r="BT98" s="1010" t="str">
        <f t="shared" si="45"/>
        <v>No Alert</v>
      </c>
      <c r="EZ98" s="1011"/>
      <c r="FB98" s="975"/>
      <c r="FF98" s="976"/>
    </row>
    <row r="99" spans="2:165" ht="18" customHeight="1">
      <c r="B99" s="311" t="str">
        <f>HYPERLINK(C125,"Top")</f>
        <v>Top</v>
      </c>
      <c r="C99" s="434"/>
      <c r="G99" s="579"/>
      <c r="H99" s="579"/>
      <c r="I99" s="1012"/>
      <c r="J99" s="1012"/>
      <c r="K99" s="579"/>
      <c r="L99" s="1001"/>
      <c r="M99" s="1012"/>
      <c r="O99" s="1013"/>
      <c r="P99" s="1013"/>
      <c r="Q99" s="1013"/>
      <c r="R99" s="1013"/>
      <c r="S99" s="1014"/>
      <c r="U99" s="1015"/>
      <c r="W99" s="1015"/>
      <c r="X99" s="1015"/>
      <c r="Y99" s="1016"/>
      <c r="Z99" s="1001"/>
      <c r="AB99" s="1001"/>
      <c r="AC99" s="1001"/>
      <c r="AD99" s="1001"/>
      <c r="AE99" s="1001"/>
      <c r="AF99" s="1001"/>
      <c r="AG99" s="1001"/>
      <c r="AH99" s="1001"/>
      <c r="AI99" s="1001"/>
      <c r="AK99" s="1017"/>
      <c r="AL99" s="1017"/>
      <c r="BA99" s="1018"/>
      <c r="BH99" s="1017"/>
      <c r="BI99" s="1017"/>
      <c r="BJ99" s="1017"/>
      <c r="BK99" s="1017"/>
      <c r="BL99" s="1017"/>
      <c r="BM99" s="1017"/>
      <c r="BN99" s="1017"/>
      <c r="BO99" s="1017"/>
      <c r="BP99" s="953"/>
      <c r="BQ99" s="1017"/>
      <c r="BS99" s="953"/>
      <c r="EZ99" s="975"/>
      <c r="FB99" s="975"/>
      <c r="FF99" s="976"/>
    </row>
    <row r="100" spans="2:165" ht="18" customHeight="1">
      <c r="D100" s="242"/>
      <c r="E100" s="242"/>
      <c r="F100" s="242"/>
      <c r="G100" s="242"/>
      <c r="H100" s="416">
        <f>SUM(H68:H99)</f>
        <v>0</v>
      </c>
      <c r="I100" s="372">
        <f t="shared" ref="I100:J100" si="50">SUM(I68:I99)</f>
        <v>0</v>
      </c>
      <c r="J100" s="372">
        <f t="shared" si="50"/>
        <v>0</v>
      </c>
      <c r="K100" s="1019"/>
      <c r="L100" s="372">
        <f>SUM(L68:L99)</f>
        <v>0</v>
      </c>
      <c r="M100" s="372">
        <f>SUM(M68:M99)</f>
        <v>0</v>
      </c>
      <c r="S100" s="372">
        <f>SUM(S68:S99)</f>
        <v>0</v>
      </c>
      <c r="T100" s="372">
        <f t="shared" ref="T100:W100" si="51">SUM(T68:T99)</f>
        <v>0</v>
      </c>
      <c r="U100" s="372">
        <f t="shared" si="51"/>
        <v>0</v>
      </c>
      <c r="V100" s="372">
        <f t="shared" si="51"/>
        <v>0</v>
      </c>
      <c r="W100" s="372">
        <f t="shared" si="51"/>
        <v>0</v>
      </c>
      <c r="X100" s="1015"/>
      <c r="Y100" s="372">
        <f t="shared" ref="Y100" si="52">SUM(Y68:Y99)</f>
        <v>0</v>
      </c>
      <c r="Z100" s="372">
        <f t="shared" ref="Z100" si="53">SUM(Z68:Z99)</f>
        <v>0</v>
      </c>
      <c r="AB100" s="372">
        <f t="shared" ref="AB100:AC100" si="54">SUM(AB68:AB99)</f>
        <v>0</v>
      </c>
      <c r="AC100" s="372">
        <f t="shared" si="54"/>
        <v>0</v>
      </c>
      <c r="AD100" s="1001"/>
      <c r="AE100" s="1001"/>
      <c r="AF100" s="1001"/>
      <c r="AG100" s="1001"/>
      <c r="AH100" s="372">
        <f t="shared" ref="AH100:AI100" si="55">SUM(AH68:AH99)</f>
        <v>0</v>
      </c>
      <c r="AI100" s="372">
        <f t="shared" si="55"/>
        <v>0</v>
      </c>
      <c r="BG100" s="1020">
        <f t="shared" ref="BG100:BN100" si="56">SUM(BG68:BG99)</f>
        <v>0</v>
      </c>
      <c r="BH100" s="1020">
        <f t="shared" si="56"/>
        <v>0</v>
      </c>
      <c r="BI100" s="1020">
        <f t="shared" si="56"/>
        <v>0</v>
      </c>
      <c r="BJ100" s="1020">
        <f t="shared" si="56"/>
        <v>0</v>
      </c>
      <c r="BK100" s="1020">
        <f t="shared" si="56"/>
        <v>0</v>
      </c>
      <c r="BL100" s="1020">
        <f t="shared" si="56"/>
        <v>0</v>
      </c>
      <c r="BM100" s="1020">
        <f t="shared" si="56"/>
        <v>0</v>
      </c>
      <c r="BN100" s="1020">
        <f t="shared" si="56"/>
        <v>0</v>
      </c>
      <c r="BO100" s="1020">
        <f>SUM(BO68:BO99)</f>
        <v>0</v>
      </c>
      <c r="BP100" s="1021">
        <f>SUM(BP68:BP99)</f>
        <v>0</v>
      </c>
      <c r="BQ100" s="495"/>
      <c r="BR100" s="495"/>
      <c r="BS100" s="1021">
        <f>SUM(BS68:BS99)</f>
        <v>0</v>
      </c>
      <c r="BT100" s="904">
        <f>IF(H100=0,0,BS100/H100)</f>
        <v>0</v>
      </c>
      <c r="BU100" s="434" t="s">
        <v>999</v>
      </c>
      <c r="EZ100" s="975"/>
      <c r="FB100" s="975"/>
      <c r="FF100" s="976"/>
    </row>
    <row r="101" spans="2:165" ht="18" customHeight="1">
      <c r="D101" s="242"/>
      <c r="E101" s="242"/>
      <c r="F101" s="242"/>
      <c r="G101" s="242"/>
      <c r="H101" s="242"/>
      <c r="I101" s="1019"/>
      <c r="J101" s="1019"/>
      <c r="K101" s="1019"/>
      <c r="L101" s="1019"/>
      <c r="M101" s="1019"/>
      <c r="X101" s="1015"/>
      <c r="EZ101" s="975"/>
      <c r="FB101" s="975"/>
      <c r="FF101" s="976"/>
    </row>
    <row r="102" spans="2:165" ht="18" customHeight="1">
      <c r="D102" s="242"/>
      <c r="E102" s="242"/>
      <c r="F102" s="242"/>
      <c r="G102" s="242"/>
      <c r="FC102" s="975"/>
      <c r="FE102" s="975"/>
      <c r="FI102" s="976"/>
    </row>
    <row r="103" spans="2:165" ht="18" customHeight="1">
      <c r="D103" s="242"/>
      <c r="E103" s="242"/>
      <c r="F103" s="242"/>
      <c r="G103" s="242"/>
      <c r="EY103" s="975"/>
      <c r="FA103" s="975"/>
      <c r="FE103" s="976"/>
    </row>
    <row r="104" spans="2:165" ht="18" customHeight="1">
      <c r="D104" s="242"/>
      <c r="E104" s="242"/>
      <c r="F104" s="242"/>
      <c r="G104" s="242"/>
      <c r="EY104" s="975"/>
      <c r="FA104" s="975"/>
      <c r="FE104" s="976"/>
    </row>
    <row r="105" spans="2:165" ht="18" customHeight="1">
      <c r="D105" s="242"/>
      <c r="E105" s="242"/>
      <c r="F105" s="242"/>
      <c r="G105" s="242"/>
      <c r="EY105" s="975"/>
      <c r="FA105" s="975"/>
      <c r="FE105" s="976"/>
    </row>
    <row r="106" spans="2:165">
      <c r="D106" s="1022"/>
      <c r="E106" s="1022"/>
      <c r="F106" s="1022"/>
      <c r="G106" s="1022"/>
      <c r="EY106" s="975"/>
      <c r="FA106" s="975"/>
      <c r="FE106" s="976"/>
    </row>
    <row r="107" spans="2:165">
      <c r="EY107" s="975"/>
      <c r="FA107" s="975"/>
      <c r="FE107" s="976"/>
    </row>
    <row r="108" spans="2:165">
      <c r="EY108" s="975"/>
      <c r="FA108" s="975"/>
      <c r="FE108" s="976"/>
    </row>
    <row r="109" spans="2:165">
      <c r="EY109" s="975"/>
      <c r="FA109" s="975"/>
      <c r="FE109" s="976"/>
    </row>
    <row r="110" spans="2:165">
      <c r="EY110" s="975"/>
      <c r="FA110" s="975"/>
      <c r="FE110" s="976"/>
    </row>
    <row r="111" spans="2:165">
      <c r="EY111" s="975"/>
      <c r="FA111" s="975"/>
      <c r="FE111" s="976"/>
    </row>
    <row r="112" spans="2:165">
      <c r="EY112" s="975"/>
      <c r="FA112" s="975"/>
      <c r="FE112" s="976"/>
    </row>
    <row r="113" spans="155:161">
      <c r="EY113" s="975"/>
      <c r="FA113" s="975"/>
      <c r="FE113" s="976"/>
    </row>
    <row r="114" spans="155:161">
      <c r="EY114" s="975"/>
      <c r="FA114" s="975"/>
      <c r="FE114" s="976"/>
    </row>
    <row r="115" spans="155:161">
      <c r="EY115" s="975"/>
      <c r="FA115" s="975"/>
      <c r="FE115" s="976"/>
    </row>
    <row r="116" spans="155:161">
      <c r="EY116" s="975"/>
      <c r="FA116" s="975"/>
      <c r="FE116" s="976"/>
    </row>
    <row r="117" spans="155:161">
      <c r="EY117" s="975"/>
      <c r="FA117" s="975"/>
      <c r="FE117" s="976"/>
    </row>
    <row r="118" spans="155:161">
      <c r="EY118" s="975"/>
      <c r="FA118" s="975"/>
      <c r="FE118" s="976"/>
    </row>
    <row r="119" spans="155:161">
      <c r="EY119" s="975"/>
      <c r="FA119" s="975"/>
      <c r="FE119" s="976"/>
    </row>
    <row r="120" spans="155:161">
      <c r="EY120" s="975"/>
      <c r="FA120" s="975"/>
      <c r="FE120" s="976"/>
    </row>
    <row r="121" spans="155:161">
      <c r="EY121" s="975"/>
      <c r="FA121" s="975"/>
      <c r="FE121" s="976"/>
    </row>
    <row r="122" spans="155:161">
      <c r="EY122" s="975"/>
      <c r="FA122" s="975"/>
      <c r="FE122" s="976"/>
    </row>
  </sheetData>
  <sheetProtection algorithmName="SHA-512" hashValue="bz3RfXkOqTNM7lM2Ww+N7i7ksAIWdkpl1o4XT73V3+iUoDIkhRiGTJqMvMvW0cc1Jk7rb0Ol/7Z2pvAryQ0Lbg==" saltValue="4OFFzr5a9Q6g/UjLquWHnw==" spinCount="100000" sheet="1" objects="1" scenarios="1" autoFilter="0"/>
  <phoneticPr fontId="15" type="noConversion"/>
  <conditionalFormatting sqref="K55:K60">
    <cfRule type="containsText" dxfId="356" priority="7" operator="containsText" text="No">
      <formula>NOT(ISERROR(SEARCH("No",K55)))</formula>
    </cfRule>
  </conditionalFormatting>
  <conditionalFormatting sqref="N30:N34">
    <cfRule type="containsText" dxfId="355" priority="14" operator="containsText" text="No">
      <formula>NOT(ISERROR(SEARCH("No",N30)))</formula>
    </cfRule>
  </conditionalFormatting>
  <conditionalFormatting sqref="N69:N98">
    <cfRule type="containsText" dxfId="354" priority="38" operator="containsText" text="Error">
      <formula>NOT(ISERROR(SEARCH("Error",N69)))</formula>
    </cfRule>
  </conditionalFormatting>
  <conditionalFormatting sqref="N41:R60">
    <cfRule type="expression" dxfId="353" priority="5">
      <formula>$L41&lt;&gt;""</formula>
    </cfRule>
  </conditionalFormatting>
  <conditionalFormatting sqref="O10:O34 L41:L60 BC64:BD64">
    <cfRule type="cellIs" dxfId="352" priority="49" operator="notEqual">
      <formula>""</formula>
    </cfRule>
  </conditionalFormatting>
  <conditionalFormatting sqref="Q10:U34">
    <cfRule type="expression" dxfId="351" priority="6">
      <formula>$O10&lt;&gt;""</formula>
    </cfRule>
  </conditionalFormatting>
  <conditionalFormatting sqref="AG69:AG98">
    <cfRule type="containsText" dxfId="350" priority="4" operator="containsText" text="Error">
      <formula>NOT(ISERROR(SEARCH("Error",AG69)))</formula>
    </cfRule>
  </conditionalFormatting>
  <conditionalFormatting sqref="AR69:AR98">
    <cfRule type="cellIs" dxfId="349" priority="11" operator="equal">
      <formula>"Dozer too small"</formula>
    </cfRule>
  </conditionalFormatting>
  <conditionalFormatting sqref="BA69:BA98">
    <cfRule type="cellIs" dxfId="348" priority="10" operator="equal">
      <formula>"Dozer too small"</formula>
    </cfRule>
  </conditionalFormatting>
  <conditionalFormatting sqref="BB61:BC61">
    <cfRule type="containsText" dxfId="347" priority="2" operator="containsText" text="No Alert">
      <formula>NOT(ISERROR(SEARCH("No Alert",BB61)))</formula>
    </cfRule>
    <cfRule type="containsText" dxfId="346" priority="3" operator="containsText" text="Enter">
      <formula>NOT(ISERROR(SEARCH("Enter",BB61)))</formula>
    </cfRule>
  </conditionalFormatting>
  <conditionalFormatting sqref="BK69:BK98">
    <cfRule type="cellIs" dxfId="345" priority="12" operator="equal">
      <formula>"E"</formula>
    </cfRule>
  </conditionalFormatting>
  <conditionalFormatting sqref="BQ69:BR98">
    <cfRule type="containsText" dxfId="344" priority="37" operator="containsText" text="Ente">
      <formula>NOT(ISERROR(SEARCH("Ente",BQ69)))</formula>
    </cfRule>
  </conditionalFormatting>
  <conditionalFormatting sqref="BT69:BT98">
    <cfRule type="containsText" dxfId="343" priority="25" operator="containsText" text="Enter">
      <formula>NOT(ISERROR(SEARCH("Enter",BT69)))</formula>
    </cfRule>
    <cfRule type="containsText" dxfId="342" priority="26" operator="containsText" text="No Alert">
      <formula>NOT(ISERROR(SEARCH("No Alert",BT69)))</formula>
    </cfRule>
  </conditionalFormatting>
  <dataValidations count="16">
    <dataValidation type="list" allowBlank="1" showInputMessage="1" showErrorMessage="1" sqref="AK99" xr:uid="{00000000-0002-0000-0D00-000000000000}">
      <formula1>Haulage_Silt</formula1>
    </dataValidation>
    <dataValidation type="list" allowBlank="1" showInputMessage="1" showErrorMessage="1" sqref="K69:K99" xr:uid="{00000000-0002-0000-0D00-000001000000}">
      <formula1>Dam_liner</formula1>
    </dataValidation>
    <dataValidation type="list" allowBlank="1" showInputMessage="1" showErrorMessage="1" sqref="AS69:AS98 AK69:AK98" xr:uid="{E4244CEB-18F8-41B3-85DC-E77013302EEA}">
      <formula1>Load_and_Haul</formula1>
    </dataValidation>
    <dataValidation type="list" allowBlank="1" showInputMessage="1" showErrorMessage="1" sqref="AO69:AO98" xr:uid="{62B06F0D-D120-4593-995D-3B313E5ED084}">
      <formula1>Dozer_Push_Length</formula1>
    </dataValidation>
    <dataValidation type="list" allowBlank="1" showInputMessage="1" showErrorMessage="1" sqref="AQ69:AQ98" xr:uid="{8B9AC028-520E-4C27-9E65-735737E0BB4F}">
      <formula1>Dozers</formula1>
    </dataValidation>
    <dataValidation type="list" allowBlank="1" showInputMessage="1" showErrorMessage="1" sqref="G12:G29" xr:uid="{982FFDF6-0028-4E99-B187-90EDF56D40C0}">
      <formula1>Seed_type</formula1>
    </dataValidation>
    <dataValidation allowBlank="1" showInputMessage="1" showErrorMessage="1" prompt="Water is assumed to be used or evaporated and is not typically required. This item is included for completeness." sqref="J66" xr:uid="{D9A676C6-4556-4133-9924-A1A70BD467DE}"/>
    <dataValidation allowBlank="1" showInputMessage="1" showErrorMessage="1" prompt="If a user sediment thickness is not entered the default (raw) is taken." sqref="X67" xr:uid="{0DC3CF64-80D8-4327-A889-71A6C7ADF32B}"/>
    <dataValidation allowBlank="1" showInputMessage="1" showErrorMessage="1" prompt="if a User liner area is not entered the default (raw) is used." sqref="M67" xr:uid="{04620722-2D39-41F4-8AF0-50A5287F387A}"/>
    <dataValidation allowBlank="1" showInputMessage="1" showErrorMessage="1" prompt="This entry allows the user to select how much of the upfront (one-off cost for work plans etc) is apportioned to the dam or group of dams. e.g. If the upfront cost be shared by two dams enter 0.5." sqref="AJ67" xr:uid="{61626CF7-CE3F-4A5E-92F9-A937C0B6B7A5}"/>
    <dataValidation type="list" allowBlank="1" showInputMessage="1" showErrorMessage="1" sqref="E41:E54" xr:uid="{07A2058A-7EF0-4704-8C9A-125576FBCD34}">
      <formula1>Dams_list_area</formula1>
    </dataValidation>
    <dataValidation type="list" allowBlank="1" showInputMessage="1" showErrorMessage="1" sqref="E12:E29" xr:uid="{E72E50BB-158E-4568-BC04-EDBFFBF40B5C}">
      <formula1>Dam_type</formula1>
    </dataValidation>
    <dataValidation type="list" allowBlank="1" showInputMessage="1" showErrorMessage="1" sqref="F12:F29" xr:uid="{34685104-EB15-406A-BE81-91159858399F}">
      <formula1>Dam_size</formula1>
    </dataValidation>
    <dataValidation type="whole" allowBlank="1" showInputMessage="1" showErrorMessage="1" sqref="H69:H98 K10:K34" xr:uid="{C0D7ABA0-FA43-477A-BA8A-C728C2B67FA2}">
      <formula1>0</formula1>
      <formula2>1000</formula2>
    </dataValidation>
    <dataValidation type="list" allowBlank="1" showInputMessage="1" showErrorMessage="1" sqref="AM69:AM98" xr:uid="{BDB47AD9-CD76-4242-9F7B-F66B8EC7216B}">
      <formula1>Load_haul_sed</formula1>
    </dataValidation>
    <dataValidation type="list" allowBlank="1" showInputMessage="1" showErrorMessage="1" sqref="AU69:AU98" xr:uid="{2740D6AE-BF40-41EB-99C8-676E00E23C89}">
      <formula1>Load_haul_fleet_sm1ml</formula1>
    </dataValidation>
  </dataValidations>
  <hyperlinks>
    <hyperlink ref="B38" location="'5. Water Storage'!B5" display="'5. Water Storage'!B5" xr:uid="{FAE9EF44-55D9-4F91-919A-06724E2A98A4}"/>
    <hyperlink ref="B2" location="CONTENTS!A1" display="Contents" xr:uid="{F982AD95-DD19-467D-93AA-51687A47F681}"/>
    <hyperlink ref="B66" location="'5. Water Storage'!B5" display="'5. Water Storage'!B5" xr:uid="{47F0A7F1-FCA2-4E63-8245-B6DE8E1E2453}"/>
    <hyperlink ref="B99" location="'5. Water Storage'!B5" display="'5. Water Storage'!B5" xr:uid="{0DA76181-2372-4E4E-A6E7-71CE7A97A02B}"/>
    <hyperlink ref="AX68" location="Subrates_Table_1" display="Subrates Table 1" xr:uid="{4921648B-574D-4C54-8A8B-7ECB9F1967F7}"/>
    <hyperlink ref="BA68" location="Subrates_Table_2" display="Subrates Table 2" xr:uid="{A479971C-18EC-4D36-969C-784AA4959011}"/>
    <hyperlink ref="AY68" location="Subrates_Table_7" display="Subrates Table 7" xr:uid="{4177F0A6-3D59-4D08-A051-6734426A8792}"/>
    <hyperlink ref="AZ68" location="Subrates_Table_7" display="Subrates Table 7" xr:uid="{82F5D000-F3B6-4721-BD07-3DDC9EF43769}"/>
    <hyperlink ref="BB68" location="Subrates_Table_1" display="Subrates Table 1" xr:uid="{74BFA958-E600-4A88-97D3-B5AF533950F6}"/>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F09F7-1176-406D-81EB-3E348F19EED8}">
  <sheetPr codeName="Sheet33">
    <tabColor theme="9" tint="-0.249977111117893"/>
  </sheetPr>
  <dimension ref="A1:AQ112"/>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52.7109375" style="475" customWidth="1"/>
    <col min="5" max="6" width="18.7109375" style="474" customWidth="1"/>
    <col min="7" max="7" width="35.7109375" style="474" customWidth="1"/>
    <col min="8" max="9" width="18.7109375" style="474" customWidth="1"/>
    <col min="10" max="10" width="54.42578125" style="474" customWidth="1"/>
    <col min="11" max="12" width="18.7109375" style="474" customWidth="1"/>
    <col min="13" max="13" width="40.7109375" style="474" bestFit="1" customWidth="1"/>
    <col min="14" max="14" width="37.28515625" style="474" customWidth="1"/>
    <col min="15" max="34" width="18.7109375" style="474" customWidth="1"/>
    <col min="35" max="38" width="18.7109375" style="475" customWidth="1"/>
    <col min="39" max="41" width="16.7109375" style="475" customWidth="1"/>
    <col min="42" max="16384" width="9" style="475"/>
  </cols>
  <sheetData>
    <row r="1" spans="1:43" ht="14.25">
      <c r="B1" s="433" t="s">
        <v>0</v>
      </c>
      <c r="C1" s="808"/>
      <c r="D1" s="520"/>
      <c r="AG1" s="475"/>
      <c r="AH1" s="475"/>
    </row>
    <row r="2" spans="1:43" ht="18" customHeight="1">
      <c r="B2" s="286" t="s">
        <v>256</v>
      </c>
      <c r="C2" s="476" t="s">
        <v>1842</v>
      </c>
      <c r="D2" s="1028"/>
      <c r="E2" s="1028"/>
      <c r="F2" s="1028"/>
      <c r="G2" s="1028"/>
      <c r="H2" s="1028"/>
      <c r="I2" s="1028"/>
      <c r="J2" s="1028"/>
      <c r="K2" s="1029"/>
      <c r="AG2" s="475"/>
      <c r="AH2" s="475"/>
    </row>
    <row r="3" spans="1:43" s="1030" customFormat="1" ht="18" customHeight="1">
      <c r="B3" s="1031">
        <f>AG32+AD53</f>
        <v>0</v>
      </c>
      <c r="C3" s="736" t="s">
        <v>1516</v>
      </c>
      <c r="J3" s="1032"/>
      <c r="K3" s="1032"/>
      <c r="L3" s="1032"/>
      <c r="M3" s="1032"/>
      <c r="N3" s="1032"/>
      <c r="O3" s="848"/>
      <c r="R3" s="847" t="str">
        <f>IF(R6="","No Alert","Enter justification")</f>
        <v>No Alert</v>
      </c>
      <c r="S3" s="847" t="str">
        <f t="shared" ref="S3:AD3" si="0">IF(S6="","No Alert","Enter justification")</f>
        <v>No Alert</v>
      </c>
      <c r="T3" s="847" t="str">
        <f t="shared" si="0"/>
        <v>No Alert</v>
      </c>
      <c r="U3" s="847" t="str">
        <f t="shared" si="0"/>
        <v>No Alert</v>
      </c>
      <c r="V3" s="847" t="str">
        <f t="shared" si="0"/>
        <v>No Alert</v>
      </c>
      <c r="W3" s="847" t="str">
        <f t="shared" si="0"/>
        <v>No Alert</v>
      </c>
      <c r="X3" s="847" t="str">
        <f t="shared" si="0"/>
        <v>No Alert</v>
      </c>
      <c r="Y3" s="847" t="str">
        <f t="shared" si="0"/>
        <v>No Alert</v>
      </c>
      <c r="Z3" s="847" t="str">
        <f t="shared" si="0"/>
        <v>No Alert</v>
      </c>
      <c r="AA3" s="847" t="str">
        <f t="shared" si="0"/>
        <v>No Alert</v>
      </c>
      <c r="AB3" s="847" t="str">
        <f t="shared" si="0"/>
        <v>No Alert</v>
      </c>
      <c r="AC3" s="847" t="str">
        <f t="shared" si="0"/>
        <v>No Alert</v>
      </c>
      <c r="AD3" s="847" t="str">
        <f t="shared" si="0"/>
        <v>No Alert</v>
      </c>
      <c r="AG3" s="562"/>
      <c r="AH3" s="562"/>
    </row>
    <row r="4" spans="1:43" ht="18" customHeight="1">
      <c r="A4" s="474"/>
      <c r="B4" s="1033">
        <f>Summary!$G$122</f>
        <v>0</v>
      </c>
      <c r="C4" s="736" t="s">
        <v>1484</v>
      </c>
      <c r="G4" s="793"/>
      <c r="I4" s="1032"/>
      <c r="O4" s="848"/>
      <c r="Q4" s="848" t="s">
        <v>1596</v>
      </c>
      <c r="R4" s="828" t="str">
        <f>TOV!$C450</f>
        <v>#6.01</v>
      </c>
      <c r="S4" s="828" t="str">
        <f>TOV!$C451</f>
        <v>#6.02</v>
      </c>
      <c r="T4" s="828" t="str">
        <f>TOV!$C452</f>
        <v>#6.03</v>
      </c>
      <c r="U4" s="828" t="str">
        <f>TOV!$C453</f>
        <v>#6.04</v>
      </c>
      <c r="V4" s="828" t="str">
        <f>TOV!$C454</f>
        <v>#6.05</v>
      </c>
      <c r="W4" s="828" t="str">
        <f>TOV!$C455</f>
        <v>#6.06</v>
      </c>
      <c r="X4" s="828" t="str">
        <f>TOV!$C456</f>
        <v>#6.07</v>
      </c>
      <c r="Y4" s="828" t="str">
        <f>TOV!$C457</f>
        <v>#6.08</v>
      </c>
      <c r="Z4" s="828" t="str">
        <f>TOV!$C458</f>
        <v>#6.09</v>
      </c>
      <c r="AA4" s="828" t="str">
        <f>TOV!$C459</f>
        <v>#6.10</v>
      </c>
      <c r="AB4" s="828" t="str">
        <f>TOV!$C460</f>
        <v>#6.11</v>
      </c>
      <c r="AC4" s="828" t="str">
        <f>TOV!$C461</f>
        <v>#6.12</v>
      </c>
      <c r="AD4" s="828" t="str">
        <f>TOV!$C462</f>
        <v>#6.13</v>
      </c>
      <c r="AF4" s="1030"/>
      <c r="AG4" s="475"/>
      <c r="AH4" s="475"/>
    </row>
    <row r="5" spans="1:43" ht="84.75" customHeight="1">
      <c r="B5" s="947"/>
      <c r="C5" s="948"/>
      <c r="D5" s="1034"/>
      <c r="E5" s="1035"/>
      <c r="F5" s="1035"/>
      <c r="G5" s="1036"/>
      <c r="H5" s="1036"/>
      <c r="I5" s="1036"/>
      <c r="J5" s="1036"/>
      <c r="K5" s="1037"/>
      <c r="O5" s="475"/>
      <c r="P5" s="475"/>
      <c r="Q5" s="848" t="s">
        <v>35</v>
      </c>
      <c r="R5" s="81">
        <f>VLOOKUP(R4,TOV!$C$450:$G$462,4,FALSE)</f>
        <v>1911.9489400717275</v>
      </c>
      <c r="S5" s="81">
        <f>VLOOKUP(S4,TOV!$C$450:$G$462,4,FALSE)</f>
        <v>2418.9489400717275</v>
      </c>
      <c r="T5" s="81">
        <f>VLOOKUP(T4,TOV!$C$450:$G$462,4,FALSE)</f>
        <v>2715.508940071727</v>
      </c>
      <c r="U5" s="81">
        <f>VLOOKUP(U4,TOV!$C$450:$G$462,4,FALSE)</f>
        <v>2026.5879055889689</v>
      </c>
      <c r="V5" s="81">
        <f>VLOOKUP(V4,TOV!$C$450:$G$462,4,FALSE)</f>
        <v>5291.2017744629547</v>
      </c>
      <c r="W5" s="81">
        <f>VLOOKUP(W4,TOV!$C$450:$G$462,4,FALSE)</f>
        <v>53739.57403519551</v>
      </c>
      <c r="X5" s="81">
        <f>VLOOKUP(X4,TOV!$C$450:$G$462,4,FALSE)</f>
        <v>48000</v>
      </c>
      <c r="Y5" s="81">
        <f>VLOOKUP(Y4,TOV!$C$450:$G$462,4,FALSE)</f>
        <v>9.9611399451846694</v>
      </c>
      <c r="Z5" s="81">
        <f>VLOOKUP(Z4,TOV!$C$450:$G$462,4,FALSE)</f>
        <v>110.39113994518468</v>
      </c>
      <c r="AA5" s="81">
        <f>VLOOKUP(AA4,TOV!$C$450:$G$462,4,FALSE)</f>
        <v>120.44708803025631</v>
      </c>
      <c r="AB5" s="81">
        <f>VLOOKUP(AB4,TOV!$C$450:$G$462,4,FALSE)</f>
        <v>27500</v>
      </c>
      <c r="AC5" s="81">
        <f>VLOOKUP(AC4,TOV!$C$450:$G$462,4,FALSE)</f>
        <v>4099.0747061569673</v>
      </c>
      <c r="AD5" s="81">
        <f>VLOOKUP(AD4,TOV!$C$450:$G$462,4,FALSE)</f>
        <v>2700</v>
      </c>
      <c r="AE5" s="475"/>
      <c r="AF5" s="475"/>
      <c r="AG5" s="475"/>
      <c r="AH5" s="475"/>
    </row>
    <row r="6" spans="1:43" ht="16.149999999999999" customHeight="1">
      <c r="A6" s="474"/>
      <c r="B6" s="474"/>
      <c r="C6" s="474"/>
      <c r="D6" s="474"/>
      <c r="I6" s="1032"/>
      <c r="O6" s="848"/>
      <c r="Q6" s="848" t="s">
        <v>1556</v>
      </c>
      <c r="R6" s="117"/>
      <c r="S6" s="117"/>
      <c r="T6" s="117"/>
      <c r="U6" s="117"/>
      <c r="V6" s="117"/>
      <c r="W6" s="117"/>
      <c r="X6" s="117"/>
      <c r="Y6" s="117"/>
      <c r="Z6" s="117"/>
      <c r="AA6" s="117"/>
      <c r="AB6" s="117"/>
      <c r="AC6" s="117"/>
      <c r="AD6" s="117"/>
      <c r="AE6" s="771"/>
      <c r="AF6" s="1030"/>
      <c r="AG6" s="475"/>
      <c r="AH6" s="475"/>
    </row>
    <row r="7" spans="1:43" s="1030" customFormat="1" ht="16.149999999999999" customHeight="1">
      <c r="B7" s="1038" t="s">
        <v>1843</v>
      </c>
      <c r="C7" s="1039"/>
      <c r="D7" s="474"/>
      <c r="E7" s="474"/>
      <c r="F7" s="474"/>
      <c r="G7" s="474"/>
      <c r="H7" s="474"/>
      <c r="L7" s="474"/>
      <c r="M7" s="474"/>
      <c r="N7" s="474" t="s">
        <v>1543</v>
      </c>
      <c r="O7" s="474"/>
      <c r="P7" s="474"/>
      <c r="Q7" s="474"/>
      <c r="R7" s="82" t="str">
        <f t="shared" ref="R7:AD7" si="1">E9</f>
        <v>ML</v>
      </c>
      <c r="S7" s="82" t="str">
        <f t="shared" si="1"/>
        <v>ML</v>
      </c>
      <c r="T7" s="82" t="str">
        <f t="shared" si="1"/>
        <v>ML</v>
      </c>
      <c r="U7" s="82" t="str">
        <f t="shared" si="1"/>
        <v>ML</v>
      </c>
      <c r="V7" s="82" t="str">
        <f t="shared" si="1"/>
        <v>Dam</v>
      </c>
      <c r="W7" s="82" t="str">
        <f t="shared" si="1"/>
        <v>Dam</v>
      </c>
      <c r="X7" s="82" t="str">
        <f t="shared" si="1"/>
        <v>lump</v>
      </c>
      <c r="Y7" s="82" t="str">
        <f t="shared" si="1"/>
        <v>tonne</v>
      </c>
      <c r="Z7" s="82" t="str">
        <f t="shared" si="1"/>
        <v>tonne</v>
      </c>
      <c r="AA7" s="82" t="str">
        <f t="shared" si="1"/>
        <v>ML</v>
      </c>
      <c r="AB7" s="82" t="str">
        <f t="shared" si="1"/>
        <v>Item</v>
      </c>
      <c r="AC7" s="82" t="str">
        <f t="shared" si="1"/>
        <v>ML/day</v>
      </c>
      <c r="AD7" s="82" t="str">
        <f t="shared" si="1"/>
        <v>ML</v>
      </c>
    </row>
    <row r="8" spans="1:43" ht="106.15" customHeight="1">
      <c r="B8" s="773" t="s">
        <v>1517</v>
      </c>
      <c r="C8" s="773" t="s">
        <v>27</v>
      </c>
      <c r="D8" s="773" t="s">
        <v>77</v>
      </c>
      <c r="E8" s="773" t="str">
        <f>VLOOKUP(R4,TOV!$C$450:$G$462,3,FALSE)</f>
        <v>Water pH 5.5 Adjustment</v>
      </c>
      <c r="F8" s="773" t="str">
        <f>VLOOKUP(S4,TOV!$C$450:$G$462,3,FALSE)</f>
        <v>Water pH 4.5 Adjustment</v>
      </c>
      <c r="G8" s="773" t="str">
        <f>VLOOKUP(T4,TOV!$C$450:$G$462,3,FALSE)</f>
        <v>Water Salt Removal</v>
      </c>
      <c r="H8" s="773" t="str">
        <f>VLOOKUP(U4,TOV!$C$450:$G$462,3,FALSE)</f>
        <v>Water Organics Removal</v>
      </c>
      <c r="I8" s="773" t="str">
        <f>VLOOKUP(V4,TOV!$C$450:$G$462,3,FALSE)</f>
        <v>Naturally Evaporate Water in Pond</v>
      </c>
      <c r="J8" s="773" t="str">
        <f>VLOOKUP(W4,TOV!$C$450:$G$462,3,FALSE)</f>
        <v>Evaporate Water with Evaporators</v>
      </c>
      <c r="K8" s="773" t="str">
        <f>VLOOKUP(X4,TOV!$C$450:$G$462,3,FALSE)</f>
        <v>Mobilisation of Reverse Osmosis Unit</v>
      </c>
      <c r="L8" s="773" t="str">
        <f>VLOOKUP(Y4,TOV!$C$450:$G$462,3,FALSE)</f>
        <v>Salt disposal - load and transport</v>
      </c>
      <c r="M8" s="773" t="str">
        <f>VLOOKUP(Z4,TOV!$C$450:$G$462,3,FALSE)</f>
        <v>Salt disposal - gate fee</v>
      </c>
      <c r="N8" s="773" t="str">
        <f>VLOOKUP(AA4,TOV!$C$450:$G$462,3,FALSE)</f>
        <v>Water pumping / transfer</v>
      </c>
      <c r="O8" s="773" t="str">
        <f>VLOOKUP(AB4,TOV!$C$450:$G$462,3,FALSE)</f>
        <v xml:space="preserve">
Removal of evaporation fans and / or other water transfer and management infrastructure
</v>
      </c>
      <c r="P8" s="773" t="str">
        <f>VLOOKUP(AC4,TOV!$C$450:$G$462,3,FALSE)</f>
        <v>Dewatering Plant Decommissioning</v>
      </c>
      <c r="Q8" s="773" t="str">
        <f>VLOOKUP(AD4,TOV!$C$450:$G$462,3,FALSE)</f>
        <v>Water Management establishment, engineering, O&amp;M</v>
      </c>
      <c r="R8" s="773" t="str">
        <f t="shared" ref="R8:AD8" si="2">E8</f>
        <v>Water pH 5.5 Adjustment</v>
      </c>
      <c r="S8" s="773" t="str">
        <f t="shared" si="2"/>
        <v>Water pH 4.5 Adjustment</v>
      </c>
      <c r="T8" s="773" t="str">
        <f t="shared" si="2"/>
        <v>Water Salt Removal</v>
      </c>
      <c r="U8" s="773" t="str">
        <f t="shared" si="2"/>
        <v>Water Organics Removal</v>
      </c>
      <c r="V8" s="773" t="str">
        <f t="shared" si="2"/>
        <v>Naturally Evaporate Water in Pond</v>
      </c>
      <c r="W8" s="773" t="str">
        <f t="shared" si="2"/>
        <v>Evaporate Water with Evaporators</v>
      </c>
      <c r="X8" s="773" t="str">
        <f t="shared" si="2"/>
        <v>Mobilisation of Reverse Osmosis Unit</v>
      </c>
      <c r="Y8" s="773" t="str">
        <f t="shared" si="2"/>
        <v>Salt disposal - load and transport</v>
      </c>
      <c r="Z8" s="773" t="str">
        <f t="shared" si="2"/>
        <v>Salt disposal - gate fee</v>
      </c>
      <c r="AA8" s="773" t="str">
        <f t="shared" si="2"/>
        <v>Water pumping / transfer</v>
      </c>
      <c r="AB8" s="773" t="str">
        <f t="shared" si="2"/>
        <v xml:space="preserve">
Removal of evaporation fans and / or other water transfer and management infrastructure
</v>
      </c>
      <c r="AC8" s="773" t="str">
        <f t="shared" si="2"/>
        <v>Dewatering Plant Decommissioning</v>
      </c>
      <c r="AD8" s="773" t="str">
        <f t="shared" si="2"/>
        <v>Water Management establishment, engineering, O&amp;M</v>
      </c>
      <c r="AE8" s="864" t="s">
        <v>32</v>
      </c>
      <c r="AF8" s="773" t="s">
        <v>1844</v>
      </c>
      <c r="AG8" s="775" t="s">
        <v>1845</v>
      </c>
      <c r="AH8" s="776" t="s">
        <v>1526</v>
      </c>
      <c r="AI8" s="777"/>
      <c r="AJ8" s="777"/>
      <c r="AK8" s="777"/>
      <c r="AL8" s="777"/>
      <c r="AM8" s="777"/>
      <c r="AN8" s="777"/>
      <c r="AO8" s="778"/>
    </row>
    <row r="9" spans="1:43" ht="16.149999999999999" customHeight="1">
      <c r="B9" s="474"/>
      <c r="C9" s="474"/>
      <c r="D9" s="474"/>
      <c r="E9" s="82" t="str">
        <f>VLOOKUP(R4,TOV!$C$450:$G$462,5,FALSE)</f>
        <v>ML</v>
      </c>
      <c r="F9" s="82" t="str">
        <f>VLOOKUP(S4,TOV!$C$450:$G$462,5,FALSE)</f>
        <v>ML</v>
      </c>
      <c r="G9" s="82" t="str">
        <f>VLOOKUP(T4,TOV!$C$450:$G$462,5,FALSE)</f>
        <v>ML</v>
      </c>
      <c r="H9" s="82" t="str">
        <f>VLOOKUP(U4,TOV!$C$450:$G$462,5,FALSE)</f>
        <v>ML</v>
      </c>
      <c r="I9" s="82" t="str">
        <f>VLOOKUP(V4,TOV!$C$450:$G$462,5,FALSE)</f>
        <v>Dam</v>
      </c>
      <c r="J9" s="82" t="str">
        <f>VLOOKUP(W4,TOV!$C$450:$G$462,5,FALSE)</f>
        <v>Dam</v>
      </c>
      <c r="K9" s="82" t="str">
        <f>VLOOKUP(X4,TOV!$C$450:$G$462,5,FALSE)</f>
        <v>lump</v>
      </c>
      <c r="L9" s="82" t="str">
        <f>VLOOKUP(Y4,TOV!$C$450:$G$462,5,FALSE)</f>
        <v>tonne</v>
      </c>
      <c r="M9" s="82" t="str">
        <f>VLOOKUP(Z4,TOV!$C$450:$G$462,5,FALSE)</f>
        <v>tonne</v>
      </c>
      <c r="N9" s="82" t="str">
        <f>VLOOKUP(AA4,TOV!$C$450:$G$462,5,FALSE)</f>
        <v>ML</v>
      </c>
      <c r="O9" s="82" t="str">
        <f>VLOOKUP(AB4,TOV!$C$450:$G$462,5,FALSE)</f>
        <v>Item</v>
      </c>
      <c r="P9" s="82" t="str">
        <f>VLOOKUP(AC4,TOV!$C$450:$G$462,5,FALSE)</f>
        <v>ML/day</v>
      </c>
      <c r="Q9" s="82" t="str">
        <f>VLOOKUP(AD4,TOV!$C$450:$G$462,5,FALSE)</f>
        <v>ML</v>
      </c>
      <c r="R9" s="82" t="s">
        <v>76</v>
      </c>
      <c r="S9" s="82" t="s">
        <v>76</v>
      </c>
      <c r="T9" s="82" t="s">
        <v>76</v>
      </c>
      <c r="U9" s="82" t="s">
        <v>76</v>
      </c>
      <c r="V9" s="82" t="s">
        <v>76</v>
      </c>
      <c r="W9" s="82" t="s">
        <v>76</v>
      </c>
      <c r="X9" s="82" t="s">
        <v>76</v>
      </c>
      <c r="Y9" s="82" t="s">
        <v>76</v>
      </c>
      <c r="Z9" s="82" t="s">
        <v>76</v>
      </c>
      <c r="AA9" s="82" t="s">
        <v>76</v>
      </c>
      <c r="AB9" s="82" t="s">
        <v>76</v>
      </c>
      <c r="AC9" s="82" t="s">
        <v>76</v>
      </c>
      <c r="AD9" s="82" t="s">
        <v>76</v>
      </c>
      <c r="AF9" s="768"/>
      <c r="AG9" s="768"/>
      <c r="AI9" s="474"/>
      <c r="AJ9" s="474"/>
      <c r="AK9" s="474"/>
      <c r="AL9" s="474"/>
      <c r="AM9" s="474"/>
      <c r="AN9" s="474"/>
      <c r="AO9" s="474"/>
      <c r="AP9" s="474"/>
      <c r="AQ9" s="474"/>
    </row>
    <row r="10" spans="1:43" ht="16.149999999999999" customHeight="1">
      <c r="B10" s="474"/>
      <c r="C10" s="474"/>
      <c r="D10" s="771" t="s">
        <v>1846</v>
      </c>
      <c r="I10" s="771" t="s">
        <v>1847</v>
      </c>
      <c r="J10" s="771" t="s">
        <v>1847</v>
      </c>
      <c r="K10" s="771" t="s">
        <v>1847</v>
      </c>
      <c r="L10" s="1040"/>
      <c r="M10" s="1040"/>
      <c r="N10" s="1040"/>
      <c r="O10" s="771" t="s">
        <v>1847</v>
      </c>
      <c r="AG10" s="475"/>
      <c r="AP10" s="474"/>
      <c r="AQ10" s="474"/>
    </row>
    <row r="11" spans="1:43" ht="15">
      <c r="B11" s="310"/>
      <c r="C11" s="989">
        <v>1</v>
      </c>
      <c r="D11" s="168"/>
      <c r="E11" s="316"/>
      <c r="F11" s="316"/>
      <c r="G11" s="316"/>
      <c r="H11" s="316"/>
      <c r="I11" s="42"/>
      <c r="J11" s="42"/>
      <c r="K11" s="42"/>
      <c r="L11" s="316"/>
      <c r="M11" s="316">
        <f>L11</f>
        <v>0</v>
      </c>
      <c r="N11" s="316"/>
      <c r="O11" s="78"/>
      <c r="P11" s="316"/>
      <c r="Q11" s="316"/>
      <c r="R11" s="351">
        <f>IF(R$6&lt;&gt;"",R$6*E11,R$5*E11)</f>
        <v>0</v>
      </c>
      <c r="S11" s="351">
        <f>IF(S$6&lt;&gt;"",S$6*F11,S$5*F11)</f>
        <v>0</v>
      </c>
      <c r="T11" s="351">
        <f t="shared" ref="T11:AD11" si="3">IF(T$6&lt;&gt;"",T$6*G11,T$5*G11)</f>
        <v>0</v>
      </c>
      <c r="U11" s="351">
        <f t="shared" si="3"/>
        <v>0</v>
      </c>
      <c r="V11" s="351">
        <f t="shared" si="3"/>
        <v>0</v>
      </c>
      <c r="W11" s="351">
        <f t="shared" si="3"/>
        <v>0</v>
      </c>
      <c r="X11" s="351">
        <f t="shared" si="3"/>
        <v>0</v>
      </c>
      <c r="Y11" s="351">
        <f t="shared" si="3"/>
        <v>0</v>
      </c>
      <c r="Z11" s="351">
        <f t="shared" si="3"/>
        <v>0</v>
      </c>
      <c r="AA11" s="351">
        <f t="shared" si="3"/>
        <v>0</v>
      </c>
      <c r="AB11" s="351">
        <f t="shared" si="3"/>
        <v>0</v>
      </c>
      <c r="AC11" s="351">
        <f t="shared" si="3"/>
        <v>0</v>
      </c>
      <c r="AD11" s="351">
        <f t="shared" si="3"/>
        <v>0</v>
      </c>
      <c r="AE11" s="116">
        <f t="shared" ref="AE11:AE30" si="4">SUM(R11:AD11)</f>
        <v>0</v>
      </c>
      <c r="AF11" s="291"/>
      <c r="AG11" s="116">
        <f>IF(AF11="",AE11,AF11)</f>
        <v>0</v>
      </c>
      <c r="AH11" s="215"/>
      <c r="AI11" s="217"/>
      <c r="AJ11" s="217"/>
      <c r="AK11" s="217"/>
      <c r="AL11" s="217"/>
      <c r="AM11" s="217"/>
      <c r="AN11" s="217"/>
      <c r="AO11" s="218"/>
    </row>
    <row r="12" spans="1:43" ht="15">
      <c r="B12" s="310"/>
      <c r="C12" s="989">
        <f>C11+1</f>
        <v>2</v>
      </c>
      <c r="D12" s="168"/>
      <c r="E12" s="316"/>
      <c r="F12" s="316"/>
      <c r="G12" s="316"/>
      <c r="H12" s="316"/>
      <c r="I12" s="42"/>
      <c r="J12" s="78"/>
      <c r="K12" s="78"/>
      <c r="L12" s="318"/>
      <c r="M12" s="316">
        <f t="shared" ref="M12:M30" si="5">L12</f>
        <v>0</v>
      </c>
      <c r="N12" s="316"/>
      <c r="O12" s="78"/>
      <c r="P12" s="316"/>
      <c r="Q12" s="316"/>
      <c r="R12" s="351">
        <f t="shared" ref="R12:R30" si="6">IF(R$6&lt;&gt;"",R$6*E12,R$5*E12)</f>
        <v>0</v>
      </c>
      <c r="S12" s="351">
        <f t="shared" ref="S12:S30" si="7">IF(S$6&lt;&gt;"",S$6*F12,S$5*F12)</f>
        <v>0</v>
      </c>
      <c r="T12" s="351">
        <f t="shared" ref="T12:T30" si="8">IF(T$6&lt;&gt;"",T$6*G12,T$5*G12)</f>
        <v>0</v>
      </c>
      <c r="U12" s="351">
        <f t="shared" ref="U12:U30" si="9">IF(U$6&lt;&gt;"",U$6*H12,U$5*H12)</f>
        <v>0</v>
      </c>
      <c r="V12" s="351">
        <f>IF(V$6&lt;&gt;"",V$6*I12,V$5*I12)</f>
        <v>0</v>
      </c>
      <c r="W12" s="351">
        <f t="shared" ref="W12:W30" si="10">IF(W$6&lt;&gt;"",W$6*J12,W$5*J12)</f>
        <v>0</v>
      </c>
      <c r="X12" s="351">
        <f t="shared" ref="X12:X30" si="11">IF(X$6&lt;&gt;"",X$6*K12,X$5*K12)</f>
        <v>0</v>
      </c>
      <c r="Y12" s="351">
        <f t="shared" ref="Y12:Y30" si="12">IF(Y$6&lt;&gt;"",Y$6*L12,Y$5*L12)</f>
        <v>0</v>
      </c>
      <c r="Z12" s="351">
        <f t="shared" ref="Z12:Z30" si="13">IF(Z$6&lt;&gt;"",Z$6*M12,Z$5*M12)</f>
        <v>0</v>
      </c>
      <c r="AA12" s="351">
        <f t="shared" ref="AA12:AA30" si="14">IF(AA$6&lt;&gt;"",AA$6*N12,AA$5*N12)</f>
        <v>0</v>
      </c>
      <c r="AB12" s="351">
        <f t="shared" ref="AB12:AB30" si="15">IF(AB$6&lt;&gt;"",AB$6*O12,AB$5*O12)</f>
        <v>0</v>
      </c>
      <c r="AC12" s="351">
        <f t="shared" ref="AC12:AC30" si="16">IF(AC$6&lt;&gt;"",AC$6*P12,AC$5*P12)</f>
        <v>0</v>
      </c>
      <c r="AD12" s="351">
        <f t="shared" ref="AD12:AD30" si="17">IF(AD$6&lt;&gt;"",AD$6*Q12,AD$5*Q12)</f>
        <v>0</v>
      </c>
      <c r="AE12" s="116">
        <f t="shared" si="4"/>
        <v>0</v>
      </c>
      <c r="AF12" s="291"/>
      <c r="AG12" s="116">
        <f t="shared" ref="AG12:AG30" si="18">IF(AF12="",AE12,AF12)</f>
        <v>0</v>
      </c>
      <c r="AH12" s="215"/>
      <c r="AI12" s="217"/>
      <c r="AJ12" s="217"/>
      <c r="AK12" s="217"/>
      <c r="AL12" s="217"/>
      <c r="AM12" s="217"/>
      <c r="AN12" s="217"/>
      <c r="AO12" s="218"/>
    </row>
    <row r="13" spans="1:43" ht="15">
      <c r="B13" s="310"/>
      <c r="C13" s="989">
        <f t="shared" ref="C13:C30" si="19">C12+1</f>
        <v>3</v>
      </c>
      <c r="D13" s="168"/>
      <c r="E13" s="316"/>
      <c r="F13" s="316"/>
      <c r="G13" s="316"/>
      <c r="H13" s="316"/>
      <c r="I13" s="42"/>
      <c r="J13" s="78"/>
      <c r="K13" s="78"/>
      <c r="L13" s="318"/>
      <c r="M13" s="316">
        <f t="shared" si="5"/>
        <v>0</v>
      </c>
      <c r="N13" s="316"/>
      <c r="O13" s="78"/>
      <c r="P13" s="316"/>
      <c r="Q13" s="316"/>
      <c r="R13" s="351">
        <f t="shared" si="6"/>
        <v>0</v>
      </c>
      <c r="S13" s="351">
        <f t="shared" si="7"/>
        <v>0</v>
      </c>
      <c r="T13" s="351">
        <f t="shared" si="8"/>
        <v>0</v>
      </c>
      <c r="U13" s="351">
        <f t="shared" si="9"/>
        <v>0</v>
      </c>
      <c r="V13" s="351">
        <f t="shared" ref="V13:V30" si="20">IF(V$6&lt;&gt;"",V$6*I13,V$5*I13)</f>
        <v>0</v>
      </c>
      <c r="W13" s="351">
        <f t="shared" si="10"/>
        <v>0</v>
      </c>
      <c r="X13" s="351">
        <f t="shared" si="11"/>
        <v>0</v>
      </c>
      <c r="Y13" s="351">
        <f t="shared" si="12"/>
        <v>0</v>
      </c>
      <c r="Z13" s="351">
        <f t="shared" si="13"/>
        <v>0</v>
      </c>
      <c r="AA13" s="351">
        <f t="shared" si="14"/>
        <v>0</v>
      </c>
      <c r="AB13" s="351">
        <f t="shared" si="15"/>
        <v>0</v>
      </c>
      <c r="AC13" s="351">
        <f t="shared" si="16"/>
        <v>0</v>
      </c>
      <c r="AD13" s="351">
        <f t="shared" si="17"/>
        <v>0</v>
      </c>
      <c r="AE13" s="116">
        <f t="shared" si="4"/>
        <v>0</v>
      </c>
      <c r="AF13" s="291"/>
      <c r="AG13" s="116">
        <f t="shared" si="18"/>
        <v>0</v>
      </c>
      <c r="AH13" s="215"/>
      <c r="AI13" s="217"/>
      <c r="AJ13" s="217"/>
      <c r="AK13" s="217"/>
      <c r="AL13" s="217"/>
      <c r="AM13" s="217"/>
      <c r="AN13" s="217"/>
      <c r="AO13" s="218"/>
    </row>
    <row r="14" spans="1:43" ht="15">
      <c r="B14" s="310"/>
      <c r="C14" s="989">
        <f t="shared" si="19"/>
        <v>4</v>
      </c>
      <c r="D14" s="168"/>
      <c r="E14" s="316"/>
      <c r="F14" s="316"/>
      <c r="G14" s="316"/>
      <c r="H14" s="316"/>
      <c r="I14" s="42"/>
      <c r="J14" s="78"/>
      <c r="K14" s="78"/>
      <c r="L14" s="318"/>
      <c r="M14" s="316">
        <f t="shared" si="5"/>
        <v>0</v>
      </c>
      <c r="N14" s="316"/>
      <c r="O14" s="78"/>
      <c r="P14" s="316"/>
      <c r="Q14" s="316"/>
      <c r="R14" s="351">
        <f t="shared" si="6"/>
        <v>0</v>
      </c>
      <c r="S14" s="351">
        <f t="shared" si="7"/>
        <v>0</v>
      </c>
      <c r="T14" s="351">
        <f t="shared" si="8"/>
        <v>0</v>
      </c>
      <c r="U14" s="351">
        <f t="shared" si="9"/>
        <v>0</v>
      </c>
      <c r="V14" s="351">
        <f t="shared" si="20"/>
        <v>0</v>
      </c>
      <c r="W14" s="351">
        <f t="shared" si="10"/>
        <v>0</v>
      </c>
      <c r="X14" s="351">
        <f t="shared" si="11"/>
        <v>0</v>
      </c>
      <c r="Y14" s="351">
        <f t="shared" si="12"/>
        <v>0</v>
      </c>
      <c r="Z14" s="351">
        <f t="shared" si="13"/>
        <v>0</v>
      </c>
      <c r="AA14" s="351">
        <f t="shared" si="14"/>
        <v>0</v>
      </c>
      <c r="AB14" s="351">
        <f t="shared" si="15"/>
        <v>0</v>
      </c>
      <c r="AC14" s="351">
        <f t="shared" si="16"/>
        <v>0</v>
      </c>
      <c r="AD14" s="351">
        <f t="shared" si="17"/>
        <v>0</v>
      </c>
      <c r="AE14" s="116">
        <f t="shared" si="4"/>
        <v>0</v>
      </c>
      <c r="AF14" s="291"/>
      <c r="AG14" s="116">
        <f t="shared" si="18"/>
        <v>0</v>
      </c>
      <c r="AH14" s="215"/>
      <c r="AI14" s="217"/>
      <c r="AJ14" s="217"/>
      <c r="AK14" s="217"/>
      <c r="AL14" s="217"/>
      <c r="AM14" s="217"/>
      <c r="AN14" s="217"/>
      <c r="AO14" s="218"/>
    </row>
    <row r="15" spans="1:43" ht="15">
      <c r="B15" s="310"/>
      <c r="C15" s="989">
        <f t="shared" si="19"/>
        <v>5</v>
      </c>
      <c r="D15" s="168"/>
      <c r="E15" s="316"/>
      <c r="F15" s="316"/>
      <c r="G15" s="316"/>
      <c r="H15" s="316"/>
      <c r="I15" s="42"/>
      <c r="J15" s="78"/>
      <c r="K15" s="78"/>
      <c r="L15" s="318"/>
      <c r="M15" s="316">
        <f t="shared" si="5"/>
        <v>0</v>
      </c>
      <c r="N15" s="316"/>
      <c r="O15" s="78"/>
      <c r="P15" s="316"/>
      <c r="Q15" s="316"/>
      <c r="R15" s="351">
        <f t="shared" si="6"/>
        <v>0</v>
      </c>
      <c r="S15" s="351">
        <f t="shared" si="7"/>
        <v>0</v>
      </c>
      <c r="T15" s="351">
        <f t="shared" si="8"/>
        <v>0</v>
      </c>
      <c r="U15" s="351">
        <f t="shared" si="9"/>
        <v>0</v>
      </c>
      <c r="V15" s="351">
        <f t="shared" si="20"/>
        <v>0</v>
      </c>
      <c r="W15" s="351">
        <f t="shared" si="10"/>
        <v>0</v>
      </c>
      <c r="X15" s="351">
        <f t="shared" si="11"/>
        <v>0</v>
      </c>
      <c r="Y15" s="351">
        <f t="shared" si="12"/>
        <v>0</v>
      </c>
      <c r="Z15" s="351">
        <f t="shared" si="13"/>
        <v>0</v>
      </c>
      <c r="AA15" s="351">
        <f t="shared" si="14"/>
        <v>0</v>
      </c>
      <c r="AB15" s="351">
        <f t="shared" si="15"/>
        <v>0</v>
      </c>
      <c r="AC15" s="351">
        <f t="shared" si="16"/>
        <v>0</v>
      </c>
      <c r="AD15" s="351">
        <f t="shared" si="17"/>
        <v>0</v>
      </c>
      <c r="AE15" s="116">
        <f t="shared" si="4"/>
        <v>0</v>
      </c>
      <c r="AF15" s="291"/>
      <c r="AG15" s="116">
        <f t="shared" si="18"/>
        <v>0</v>
      </c>
      <c r="AH15" s="215"/>
      <c r="AI15" s="217"/>
      <c r="AJ15" s="217"/>
      <c r="AK15" s="217"/>
      <c r="AL15" s="217"/>
      <c r="AM15" s="217"/>
      <c r="AN15" s="217"/>
      <c r="AO15" s="218"/>
    </row>
    <row r="16" spans="1:43" ht="15">
      <c r="B16" s="310"/>
      <c r="C16" s="989">
        <f t="shared" si="19"/>
        <v>6</v>
      </c>
      <c r="D16" s="168"/>
      <c r="E16" s="316"/>
      <c r="F16" s="316"/>
      <c r="G16" s="316"/>
      <c r="H16" s="316"/>
      <c r="I16" s="42"/>
      <c r="J16" s="78"/>
      <c r="K16" s="78"/>
      <c r="L16" s="318"/>
      <c r="M16" s="316">
        <f t="shared" si="5"/>
        <v>0</v>
      </c>
      <c r="N16" s="316"/>
      <c r="O16" s="78"/>
      <c r="P16" s="316"/>
      <c r="Q16" s="316"/>
      <c r="R16" s="351">
        <f t="shared" si="6"/>
        <v>0</v>
      </c>
      <c r="S16" s="351">
        <f t="shared" si="7"/>
        <v>0</v>
      </c>
      <c r="T16" s="351">
        <f t="shared" si="8"/>
        <v>0</v>
      </c>
      <c r="U16" s="351">
        <f t="shared" si="9"/>
        <v>0</v>
      </c>
      <c r="V16" s="351">
        <f t="shared" si="20"/>
        <v>0</v>
      </c>
      <c r="W16" s="351">
        <f t="shared" si="10"/>
        <v>0</v>
      </c>
      <c r="X16" s="351">
        <f t="shared" si="11"/>
        <v>0</v>
      </c>
      <c r="Y16" s="351">
        <f t="shared" si="12"/>
        <v>0</v>
      </c>
      <c r="Z16" s="351">
        <f t="shared" si="13"/>
        <v>0</v>
      </c>
      <c r="AA16" s="351">
        <f t="shared" si="14"/>
        <v>0</v>
      </c>
      <c r="AB16" s="351">
        <f t="shared" si="15"/>
        <v>0</v>
      </c>
      <c r="AC16" s="351">
        <f t="shared" si="16"/>
        <v>0</v>
      </c>
      <c r="AD16" s="351">
        <f t="shared" si="17"/>
        <v>0</v>
      </c>
      <c r="AE16" s="116">
        <f t="shared" si="4"/>
        <v>0</v>
      </c>
      <c r="AF16" s="291"/>
      <c r="AG16" s="116">
        <f t="shared" si="18"/>
        <v>0</v>
      </c>
      <c r="AH16" s="215"/>
      <c r="AI16" s="217"/>
      <c r="AJ16" s="217"/>
      <c r="AK16" s="217"/>
      <c r="AL16" s="217"/>
      <c r="AM16" s="217"/>
      <c r="AN16" s="217"/>
      <c r="AO16" s="218"/>
    </row>
    <row r="17" spans="2:41" ht="15">
      <c r="B17" s="310"/>
      <c r="C17" s="989">
        <f t="shared" si="19"/>
        <v>7</v>
      </c>
      <c r="D17" s="168"/>
      <c r="E17" s="316"/>
      <c r="F17" s="316"/>
      <c r="G17" s="316"/>
      <c r="H17" s="316"/>
      <c r="I17" s="42"/>
      <c r="J17" s="78"/>
      <c r="K17" s="78"/>
      <c r="L17" s="318"/>
      <c r="M17" s="316">
        <f t="shared" si="5"/>
        <v>0</v>
      </c>
      <c r="N17" s="316"/>
      <c r="O17" s="78"/>
      <c r="P17" s="316"/>
      <c r="Q17" s="316"/>
      <c r="R17" s="351">
        <f t="shared" si="6"/>
        <v>0</v>
      </c>
      <c r="S17" s="351">
        <f t="shared" si="7"/>
        <v>0</v>
      </c>
      <c r="T17" s="351">
        <f t="shared" si="8"/>
        <v>0</v>
      </c>
      <c r="U17" s="351">
        <f t="shared" si="9"/>
        <v>0</v>
      </c>
      <c r="V17" s="351">
        <f t="shared" si="20"/>
        <v>0</v>
      </c>
      <c r="W17" s="351">
        <f t="shared" si="10"/>
        <v>0</v>
      </c>
      <c r="X17" s="351">
        <f t="shared" si="11"/>
        <v>0</v>
      </c>
      <c r="Y17" s="351">
        <f t="shared" si="12"/>
        <v>0</v>
      </c>
      <c r="Z17" s="351">
        <f t="shared" si="13"/>
        <v>0</v>
      </c>
      <c r="AA17" s="351">
        <f t="shared" si="14"/>
        <v>0</v>
      </c>
      <c r="AB17" s="351">
        <f t="shared" si="15"/>
        <v>0</v>
      </c>
      <c r="AC17" s="351">
        <f t="shared" si="16"/>
        <v>0</v>
      </c>
      <c r="AD17" s="351">
        <f t="shared" si="17"/>
        <v>0</v>
      </c>
      <c r="AE17" s="116">
        <f t="shared" si="4"/>
        <v>0</v>
      </c>
      <c r="AF17" s="291"/>
      <c r="AG17" s="116">
        <f t="shared" si="18"/>
        <v>0</v>
      </c>
      <c r="AH17" s="215"/>
      <c r="AI17" s="217"/>
      <c r="AJ17" s="217"/>
      <c r="AK17" s="217"/>
      <c r="AL17" s="217"/>
      <c r="AM17" s="217"/>
      <c r="AN17" s="217"/>
      <c r="AO17" s="218"/>
    </row>
    <row r="18" spans="2:41" ht="15">
      <c r="B18" s="310"/>
      <c r="C18" s="989">
        <f t="shared" si="19"/>
        <v>8</v>
      </c>
      <c r="D18" s="168"/>
      <c r="E18" s="316"/>
      <c r="F18" s="316"/>
      <c r="G18" s="316"/>
      <c r="H18" s="316"/>
      <c r="I18" s="42"/>
      <c r="J18" s="78"/>
      <c r="K18" s="78"/>
      <c r="L18" s="318"/>
      <c r="M18" s="316">
        <f t="shared" si="5"/>
        <v>0</v>
      </c>
      <c r="N18" s="316"/>
      <c r="O18" s="78"/>
      <c r="P18" s="316"/>
      <c r="Q18" s="316"/>
      <c r="R18" s="351">
        <f t="shared" si="6"/>
        <v>0</v>
      </c>
      <c r="S18" s="351">
        <f t="shared" si="7"/>
        <v>0</v>
      </c>
      <c r="T18" s="351">
        <f t="shared" si="8"/>
        <v>0</v>
      </c>
      <c r="U18" s="351">
        <f t="shared" si="9"/>
        <v>0</v>
      </c>
      <c r="V18" s="351">
        <f t="shared" si="20"/>
        <v>0</v>
      </c>
      <c r="W18" s="351">
        <f t="shared" si="10"/>
        <v>0</v>
      </c>
      <c r="X18" s="351">
        <f t="shared" si="11"/>
        <v>0</v>
      </c>
      <c r="Y18" s="351">
        <f t="shared" si="12"/>
        <v>0</v>
      </c>
      <c r="Z18" s="351">
        <f t="shared" si="13"/>
        <v>0</v>
      </c>
      <c r="AA18" s="351">
        <f t="shared" si="14"/>
        <v>0</v>
      </c>
      <c r="AB18" s="351">
        <f t="shared" si="15"/>
        <v>0</v>
      </c>
      <c r="AC18" s="351">
        <f t="shared" si="16"/>
        <v>0</v>
      </c>
      <c r="AD18" s="351">
        <f t="shared" si="17"/>
        <v>0</v>
      </c>
      <c r="AE18" s="116">
        <f t="shared" si="4"/>
        <v>0</v>
      </c>
      <c r="AF18" s="291"/>
      <c r="AG18" s="116">
        <f t="shared" si="18"/>
        <v>0</v>
      </c>
      <c r="AH18" s="215"/>
      <c r="AI18" s="217"/>
      <c r="AJ18" s="217"/>
      <c r="AK18" s="217"/>
      <c r="AL18" s="217"/>
      <c r="AM18" s="217"/>
      <c r="AN18" s="217"/>
      <c r="AO18" s="218"/>
    </row>
    <row r="19" spans="2:41" ht="15">
      <c r="B19" s="310"/>
      <c r="C19" s="989">
        <f t="shared" si="19"/>
        <v>9</v>
      </c>
      <c r="D19" s="168"/>
      <c r="E19" s="316"/>
      <c r="F19" s="316"/>
      <c r="G19" s="316"/>
      <c r="H19" s="316"/>
      <c r="I19" s="42"/>
      <c r="J19" s="78"/>
      <c r="K19" s="78"/>
      <c r="L19" s="318"/>
      <c r="M19" s="316">
        <f t="shared" si="5"/>
        <v>0</v>
      </c>
      <c r="N19" s="316"/>
      <c r="O19" s="78"/>
      <c r="P19" s="316"/>
      <c r="Q19" s="316"/>
      <c r="R19" s="351">
        <f t="shared" si="6"/>
        <v>0</v>
      </c>
      <c r="S19" s="351">
        <f t="shared" si="7"/>
        <v>0</v>
      </c>
      <c r="T19" s="351">
        <f t="shared" si="8"/>
        <v>0</v>
      </c>
      <c r="U19" s="351">
        <f t="shared" si="9"/>
        <v>0</v>
      </c>
      <c r="V19" s="351">
        <f t="shared" si="20"/>
        <v>0</v>
      </c>
      <c r="W19" s="351">
        <f t="shared" si="10"/>
        <v>0</v>
      </c>
      <c r="X19" s="351">
        <f t="shared" si="11"/>
        <v>0</v>
      </c>
      <c r="Y19" s="351">
        <f t="shared" si="12"/>
        <v>0</v>
      </c>
      <c r="Z19" s="351">
        <f t="shared" si="13"/>
        <v>0</v>
      </c>
      <c r="AA19" s="351">
        <f t="shared" si="14"/>
        <v>0</v>
      </c>
      <c r="AB19" s="351">
        <f t="shared" si="15"/>
        <v>0</v>
      </c>
      <c r="AC19" s="351">
        <f t="shared" si="16"/>
        <v>0</v>
      </c>
      <c r="AD19" s="351">
        <f t="shared" si="17"/>
        <v>0</v>
      </c>
      <c r="AE19" s="116">
        <f t="shared" si="4"/>
        <v>0</v>
      </c>
      <c r="AF19" s="291"/>
      <c r="AG19" s="116">
        <f t="shared" si="18"/>
        <v>0</v>
      </c>
      <c r="AH19" s="215"/>
      <c r="AI19" s="217"/>
      <c r="AJ19" s="217"/>
      <c r="AK19" s="217"/>
      <c r="AL19" s="217"/>
      <c r="AM19" s="217"/>
      <c r="AN19" s="217"/>
      <c r="AO19" s="218"/>
    </row>
    <row r="20" spans="2:41" ht="15">
      <c r="B20" s="310"/>
      <c r="C20" s="989">
        <f t="shared" si="19"/>
        <v>10</v>
      </c>
      <c r="D20" s="168"/>
      <c r="E20" s="316"/>
      <c r="F20" s="316"/>
      <c r="G20" s="316"/>
      <c r="H20" s="316"/>
      <c r="I20" s="42"/>
      <c r="J20" s="78"/>
      <c r="K20" s="78"/>
      <c r="L20" s="318"/>
      <c r="M20" s="316">
        <f t="shared" si="5"/>
        <v>0</v>
      </c>
      <c r="N20" s="316"/>
      <c r="O20" s="78"/>
      <c r="P20" s="316"/>
      <c r="Q20" s="316"/>
      <c r="R20" s="351">
        <f t="shared" si="6"/>
        <v>0</v>
      </c>
      <c r="S20" s="351">
        <f t="shared" si="7"/>
        <v>0</v>
      </c>
      <c r="T20" s="351">
        <f t="shared" si="8"/>
        <v>0</v>
      </c>
      <c r="U20" s="351">
        <f t="shared" si="9"/>
        <v>0</v>
      </c>
      <c r="V20" s="351">
        <f t="shared" si="20"/>
        <v>0</v>
      </c>
      <c r="W20" s="351">
        <f t="shared" si="10"/>
        <v>0</v>
      </c>
      <c r="X20" s="351">
        <f t="shared" si="11"/>
        <v>0</v>
      </c>
      <c r="Y20" s="351">
        <f t="shared" si="12"/>
        <v>0</v>
      </c>
      <c r="Z20" s="351">
        <f t="shared" si="13"/>
        <v>0</v>
      </c>
      <c r="AA20" s="351">
        <f t="shared" si="14"/>
        <v>0</v>
      </c>
      <c r="AB20" s="351">
        <f t="shared" si="15"/>
        <v>0</v>
      </c>
      <c r="AC20" s="351">
        <f t="shared" si="16"/>
        <v>0</v>
      </c>
      <c r="AD20" s="351">
        <f t="shared" si="17"/>
        <v>0</v>
      </c>
      <c r="AE20" s="116">
        <f t="shared" si="4"/>
        <v>0</v>
      </c>
      <c r="AF20" s="291"/>
      <c r="AG20" s="116">
        <f t="shared" si="18"/>
        <v>0</v>
      </c>
      <c r="AH20" s="215"/>
      <c r="AI20" s="217"/>
      <c r="AJ20" s="217"/>
      <c r="AK20" s="217"/>
      <c r="AL20" s="217"/>
      <c r="AM20" s="217"/>
      <c r="AN20" s="217"/>
      <c r="AO20" s="218"/>
    </row>
    <row r="21" spans="2:41" ht="15">
      <c r="B21" s="310"/>
      <c r="C21" s="989">
        <f t="shared" si="19"/>
        <v>11</v>
      </c>
      <c r="D21" s="168"/>
      <c r="E21" s="316"/>
      <c r="F21" s="316"/>
      <c r="G21" s="316"/>
      <c r="H21" s="316"/>
      <c r="I21" s="42"/>
      <c r="J21" s="78"/>
      <c r="K21" s="78"/>
      <c r="L21" s="318"/>
      <c r="M21" s="316">
        <f t="shared" si="5"/>
        <v>0</v>
      </c>
      <c r="N21" s="316"/>
      <c r="O21" s="78"/>
      <c r="P21" s="316"/>
      <c r="Q21" s="316"/>
      <c r="R21" s="351">
        <f t="shared" si="6"/>
        <v>0</v>
      </c>
      <c r="S21" s="351">
        <f t="shared" si="7"/>
        <v>0</v>
      </c>
      <c r="T21" s="351">
        <f t="shared" si="8"/>
        <v>0</v>
      </c>
      <c r="U21" s="351">
        <f t="shared" si="9"/>
        <v>0</v>
      </c>
      <c r="V21" s="351">
        <f t="shared" si="20"/>
        <v>0</v>
      </c>
      <c r="W21" s="351">
        <f t="shared" si="10"/>
        <v>0</v>
      </c>
      <c r="X21" s="351">
        <f t="shared" si="11"/>
        <v>0</v>
      </c>
      <c r="Y21" s="351">
        <f t="shared" si="12"/>
        <v>0</v>
      </c>
      <c r="Z21" s="351">
        <f t="shared" si="13"/>
        <v>0</v>
      </c>
      <c r="AA21" s="351">
        <f t="shared" si="14"/>
        <v>0</v>
      </c>
      <c r="AB21" s="351">
        <f t="shared" si="15"/>
        <v>0</v>
      </c>
      <c r="AC21" s="351">
        <f t="shared" si="16"/>
        <v>0</v>
      </c>
      <c r="AD21" s="351">
        <f t="shared" si="17"/>
        <v>0</v>
      </c>
      <c r="AE21" s="116">
        <f t="shared" si="4"/>
        <v>0</v>
      </c>
      <c r="AF21" s="291"/>
      <c r="AG21" s="116">
        <f t="shared" si="18"/>
        <v>0</v>
      </c>
      <c r="AH21" s="215"/>
      <c r="AI21" s="217"/>
      <c r="AJ21" s="217"/>
      <c r="AK21" s="217"/>
      <c r="AL21" s="217"/>
      <c r="AM21" s="217"/>
      <c r="AN21" s="217"/>
      <c r="AO21" s="218"/>
    </row>
    <row r="22" spans="2:41" ht="15">
      <c r="B22" s="310"/>
      <c r="C22" s="989">
        <f t="shared" si="19"/>
        <v>12</v>
      </c>
      <c r="D22" s="168"/>
      <c r="E22" s="316"/>
      <c r="F22" s="316"/>
      <c r="G22" s="316"/>
      <c r="H22" s="316"/>
      <c r="I22" s="42"/>
      <c r="J22" s="78"/>
      <c r="K22" s="78"/>
      <c r="L22" s="318"/>
      <c r="M22" s="316">
        <f t="shared" si="5"/>
        <v>0</v>
      </c>
      <c r="N22" s="316"/>
      <c r="O22" s="78"/>
      <c r="P22" s="316"/>
      <c r="Q22" s="316"/>
      <c r="R22" s="351">
        <f t="shared" si="6"/>
        <v>0</v>
      </c>
      <c r="S22" s="351">
        <f t="shared" si="7"/>
        <v>0</v>
      </c>
      <c r="T22" s="351">
        <f t="shared" si="8"/>
        <v>0</v>
      </c>
      <c r="U22" s="351">
        <f t="shared" si="9"/>
        <v>0</v>
      </c>
      <c r="V22" s="351">
        <f t="shared" si="20"/>
        <v>0</v>
      </c>
      <c r="W22" s="351">
        <f t="shared" si="10"/>
        <v>0</v>
      </c>
      <c r="X22" s="351">
        <f t="shared" si="11"/>
        <v>0</v>
      </c>
      <c r="Y22" s="351">
        <f t="shared" si="12"/>
        <v>0</v>
      </c>
      <c r="Z22" s="351">
        <f t="shared" si="13"/>
        <v>0</v>
      </c>
      <c r="AA22" s="351">
        <f t="shared" si="14"/>
        <v>0</v>
      </c>
      <c r="AB22" s="351">
        <f t="shared" si="15"/>
        <v>0</v>
      </c>
      <c r="AC22" s="351">
        <f t="shared" si="16"/>
        <v>0</v>
      </c>
      <c r="AD22" s="351">
        <f t="shared" si="17"/>
        <v>0</v>
      </c>
      <c r="AE22" s="116">
        <f t="shared" si="4"/>
        <v>0</v>
      </c>
      <c r="AF22" s="291"/>
      <c r="AG22" s="116">
        <f t="shared" si="18"/>
        <v>0</v>
      </c>
      <c r="AH22" s="215"/>
      <c r="AI22" s="217"/>
      <c r="AJ22" s="217"/>
      <c r="AK22" s="217"/>
      <c r="AL22" s="217"/>
      <c r="AM22" s="217"/>
      <c r="AN22" s="217"/>
      <c r="AO22" s="218"/>
    </row>
    <row r="23" spans="2:41" ht="15">
      <c r="B23" s="310"/>
      <c r="C23" s="989">
        <f t="shared" si="19"/>
        <v>13</v>
      </c>
      <c r="D23" s="168"/>
      <c r="E23" s="316"/>
      <c r="F23" s="316"/>
      <c r="G23" s="316"/>
      <c r="H23" s="316"/>
      <c r="I23" s="42"/>
      <c r="J23" s="78"/>
      <c r="K23" s="78"/>
      <c r="L23" s="318"/>
      <c r="M23" s="316">
        <f t="shared" si="5"/>
        <v>0</v>
      </c>
      <c r="N23" s="316"/>
      <c r="O23" s="78"/>
      <c r="P23" s="316"/>
      <c r="Q23" s="316"/>
      <c r="R23" s="351">
        <f t="shared" si="6"/>
        <v>0</v>
      </c>
      <c r="S23" s="351">
        <f t="shared" si="7"/>
        <v>0</v>
      </c>
      <c r="T23" s="351">
        <f t="shared" si="8"/>
        <v>0</v>
      </c>
      <c r="U23" s="351">
        <f t="shared" si="9"/>
        <v>0</v>
      </c>
      <c r="V23" s="351">
        <f t="shared" si="20"/>
        <v>0</v>
      </c>
      <c r="W23" s="351">
        <f t="shared" si="10"/>
        <v>0</v>
      </c>
      <c r="X23" s="351">
        <f t="shared" si="11"/>
        <v>0</v>
      </c>
      <c r="Y23" s="351">
        <f t="shared" si="12"/>
        <v>0</v>
      </c>
      <c r="Z23" s="351">
        <f t="shared" si="13"/>
        <v>0</v>
      </c>
      <c r="AA23" s="351">
        <f t="shared" si="14"/>
        <v>0</v>
      </c>
      <c r="AB23" s="351">
        <f t="shared" si="15"/>
        <v>0</v>
      </c>
      <c r="AC23" s="351">
        <f t="shared" si="16"/>
        <v>0</v>
      </c>
      <c r="AD23" s="351">
        <f t="shared" si="17"/>
        <v>0</v>
      </c>
      <c r="AE23" s="116">
        <f t="shared" si="4"/>
        <v>0</v>
      </c>
      <c r="AF23" s="291"/>
      <c r="AG23" s="116">
        <f t="shared" si="18"/>
        <v>0</v>
      </c>
      <c r="AH23" s="215"/>
      <c r="AI23" s="217"/>
      <c r="AJ23" s="217"/>
      <c r="AK23" s="217"/>
      <c r="AL23" s="217"/>
      <c r="AM23" s="217"/>
      <c r="AN23" s="217"/>
      <c r="AO23" s="218"/>
    </row>
    <row r="24" spans="2:41" ht="15">
      <c r="B24" s="310"/>
      <c r="C24" s="989">
        <f t="shared" si="19"/>
        <v>14</v>
      </c>
      <c r="D24" s="168"/>
      <c r="E24" s="316"/>
      <c r="F24" s="316"/>
      <c r="G24" s="316"/>
      <c r="H24" s="316"/>
      <c r="I24" s="42"/>
      <c r="J24" s="78"/>
      <c r="K24" s="78"/>
      <c r="L24" s="318"/>
      <c r="M24" s="316">
        <f t="shared" si="5"/>
        <v>0</v>
      </c>
      <c r="N24" s="316"/>
      <c r="O24" s="78"/>
      <c r="P24" s="316"/>
      <c r="Q24" s="316"/>
      <c r="R24" s="351">
        <f t="shared" si="6"/>
        <v>0</v>
      </c>
      <c r="S24" s="351">
        <f t="shared" si="7"/>
        <v>0</v>
      </c>
      <c r="T24" s="351">
        <f t="shared" si="8"/>
        <v>0</v>
      </c>
      <c r="U24" s="351">
        <f t="shared" si="9"/>
        <v>0</v>
      </c>
      <c r="V24" s="351">
        <f t="shared" si="20"/>
        <v>0</v>
      </c>
      <c r="W24" s="351">
        <f t="shared" si="10"/>
        <v>0</v>
      </c>
      <c r="X24" s="351">
        <f t="shared" si="11"/>
        <v>0</v>
      </c>
      <c r="Y24" s="351">
        <f t="shared" si="12"/>
        <v>0</v>
      </c>
      <c r="Z24" s="351">
        <f t="shared" si="13"/>
        <v>0</v>
      </c>
      <c r="AA24" s="351">
        <f t="shared" si="14"/>
        <v>0</v>
      </c>
      <c r="AB24" s="351">
        <f t="shared" si="15"/>
        <v>0</v>
      </c>
      <c r="AC24" s="351">
        <f t="shared" si="16"/>
        <v>0</v>
      </c>
      <c r="AD24" s="351">
        <f t="shared" si="17"/>
        <v>0</v>
      </c>
      <c r="AE24" s="116">
        <f t="shared" si="4"/>
        <v>0</v>
      </c>
      <c r="AF24" s="291"/>
      <c r="AG24" s="116">
        <f t="shared" si="18"/>
        <v>0</v>
      </c>
      <c r="AH24" s="215"/>
      <c r="AI24" s="217"/>
      <c r="AJ24" s="217"/>
      <c r="AK24" s="217"/>
      <c r="AL24" s="217"/>
      <c r="AM24" s="217"/>
      <c r="AN24" s="217"/>
      <c r="AO24" s="218"/>
    </row>
    <row r="25" spans="2:41" ht="15">
      <c r="B25" s="310"/>
      <c r="C25" s="989">
        <f t="shared" si="19"/>
        <v>15</v>
      </c>
      <c r="D25" s="168"/>
      <c r="E25" s="316"/>
      <c r="F25" s="316"/>
      <c r="G25" s="316"/>
      <c r="H25" s="316"/>
      <c r="I25" s="42"/>
      <c r="J25" s="78"/>
      <c r="K25" s="78"/>
      <c r="L25" s="318"/>
      <c r="M25" s="316">
        <f t="shared" si="5"/>
        <v>0</v>
      </c>
      <c r="N25" s="316"/>
      <c r="O25" s="78"/>
      <c r="P25" s="316"/>
      <c r="Q25" s="316"/>
      <c r="R25" s="351">
        <f t="shared" si="6"/>
        <v>0</v>
      </c>
      <c r="S25" s="351">
        <f t="shared" si="7"/>
        <v>0</v>
      </c>
      <c r="T25" s="351">
        <f t="shared" si="8"/>
        <v>0</v>
      </c>
      <c r="U25" s="351">
        <f t="shared" si="9"/>
        <v>0</v>
      </c>
      <c r="V25" s="351">
        <f t="shared" si="20"/>
        <v>0</v>
      </c>
      <c r="W25" s="351">
        <f t="shared" si="10"/>
        <v>0</v>
      </c>
      <c r="X25" s="351">
        <f t="shared" si="11"/>
        <v>0</v>
      </c>
      <c r="Y25" s="351">
        <f t="shared" si="12"/>
        <v>0</v>
      </c>
      <c r="Z25" s="351">
        <f t="shared" si="13"/>
        <v>0</v>
      </c>
      <c r="AA25" s="351">
        <f t="shared" si="14"/>
        <v>0</v>
      </c>
      <c r="AB25" s="351">
        <f t="shared" si="15"/>
        <v>0</v>
      </c>
      <c r="AC25" s="351">
        <f t="shared" si="16"/>
        <v>0</v>
      </c>
      <c r="AD25" s="351">
        <f t="shared" si="17"/>
        <v>0</v>
      </c>
      <c r="AE25" s="116">
        <f t="shared" si="4"/>
        <v>0</v>
      </c>
      <c r="AF25" s="291"/>
      <c r="AG25" s="116">
        <f t="shared" si="18"/>
        <v>0</v>
      </c>
      <c r="AH25" s="215"/>
      <c r="AI25" s="217"/>
      <c r="AJ25" s="217"/>
      <c r="AK25" s="217"/>
      <c r="AL25" s="217"/>
      <c r="AM25" s="217"/>
      <c r="AN25" s="217"/>
      <c r="AO25" s="218"/>
    </row>
    <row r="26" spans="2:41" ht="15">
      <c r="B26" s="310"/>
      <c r="C26" s="989">
        <f t="shared" si="19"/>
        <v>16</v>
      </c>
      <c r="D26" s="168"/>
      <c r="E26" s="316"/>
      <c r="F26" s="316"/>
      <c r="G26" s="316"/>
      <c r="H26" s="316"/>
      <c r="I26" s="42"/>
      <c r="J26" s="78"/>
      <c r="K26" s="78"/>
      <c r="L26" s="318"/>
      <c r="M26" s="316">
        <f t="shared" si="5"/>
        <v>0</v>
      </c>
      <c r="N26" s="316"/>
      <c r="O26" s="78"/>
      <c r="P26" s="316"/>
      <c r="Q26" s="316"/>
      <c r="R26" s="351">
        <f t="shared" si="6"/>
        <v>0</v>
      </c>
      <c r="S26" s="351">
        <f t="shared" si="7"/>
        <v>0</v>
      </c>
      <c r="T26" s="351">
        <f t="shared" si="8"/>
        <v>0</v>
      </c>
      <c r="U26" s="351">
        <f t="shared" si="9"/>
        <v>0</v>
      </c>
      <c r="V26" s="351">
        <f t="shared" si="20"/>
        <v>0</v>
      </c>
      <c r="W26" s="351">
        <f t="shared" si="10"/>
        <v>0</v>
      </c>
      <c r="X26" s="351">
        <f t="shared" si="11"/>
        <v>0</v>
      </c>
      <c r="Y26" s="351">
        <f t="shared" si="12"/>
        <v>0</v>
      </c>
      <c r="Z26" s="351">
        <f t="shared" si="13"/>
        <v>0</v>
      </c>
      <c r="AA26" s="351">
        <f t="shared" si="14"/>
        <v>0</v>
      </c>
      <c r="AB26" s="351">
        <f t="shared" si="15"/>
        <v>0</v>
      </c>
      <c r="AC26" s="351">
        <f t="shared" si="16"/>
        <v>0</v>
      </c>
      <c r="AD26" s="351">
        <f t="shared" si="17"/>
        <v>0</v>
      </c>
      <c r="AE26" s="116">
        <f t="shared" si="4"/>
        <v>0</v>
      </c>
      <c r="AF26" s="291"/>
      <c r="AG26" s="116">
        <f t="shared" si="18"/>
        <v>0</v>
      </c>
      <c r="AH26" s="215"/>
      <c r="AI26" s="217"/>
      <c r="AJ26" s="217"/>
      <c r="AK26" s="217"/>
      <c r="AL26" s="217"/>
      <c r="AM26" s="217"/>
      <c r="AN26" s="217"/>
      <c r="AO26" s="218"/>
    </row>
    <row r="27" spans="2:41" ht="15">
      <c r="B27" s="310"/>
      <c r="C27" s="989">
        <f t="shared" si="19"/>
        <v>17</v>
      </c>
      <c r="D27" s="168"/>
      <c r="E27" s="316"/>
      <c r="F27" s="316"/>
      <c r="G27" s="316"/>
      <c r="H27" s="316"/>
      <c r="I27" s="42"/>
      <c r="J27" s="78"/>
      <c r="K27" s="78"/>
      <c r="L27" s="318"/>
      <c r="M27" s="316">
        <f t="shared" si="5"/>
        <v>0</v>
      </c>
      <c r="N27" s="316"/>
      <c r="O27" s="78"/>
      <c r="P27" s="316"/>
      <c r="Q27" s="316"/>
      <c r="R27" s="351">
        <f t="shared" si="6"/>
        <v>0</v>
      </c>
      <c r="S27" s="351">
        <f t="shared" si="7"/>
        <v>0</v>
      </c>
      <c r="T27" s="351">
        <f t="shared" si="8"/>
        <v>0</v>
      </c>
      <c r="U27" s="351">
        <f t="shared" si="9"/>
        <v>0</v>
      </c>
      <c r="V27" s="351">
        <f t="shared" si="20"/>
        <v>0</v>
      </c>
      <c r="W27" s="351">
        <f t="shared" si="10"/>
        <v>0</v>
      </c>
      <c r="X27" s="351">
        <f t="shared" si="11"/>
        <v>0</v>
      </c>
      <c r="Y27" s="351">
        <f t="shared" si="12"/>
        <v>0</v>
      </c>
      <c r="Z27" s="351">
        <f t="shared" si="13"/>
        <v>0</v>
      </c>
      <c r="AA27" s="351">
        <f t="shared" si="14"/>
        <v>0</v>
      </c>
      <c r="AB27" s="351">
        <f t="shared" si="15"/>
        <v>0</v>
      </c>
      <c r="AC27" s="351">
        <f t="shared" si="16"/>
        <v>0</v>
      </c>
      <c r="AD27" s="351">
        <f t="shared" si="17"/>
        <v>0</v>
      </c>
      <c r="AE27" s="116">
        <f t="shared" si="4"/>
        <v>0</v>
      </c>
      <c r="AF27" s="291"/>
      <c r="AG27" s="116">
        <f t="shared" si="18"/>
        <v>0</v>
      </c>
      <c r="AH27" s="215"/>
      <c r="AI27" s="217"/>
      <c r="AJ27" s="217"/>
      <c r="AK27" s="217"/>
      <c r="AL27" s="217"/>
      <c r="AM27" s="217"/>
      <c r="AN27" s="217"/>
      <c r="AO27" s="218"/>
    </row>
    <row r="28" spans="2:41" ht="15">
      <c r="B28" s="310"/>
      <c r="C28" s="989">
        <f t="shared" si="19"/>
        <v>18</v>
      </c>
      <c r="D28" s="168"/>
      <c r="E28" s="316"/>
      <c r="F28" s="316"/>
      <c r="G28" s="316"/>
      <c r="H28" s="316"/>
      <c r="I28" s="42"/>
      <c r="J28" s="78"/>
      <c r="K28" s="78"/>
      <c r="L28" s="318"/>
      <c r="M28" s="316">
        <f t="shared" si="5"/>
        <v>0</v>
      </c>
      <c r="N28" s="316"/>
      <c r="O28" s="78"/>
      <c r="P28" s="316"/>
      <c r="Q28" s="316"/>
      <c r="R28" s="351">
        <f t="shared" si="6"/>
        <v>0</v>
      </c>
      <c r="S28" s="351">
        <f t="shared" si="7"/>
        <v>0</v>
      </c>
      <c r="T28" s="351">
        <f t="shared" si="8"/>
        <v>0</v>
      </c>
      <c r="U28" s="351">
        <f t="shared" si="9"/>
        <v>0</v>
      </c>
      <c r="V28" s="351">
        <f t="shared" si="20"/>
        <v>0</v>
      </c>
      <c r="W28" s="351">
        <f t="shared" si="10"/>
        <v>0</v>
      </c>
      <c r="X28" s="351">
        <f t="shared" si="11"/>
        <v>0</v>
      </c>
      <c r="Y28" s="351">
        <f t="shared" si="12"/>
        <v>0</v>
      </c>
      <c r="Z28" s="351">
        <f t="shared" si="13"/>
        <v>0</v>
      </c>
      <c r="AA28" s="351">
        <f t="shared" si="14"/>
        <v>0</v>
      </c>
      <c r="AB28" s="351">
        <f t="shared" si="15"/>
        <v>0</v>
      </c>
      <c r="AC28" s="351">
        <f t="shared" si="16"/>
        <v>0</v>
      </c>
      <c r="AD28" s="351">
        <f t="shared" si="17"/>
        <v>0</v>
      </c>
      <c r="AE28" s="116">
        <f t="shared" si="4"/>
        <v>0</v>
      </c>
      <c r="AF28" s="291"/>
      <c r="AG28" s="116">
        <f t="shared" si="18"/>
        <v>0</v>
      </c>
      <c r="AH28" s="215"/>
      <c r="AI28" s="217"/>
      <c r="AJ28" s="217"/>
      <c r="AK28" s="217"/>
      <c r="AL28" s="217"/>
      <c r="AM28" s="217"/>
      <c r="AN28" s="217"/>
      <c r="AO28" s="218"/>
    </row>
    <row r="29" spans="2:41" ht="15">
      <c r="B29" s="310"/>
      <c r="C29" s="989">
        <f t="shared" si="19"/>
        <v>19</v>
      </c>
      <c r="D29" s="168"/>
      <c r="E29" s="316"/>
      <c r="F29" s="316"/>
      <c r="G29" s="316"/>
      <c r="H29" s="316"/>
      <c r="I29" s="42"/>
      <c r="J29" s="78"/>
      <c r="K29" s="78"/>
      <c r="L29" s="318"/>
      <c r="M29" s="316">
        <f t="shared" si="5"/>
        <v>0</v>
      </c>
      <c r="N29" s="316"/>
      <c r="O29" s="78"/>
      <c r="P29" s="316"/>
      <c r="Q29" s="316"/>
      <c r="R29" s="351">
        <f t="shared" si="6"/>
        <v>0</v>
      </c>
      <c r="S29" s="351">
        <f t="shared" si="7"/>
        <v>0</v>
      </c>
      <c r="T29" s="351">
        <f t="shared" si="8"/>
        <v>0</v>
      </c>
      <c r="U29" s="351">
        <f t="shared" si="9"/>
        <v>0</v>
      </c>
      <c r="V29" s="351">
        <f t="shared" si="20"/>
        <v>0</v>
      </c>
      <c r="W29" s="351">
        <f t="shared" si="10"/>
        <v>0</v>
      </c>
      <c r="X29" s="351">
        <f t="shared" si="11"/>
        <v>0</v>
      </c>
      <c r="Y29" s="351">
        <f t="shared" si="12"/>
        <v>0</v>
      </c>
      <c r="Z29" s="351">
        <f t="shared" si="13"/>
        <v>0</v>
      </c>
      <c r="AA29" s="351">
        <f t="shared" si="14"/>
        <v>0</v>
      </c>
      <c r="AB29" s="351">
        <f t="shared" si="15"/>
        <v>0</v>
      </c>
      <c r="AC29" s="351">
        <f t="shared" si="16"/>
        <v>0</v>
      </c>
      <c r="AD29" s="351">
        <f t="shared" si="17"/>
        <v>0</v>
      </c>
      <c r="AE29" s="116">
        <f t="shared" si="4"/>
        <v>0</v>
      </c>
      <c r="AF29" s="291"/>
      <c r="AG29" s="116">
        <f t="shared" si="18"/>
        <v>0</v>
      </c>
      <c r="AH29" s="215"/>
      <c r="AI29" s="217"/>
      <c r="AJ29" s="217"/>
      <c r="AK29" s="217"/>
      <c r="AL29" s="217"/>
      <c r="AM29" s="217"/>
      <c r="AN29" s="217"/>
      <c r="AO29" s="218"/>
    </row>
    <row r="30" spans="2:41" ht="15">
      <c r="B30" s="301"/>
      <c r="C30" s="989">
        <f t="shared" si="19"/>
        <v>20</v>
      </c>
      <c r="D30" s="168"/>
      <c r="E30" s="316"/>
      <c r="F30" s="316"/>
      <c r="G30" s="316"/>
      <c r="H30" s="316"/>
      <c r="I30" s="42"/>
      <c r="J30" s="78"/>
      <c r="K30" s="78"/>
      <c r="L30" s="318"/>
      <c r="M30" s="316">
        <f t="shared" si="5"/>
        <v>0</v>
      </c>
      <c r="N30" s="316"/>
      <c r="O30" s="78"/>
      <c r="P30" s="316"/>
      <c r="Q30" s="316"/>
      <c r="R30" s="351">
        <f t="shared" si="6"/>
        <v>0</v>
      </c>
      <c r="S30" s="351">
        <f t="shared" si="7"/>
        <v>0</v>
      </c>
      <c r="T30" s="351">
        <f t="shared" si="8"/>
        <v>0</v>
      </c>
      <c r="U30" s="351">
        <f t="shared" si="9"/>
        <v>0</v>
      </c>
      <c r="V30" s="351">
        <f t="shared" si="20"/>
        <v>0</v>
      </c>
      <c r="W30" s="351">
        <f t="shared" si="10"/>
        <v>0</v>
      </c>
      <c r="X30" s="351">
        <f t="shared" si="11"/>
        <v>0</v>
      </c>
      <c r="Y30" s="351">
        <f t="shared" si="12"/>
        <v>0</v>
      </c>
      <c r="Z30" s="351">
        <f t="shared" si="13"/>
        <v>0</v>
      </c>
      <c r="AA30" s="351">
        <f t="shared" si="14"/>
        <v>0</v>
      </c>
      <c r="AB30" s="351">
        <f t="shared" si="15"/>
        <v>0</v>
      </c>
      <c r="AC30" s="351">
        <f t="shared" si="16"/>
        <v>0</v>
      </c>
      <c r="AD30" s="351">
        <f t="shared" si="17"/>
        <v>0</v>
      </c>
      <c r="AE30" s="116">
        <f t="shared" si="4"/>
        <v>0</v>
      </c>
      <c r="AF30" s="291"/>
      <c r="AG30" s="116">
        <f t="shared" si="18"/>
        <v>0</v>
      </c>
      <c r="AH30" s="215"/>
      <c r="AI30" s="217"/>
      <c r="AJ30" s="217"/>
      <c r="AK30" s="217"/>
      <c r="AL30" s="217"/>
      <c r="AM30" s="217"/>
      <c r="AN30" s="217"/>
      <c r="AO30" s="218"/>
    </row>
    <row r="31" spans="2:41" ht="19.899999999999999" customHeight="1">
      <c r="B31" s="520"/>
      <c r="C31" s="520"/>
      <c r="D31" s="520"/>
      <c r="E31" s="869"/>
      <c r="F31" s="869"/>
      <c r="G31" s="869"/>
      <c r="H31" s="869"/>
      <c r="I31" s="1041"/>
      <c r="J31" s="1041"/>
      <c r="K31" s="520"/>
      <c r="L31" s="869"/>
      <c r="M31" s="869"/>
      <c r="N31" s="869"/>
      <c r="O31" s="520"/>
      <c r="P31" s="869"/>
      <c r="Q31" s="869"/>
      <c r="R31" s="872"/>
      <c r="S31" s="872"/>
      <c r="T31" s="872"/>
      <c r="U31" s="872"/>
      <c r="V31" s="872"/>
      <c r="W31" s="872"/>
      <c r="X31" s="872"/>
      <c r="Y31" s="872"/>
      <c r="Z31" s="872"/>
      <c r="AA31" s="872"/>
      <c r="AB31" s="872"/>
      <c r="AC31" s="872"/>
      <c r="AD31" s="872"/>
      <c r="AE31" s="1042"/>
      <c r="AF31" s="1043"/>
      <c r="AG31" s="1044"/>
      <c r="AH31" s="1045"/>
    </row>
    <row r="32" spans="2:41" ht="19.899999999999999" customHeight="1">
      <c r="B32" s="520"/>
      <c r="C32" s="520"/>
      <c r="D32" s="520"/>
      <c r="E32" s="372">
        <f>SUM(E10:E31)</f>
        <v>0</v>
      </c>
      <c r="F32" s="372">
        <f>SUM(F10:F31)</f>
        <v>0</v>
      </c>
      <c r="G32" s="372">
        <f t="shared" ref="G32:Q32" si="21">SUM(G10:G31)</f>
        <v>0</v>
      </c>
      <c r="H32" s="372">
        <f t="shared" si="21"/>
        <v>0</v>
      </c>
      <c r="I32" s="806">
        <f>SUM(I10:I31)</f>
        <v>0</v>
      </c>
      <c r="J32" s="806">
        <f>SUM(J10:J31)</f>
        <v>0</v>
      </c>
      <c r="K32" s="806">
        <f>SUM(K10:K31)</f>
        <v>0</v>
      </c>
      <c r="L32" s="372">
        <f t="shared" si="21"/>
        <v>0</v>
      </c>
      <c r="M32" s="372">
        <f t="shared" si="21"/>
        <v>0</v>
      </c>
      <c r="N32" s="372">
        <f t="shared" si="21"/>
        <v>0</v>
      </c>
      <c r="O32" s="806">
        <f t="shared" si="21"/>
        <v>0</v>
      </c>
      <c r="P32" s="372">
        <f>SUM(P10:P31)</f>
        <v>0</v>
      </c>
      <c r="Q32" s="372">
        <f t="shared" si="21"/>
        <v>0</v>
      </c>
      <c r="R32" s="351">
        <f>SUM(R10:R31)</f>
        <v>0</v>
      </c>
      <c r="S32" s="351">
        <f>SUM(S10:S31)</f>
        <v>0</v>
      </c>
      <c r="T32" s="351">
        <f>SUM(T10:T31)</f>
        <v>0</v>
      </c>
      <c r="U32" s="351">
        <f t="shared" ref="U32" si="22">SUM(U10:U31)</f>
        <v>0</v>
      </c>
      <c r="V32" s="351">
        <f t="shared" ref="V32" si="23">SUM(V10:V31)</f>
        <v>0</v>
      </c>
      <c r="W32" s="351">
        <f t="shared" ref="W32" si="24">SUM(W10:W31)</f>
        <v>0</v>
      </c>
      <c r="X32" s="351">
        <f t="shared" ref="X32" si="25">SUM(X10:X31)</f>
        <v>0</v>
      </c>
      <c r="Y32" s="351">
        <f t="shared" ref="Y32" si="26">SUM(Y10:Y31)</f>
        <v>0</v>
      </c>
      <c r="Z32" s="351">
        <f>SUM(Z10:Z31)</f>
        <v>0</v>
      </c>
      <c r="AA32" s="351">
        <f t="shared" ref="AA32" si="27">SUM(AA10:AA31)</f>
        <v>0</v>
      </c>
      <c r="AB32" s="351">
        <f t="shared" ref="AB32" si="28">SUM(AB10:AB31)</f>
        <v>0</v>
      </c>
      <c r="AC32" s="351">
        <f t="shared" ref="AC32" si="29">SUM(AC10:AC31)</f>
        <v>0</v>
      </c>
      <c r="AD32" s="351">
        <f t="shared" ref="AD32" si="30">SUM(AD10:AD31)</f>
        <v>0</v>
      </c>
      <c r="AE32" s="1046">
        <f t="shared" ref="AE32" si="31">SUM(AE9:AE31)</f>
        <v>0</v>
      </c>
      <c r="AF32" s="737"/>
      <c r="AG32" s="1046">
        <f>SUM(AG9:AG31)</f>
        <v>0</v>
      </c>
      <c r="AH32" s="1047">
        <f>IF(SUM(E32:Q32)=0,0,AG32/(SUM(E32:Q32)))</f>
        <v>0</v>
      </c>
      <c r="AI32" s="790" t="s">
        <v>1495</v>
      </c>
    </row>
    <row r="33" spans="2:40" ht="12.75">
      <c r="E33" s="1048"/>
      <c r="F33" s="1048"/>
      <c r="H33" s="475"/>
      <c r="I33" s="475"/>
      <c r="J33" s="475"/>
      <c r="AE33" s="1032"/>
      <c r="AF33" s="1032"/>
      <c r="AG33" s="475"/>
      <c r="AH33" s="475"/>
    </row>
    <row r="34" spans="2:40" ht="12.75">
      <c r="E34" s="1048"/>
      <c r="F34" s="1048"/>
      <c r="H34" s="475"/>
      <c r="I34" s="475"/>
      <c r="J34" s="475"/>
      <c r="AD34" s="1032"/>
      <c r="AE34" s="1032"/>
      <c r="AF34" s="475"/>
      <c r="AG34" s="475"/>
      <c r="AH34" s="475"/>
    </row>
    <row r="35" spans="2:40" ht="34.9" customHeight="1">
      <c r="E35" s="475"/>
      <c r="F35" s="475"/>
      <c r="G35" s="475"/>
      <c r="H35" s="475"/>
      <c r="I35" s="475"/>
      <c r="T35" s="848"/>
      <c r="W35" s="789" t="s">
        <v>1848</v>
      </c>
      <c r="Y35" s="1049" t="str">
        <f>IF(Y36="","No Alert","Enter justification")</f>
        <v>No Alert</v>
      </c>
      <c r="Z35" s="1049" t="str">
        <f>IF(Z36="","No Alert","Enter justification")</f>
        <v>No Alert</v>
      </c>
      <c r="AA35" s="1049" t="str">
        <f>IF(AA36="","No Alert","Enter justification")</f>
        <v>No Alert</v>
      </c>
      <c r="AB35" s="1032"/>
      <c r="AD35" s="475"/>
      <c r="AE35" s="475"/>
      <c r="AF35" s="475"/>
      <c r="AG35" s="475"/>
      <c r="AH35" s="475"/>
    </row>
    <row r="36" spans="2:40" s="1030" customFormat="1" ht="14.25">
      <c r="B36" s="848" t="s">
        <v>1849</v>
      </c>
      <c r="C36" s="433"/>
      <c r="K36" s="1032"/>
      <c r="L36" s="1032"/>
      <c r="M36" s="1032"/>
      <c r="N36" s="1032"/>
      <c r="O36" s="1032"/>
      <c r="P36" s="1032"/>
      <c r="Q36" s="1032"/>
      <c r="R36" s="1032"/>
      <c r="S36" s="789" t="str">
        <f>B36</f>
        <v>Reference:</v>
      </c>
      <c r="T36" s="243" t="str">
        <f>Subrates_Table_14</f>
        <v>Subrates Table 12</v>
      </c>
      <c r="U36" s="474"/>
      <c r="W36" s="789" t="str">
        <f>S36</f>
        <v>Reference:</v>
      </c>
      <c r="X36" s="243" t="str">
        <f>Subrates_Table_14</f>
        <v>Subrates Table 12</v>
      </c>
      <c r="Y36" s="291"/>
      <c r="Z36" s="291"/>
      <c r="AA36" s="291"/>
      <c r="AB36" s="1050" t="s">
        <v>1850</v>
      </c>
      <c r="AE36" s="562"/>
      <c r="AF36" s="562"/>
    </row>
    <row r="37" spans="2:40" ht="14.25">
      <c r="B37" s="848" t="s">
        <v>35</v>
      </c>
      <c r="C37" s="433"/>
      <c r="I37" s="1032"/>
      <c r="R37" s="848"/>
      <c r="S37" s="789" t="str">
        <f>B37</f>
        <v>Rate</v>
      </c>
      <c r="T37" s="81">
        <f>VLOOKUP(T39,Dewatering_values_subs,Subrates!$C$5,FALSE)</f>
        <v>197.18670851972502</v>
      </c>
      <c r="W37" s="789" t="s">
        <v>1851</v>
      </c>
      <c r="X37" s="81">
        <f>VLOOKUP(X39,Dewatering_values_subs,Subrates!$C$5,FALSE)</f>
        <v>351.55131892892013</v>
      </c>
      <c r="AC37" s="1030"/>
      <c r="AD37" s="475"/>
      <c r="AE37" s="475"/>
      <c r="AF37" s="475"/>
      <c r="AG37" s="475"/>
      <c r="AH37" s="475"/>
    </row>
    <row r="38" spans="2:40" s="1030" customFormat="1" ht="16.149999999999999" customHeight="1">
      <c r="B38" s="1038" t="s">
        <v>1852</v>
      </c>
      <c r="D38" s="474"/>
      <c r="F38" s="474"/>
      <c r="G38" s="474"/>
      <c r="H38" s="474"/>
      <c r="J38" s="1051"/>
      <c r="K38" s="1051"/>
      <c r="L38" s="1051"/>
      <c r="M38" s="474"/>
      <c r="N38" s="474"/>
      <c r="O38" s="474"/>
      <c r="P38" s="474"/>
      <c r="Q38" s="474" t="s">
        <v>1543</v>
      </c>
      <c r="R38" s="474"/>
      <c r="S38" s="789" t="s">
        <v>1853</v>
      </c>
      <c r="T38" s="824" t="s">
        <v>94</v>
      </c>
      <c r="U38" s="848"/>
      <c r="V38" s="848"/>
      <c r="W38" s="789" t="s">
        <v>1853</v>
      </c>
      <c r="X38" s="824" t="s">
        <v>94</v>
      </c>
      <c r="Y38" s="1052" t="str">
        <f>Q40</f>
        <v>Enter Unit</v>
      </c>
      <c r="Z38" s="1052" t="str">
        <f>R40</f>
        <v>Enter Unit</v>
      </c>
      <c r="AA38" s="1052" t="str">
        <f>S40</f>
        <v>Enter Unit</v>
      </c>
    </row>
    <row r="39" spans="2:40" ht="106.15" customHeight="1">
      <c r="B39" s="773" t="s">
        <v>1517</v>
      </c>
      <c r="C39" s="773" t="s">
        <v>27</v>
      </c>
      <c r="D39" s="773" t="s">
        <v>1854</v>
      </c>
      <c r="E39" s="773" t="str">
        <f>Subrates!B158</f>
        <v>Remove downwell dewater pumps</v>
      </c>
      <c r="F39" s="812" t="s">
        <v>506</v>
      </c>
      <c r="G39" s="823"/>
      <c r="H39" s="823" t="s">
        <v>1855</v>
      </c>
      <c r="I39" s="773" t="s">
        <v>1856</v>
      </c>
      <c r="J39" s="773" t="s">
        <v>251</v>
      </c>
      <c r="K39" s="773" t="s">
        <v>1857</v>
      </c>
      <c r="L39" s="822" t="s">
        <v>251</v>
      </c>
      <c r="M39" s="812" t="s">
        <v>1858</v>
      </c>
      <c r="N39" s="812" t="s">
        <v>1859</v>
      </c>
      <c r="O39" s="812" t="s">
        <v>1860</v>
      </c>
      <c r="P39" s="773" t="str">
        <f>Subrates!B159</f>
        <v>Diesel generator removal</v>
      </c>
      <c r="Q39" s="1056" t="s">
        <v>1861</v>
      </c>
      <c r="R39" s="1056" t="s">
        <v>1862</v>
      </c>
      <c r="S39" s="1056" t="s">
        <v>1863</v>
      </c>
      <c r="T39" s="773" t="str">
        <f>E39</f>
        <v>Remove downwell dewater pumps</v>
      </c>
      <c r="U39" s="773" t="str">
        <f>F39</f>
        <v>Piping</v>
      </c>
      <c r="V39" s="773" t="str">
        <f>J39</f>
        <v>Tanks</v>
      </c>
      <c r="W39" s="773" t="str">
        <f>M39</f>
        <v>Ponds / Dams</v>
      </c>
      <c r="X39" s="773" t="str">
        <f>P39</f>
        <v>Diesel generator removal</v>
      </c>
      <c r="Y39" s="773" t="str">
        <f>Q39</f>
        <v>Dewatering User Entered 1</v>
      </c>
      <c r="Z39" s="773" t="str">
        <f>R39</f>
        <v>Dewatering User Entered 2</v>
      </c>
      <c r="AA39" s="773" t="str">
        <f>S39</f>
        <v>Dewatering User Entered 3</v>
      </c>
      <c r="AB39" s="864" t="s">
        <v>32</v>
      </c>
      <c r="AC39" s="773" t="s">
        <v>1864</v>
      </c>
      <c r="AD39" s="775" t="s">
        <v>1845</v>
      </c>
      <c r="AE39" s="776" t="s">
        <v>1526</v>
      </c>
      <c r="AF39" s="777"/>
      <c r="AG39" s="777"/>
      <c r="AH39" s="777"/>
      <c r="AI39" s="777"/>
      <c r="AJ39" s="777"/>
      <c r="AK39" s="777"/>
      <c r="AL39" s="777"/>
      <c r="AM39" s="778"/>
    </row>
    <row r="40" spans="2:40" s="520" customFormat="1" ht="16.149999999999999" customHeight="1">
      <c r="B40" s="768"/>
      <c r="C40" s="768"/>
      <c r="D40" s="768"/>
      <c r="E40" s="82" t="s">
        <v>27</v>
      </c>
      <c r="F40" s="180"/>
      <c r="G40" s="86"/>
      <c r="H40" s="86" t="s">
        <v>37</v>
      </c>
      <c r="I40" s="82" t="s">
        <v>11</v>
      </c>
      <c r="J40" s="180"/>
      <c r="K40" s="183"/>
      <c r="L40" s="183" t="s">
        <v>27</v>
      </c>
      <c r="M40" s="180"/>
      <c r="N40" s="183"/>
      <c r="O40" s="183" t="s">
        <v>27</v>
      </c>
      <c r="P40" s="86" t="s">
        <v>27</v>
      </c>
      <c r="Q40" s="1057" t="s">
        <v>1865</v>
      </c>
      <c r="R40" s="1057" t="s">
        <v>1865</v>
      </c>
      <c r="S40" s="1057" t="s">
        <v>1865</v>
      </c>
      <c r="T40" s="82" t="s">
        <v>76</v>
      </c>
      <c r="U40" s="82" t="s">
        <v>76</v>
      </c>
      <c r="V40" s="82" t="s">
        <v>76</v>
      </c>
      <c r="W40" s="82" t="s">
        <v>76</v>
      </c>
      <c r="X40" s="82" t="s">
        <v>76</v>
      </c>
      <c r="Y40" s="82" t="s">
        <v>76</v>
      </c>
      <c r="Z40" s="82" t="s">
        <v>76</v>
      </c>
      <c r="AA40" s="82" t="s">
        <v>76</v>
      </c>
      <c r="AB40" s="82" t="s">
        <v>76</v>
      </c>
      <c r="AC40" s="82" t="s">
        <v>76</v>
      </c>
      <c r="AD40" s="82" t="s">
        <v>76</v>
      </c>
      <c r="AE40" s="474"/>
      <c r="AF40" s="474"/>
      <c r="AG40" s="474"/>
      <c r="AH40" s="474"/>
      <c r="AI40" s="474"/>
      <c r="AJ40" s="474"/>
      <c r="AK40" s="474"/>
      <c r="AL40" s="474"/>
      <c r="AM40" s="474"/>
      <c r="AN40" s="768"/>
    </row>
    <row r="41" spans="2:40" s="520" customFormat="1" ht="16.149999999999999" customHeight="1">
      <c r="B41" s="768"/>
      <c r="C41" s="768"/>
      <c r="D41" s="771" t="s">
        <v>1866</v>
      </c>
      <c r="E41" s="771" t="s">
        <v>1563</v>
      </c>
      <c r="F41" s="771" t="s">
        <v>1646</v>
      </c>
      <c r="G41" s="771"/>
      <c r="H41" s="768"/>
      <c r="I41" s="768"/>
      <c r="J41" s="771" t="s">
        <v>1646</v>
      </c>
      <c r="K41" s="771"/>
      <c r="L41" s="771" t="s">
        <v>1563</v>
      </c>
      <c r="M41" s="771" t="s">
        <v>1646</v>
      </c>
      <c r="N41" s="771"/>
      <c r="O41" s="771" t="s">
        <v>1563</v>
      </c>
      <c r="P41" s="771" t="s">
        <v>1563</v>
      </c>
      <c r="Q41" s="898"/>
      <c r="R41" s="898"/>
      <c r="S41" s="768"/>
      <c r="T41" s="768"/>
      <c r="U41" s="768"/>
      <c r="V41" s="768"/>
      <c r="W41" s="768"/>
      <c r="X41" s="768"/>
      <c r="Y41" s="768"/>
      <c r="Z41" s="768"/>
      <c r="AA41" s="768"/>
      <c r="AB41" s="768"/>
      <c r="AC41" s="768"/>
      <c r="AE41" s="474"/>
      <c r="AF41" s="475"/>
      <c r="AG41" s="475"/>
      <c r="AH41" s="475"/>
      <c r="AI41" s="475"/>
      <c r="AJ41" s="475"/>
      <c r="AK41" s="475"/>
      <c r="AL41" s="475"/>
      <c r="AM41" s="475"/>
      <c r="AN41" s="768"/>
    </row>
    <row r="42" spans="2:40" s="520" customFormat="1" ht="15">
      <c r="B42" s="310"/>
      <c r="C42" s="989">
        <v>1</v>
      </c>
      <c r="D42" s="168"/>
      <c r="E42" s="78"/>
      <c r="F42" s="181" t="s">
        <v>1867</v>
      </c>
      <c r="G42" s="1058"/>
      <c r="H42" s="81">
        <f>VLOOKUP(F42,TOV!$E$142:$F$145,2,FALSE)</f>
        <v>13.095941979156329</v>
      </c>
      <c r="I42" s="316"/>
      <c r="J42" s="184" t="s">
        <v>1868</v>
      </c>
      <c r="K42" s="81">
        <f>VLOOKUP(J42,Tank_values_TOV,TOV!$F$1-2,FALSE)</f>
        <v>698.66345046978995</v>
      </c>
      <c r="L42" s="78"/>
      <c r="M42" s="184" t="s">
        <v>1869</v>
      </c>
      <c r="N42" s="81">
        <f>VLOOKUP(M42,Dam_values_TOV,TOV!$F$1-2,FALSE)</f>
        <v>195528.57077198915</v>
      </c>
      <c r="O42" s="78"/>
      <c r="P42" s="78"/>
      <c r="Q42" s="77"/>
      <c r="R42" s="77"/>
      <c r="S42" s="77"/>
      <c r="T42" s="351">
        <f t="shared" ref="T42:T51" si="32">E42*T$37</f>
        <v>0</v>
      </c>
      <c r="U42" s="351">
        <f t="shared" ref="U42:U51" si="33">H42*I42</f>
        <v>0</v>
      </c>
      <c r="V42" s="351">
        <f t="shared" ref="V42:V51" si="34">K42*L42</f>
        <v>0</v>
      </c>
      <c r="W42" s="351">
        <f t="shared" ref="W42:W51" si="35">N42*O42</f>
        <v>0</v>
      </c>
      <c r="X42" s="351">
        <f t="shared" ref="X42:X51" si="36">P42*X$37</f>
        <v>0</v>
      </c>
      <c r="Y42" s="351">
        <f t="shared" ref="Y42:Y51" si="37">Q42*Y$36</f>
        <v>0</v>
      </c>
      <c r="Z42" s="351">
        <f t="shared" ref="Z42:Z51" si="38">R42*Z$36</f>
        <v>0</v>
      </c>
      <c r="AA42" s="351">
        <f t="shared" ref="AA42:AA51" si="39">S42*AA$36</f>
        <v>0</v>
      </c>
      <c r="AB42" s="116">
        <f t="shared" ref="AB42:AB51" si="40">SUM(T42:AA42)</f>
        <v>0</v>
      </c>
      <c r="AC42" s="291"/>
      <c r="AD42" s="116">
        <f>IF(AC42="",AB42,AC42)</f>
        <v>0</v>
      </c>
      <c r="AE42" s="215"/>
      <c r="AF42" s="217"/>
      <c r="AG42" s="217"/>
      <c r="AH42" s="217"/>
      <c r="AI42" s="217"/>
      <c r="AJ42" s="217"/>
      <c r="AK42" s="217"/>
      <c r="AL42" s="217"/>
      <c r="AM42" s="218"/>
    </row>
    <row r="43" spans="2:40" s="520" customFormat="1" ht="15">
      <c r="B43" s="310"/>
      <c r="C43" s="989">
        <f>C42+1</f>
        <v>2</v>
      </c>
      <c r="D43" s="168"/>
      <c r="E43" s="78"/>
      <c r="F43" s="181" t="s">
        <v>1870</v>
      </c>
      <c r="G43" s="1058"/>
      <c r="H43" s="81">
        <f>VLOOKUP(F43,TOV!$E$142:$F$145,2,FALSE)</f>
        <v>14.229147370575033</v>
      </c>
      <c r="I43" s="316"/>
      <c r="J43" s="184" t="s">
        <v>1871</v>
      </c>
      <c r="K43" s="81">
        <f>VLOOKUP(J43,Tank_values_TOV,TOV!$F$1-2,FALSE)</f>
        <v>45832.543036542585</v>
      </c>
      <c r="L43" s="78"/>
      <c r="M43" s="184" t="s">
        <v>1869</v>
      </c>
      <c r="N43" s="81">
        <f>VLOOKUP(M43,Dam_values_TOV,TOV!$F$1-2,FALSE)</f>
        <v>195528.57077198915</v>
      </c>
      <c r="O43" s="182"/>
      <c r="P43" s="78"/>
      <c r="Q43" s="77"/>
      <c r="R43" s="77"/>
      <c r="S43" s="77"/>
      <c r="T43" s="351">
        <f t="shared" si="32"/>
        <v>0</v>
      </c>
      <c r="U43" s="351">
        <f t="shared" si="33"/>
        <v>0</v>
      </c>
      <c r="V43" s="351">
        <f t="shared" si="34"/>
        <v>0</v>
      </c>
      <c r="W43" s="351">
        <f t="shared" si="35"/>
        <v>0</v>
      </c>
      <c r="X43" s="351">
        <f t="shared" si="36"/>
        <v>0</v>
      </c>
      <c r="Y43" s="351">
        <f t="shared" si="37"/>
        <v>0</v>
      </c>
      <c r="Z43" s="351">
        <f t="shared" si="38"/>
        <v>0</v>
      </c>
      <c r="AA43" s="351">
        <f t="shared" si="39"/>
        <v>0</v>
      </c>
      <c r="AB43" s="116">
        <f t="shared" si="40"/>
        <v>0</v>
      </c>
      <c r="AC43" s="291"/>
      <c r="AD43" s="116">
        <f t="shared" ref="AD43:AD51" si="41">IF(AC43="",AB43,AC43)</f>
        <v>0</v>
      </c>
      <c r="AE43" s="215"/>
      <c r="AF43" s="217"/>
      <c r="AG43" s="217"/>
      <c r="AH43" s="217"/>
      <c r="AI43" s="217"/>
      <c r="AJ43" s="217"/>
      <c r="AK43" s="217"/>
      <c r="AL43" s="217"/>
      <c r="AM43" s="218"/>
    </row>
    <row r="44" spans="2:40" s="520" customFormat="1" ht="15">
      <c r="B44" s="310"/>
      <c r="C44" s="989">
        <f t="shared" ref="C44:C51" si="42">C43+1</f>
        <v>3</v>
      </c>
      <c r="D44" s="168"/>
      <c r="E44" s="78"/>
      <c r="F44" s="181" t="s">
        <v>1872</v>
      </c>
      <c r="G44" s="1058"/>
      <c r="H44" s="81">
        <f>VLOOKUP(F44,TOV!$E$142:$F$145,2,FALSE)</f>
        <v>15.78157451065594</v>
      </c>
      <c r="I44" s="316"/>
      <c r="J44" s="184" t="s">
        <v>1873</v>
      </c>
      <c r="K44" s="81">
        <f>VLOOKUP(J44,Tank_values_TOV,TOV!$F$1-2,FALSE)</f>
        <v>3616.5085494319578</v>
      </c>
      <c r="L44" s="78"/>
      <c r="M44" s="184" t="s">
        <v>1869</v>
      </c>
      <c r="N44" s="81">
        <f>VLOOKUP(M44,Dam_values_TOV,TOV!$F$1-2,FALSE)</f>
        <v>195528.57077198915</v>
      </c>
      <c r="O44" s="182"/>
      <c r="P44" s="78"/>
      <c r="Q44" s="77"/>
      <c r="R44" s="77"/>
      <c r="S44" s="77"/>
      <c r="T44" s="351">
        <f t="shared" si="32"/>
        <v>0</v>
      </c>
      <c r="U44" s="351">
        <f t="shared" si="33"/>
        <v>0</v>
      </c>
      <c r="V44" s="351">
        <f t="shared" si="34"/>
        <v>0</v>
      </c>
      <c r="W44" s="351">
        <f t="shared" si="35"/>
        <v>0</v>
      </c>
      <c r="X44" s="351">
        <f t="shared" si="36"/>
        <v>0</v>
      </c>
      <c r="Y44" s="351">
        <f t="shared" si="37"/>
        <v>0</v>
      </c>
      <c r="Z44" s="351">
        <f t="shared" si="38"/>
        <v>0</v>
      </c>
      <c r="AA44" s="351">
        <f t="shared" si="39"/>
        <v>0</v>
      </c>
      <c r="AB44" s="116">
        <f t="shared" si="40"/>
        <v>0</v>
      </c>
      <c r="AC44" s="291"/>
      <c r="AD44" s="116">
        <f t="shared" si="41"/>
        <v>0</v>
      </c>
      <c r="AE44" s="215"/>
      <c r="AF44" s="217"/>
      <c r="AG44" s="217"/>
      <c r="AH44" s="217"/>
      <c r="AI44" s="217"/>
      <c r="AJ44" s="217"/>
      <c r="AK44" s="217"/>
      <c r="AL44" s="217"/>
      <c r="AM44" s="218"/>
    </row>
    <row r="45" spans="2:40" s="520" customFormat="1" ht="15">
      <c r="B45" s="310"/>
      <c r="C45" s="989">
        <f t="shared" si="42"/>
        <v>4</v>
      </c>
      <c r="D45" s="168"/>
      <c r="E45" s="78"/>
      <c r="F45" s="181" t="s">
        <v>1874</v>
      </c>
      <c r="G45" s="1058"/>
      <c r="H45" s="81">
        <f>VLOOKUP(F45,TOV!$E$142:$F$145,2,FALSE)</f>
        <v>18.900982582929032</v>
      </c>
      <c r="I45" s="316"/>
      <c r="J45" s="184" t="s">
        <v>1873</v>
      </c>
      <c r="K45" s="81">
        <f>VLOOKUP(J45,Tank_values_TOV,TOV!$F$1-2,FALSE)</f>
        <v>3616.5085494319578</v>
      </c>
      <c r="L45" s="78"/>
      <c r="M45" s="184" t="s">
        <v>1869</v>
      </c>
      <c r="N45" s="81">
        <f>VLOOKUP(M45,Dam_values_TOV,TOV!$F$1-2,FALSE)</f>
        <v>195528.57077198915</v>
      </c>
      <c r="O45" s="182"/>
      <c r="P45" s="78"/>
      <c r="Q45" s="77"/>
      <c r="R45" s="77"/>
      <c r="S45" s="77"/>
      <c r="T45" s="351">
        <f t="shared" si="32"/>
        <v>0</v>
      </c>
      <c r="U45" s="351">
        <f t="shared" si="33"/>
        <v>0</v>
      </c>
      <c r="V45" s="351">
        <f t="shared" si="34"/>
        <v>0</v>
      </c>
      <c r="W45" s="351">
        <f t="shared" si="35"/>
        <v>0</v>
      </c>
      <c r="X45" s="351">
        <f t="shared" si="36"/>
        <v>0</v>
      </c>
      <c r="Y45" s="351">
        <f t="shared" si="37"/>
        <v>0</v>
      </c>
      <c r="Z45" s="351">
        <f t="shared" si="38"/>
        <v>0</v>
      </c>
      <c r="AA45" s="351">
        <f t="shared" si="39"/>
        <v>0</v>
      </c>
      <c r="AB45" s="116">
        <f t="shared" si="40"/>
        <v>0</v>
      </c>
      <c r="AC45" s="291"/>
      <c r="AD45" s="116">
        <f t="shared" si="41"/>
        <v>0</v>
      </c>
      <c r="AE45" s="215"/>
      <c r="AF45" s="217"/>
      <c r="AG45" s="217"/>
      <c r="AH45" s="217"/>
      <c r="AI45" s="217"/>
      <c r="AJ45" s="217"/>
      <c r="AK45" s="217"/>
      <c r="AL45" s="217"/>
      <c r="AM45" s="218"/>
    </row>
    <row r="46" spans="2:40" s="520" customFormat="1" ht="15">
      <c r="B46" s="310"/>
      <c r="C46" s="989">
        <f t="shared" si="42"/>
        <v>5</v>
      </c>
      <c r="D46" s="168"/>
      <c r="E46" s="78"/>
      <c r="F46" s="181" t="s">
        <v>1867</v>
      </c>
      <c r="G46" s="1058"/>
      <c r="H46" s="81">
        <f>VLOOKUP(F46,TOV!$E$142:$F$145,2,FALSE)</f>
        <v>13.095941979156329</v>
      </c>
      <c r="I46" s="316"/>
      <c r="J46" s="184" t="s">
        <v>1873</v>
      </c>
      <c r="K46" s="81">
        <f>VLOOKUP(J46,Tank_values_TOV,TOV!$F$1-2,FALSE)</f>
        <v>3616.5085494319578</v>
      </c>
      <c r="L46" s="78"/>
      <c r="M46" s="184" t="s">
        <v>1869</v>
      </c>
      <c r="N46" s="81">
        <f>VLOOKUP(M46,Dam_values_TOV,TOV!$F$1-2,FALSE)</f>
        <v>195528.57077198915</v>
      </c>
      <c r="O46" s="182"/>
      <c r="P46" s="78"/>
      <c r="Q46" s="77"/>
      <c r="R46" s="77"/>
      <c r="S46" s="77"/>
      <c r="T46" s="351">
        <f t="shared" si="32"/>
        <v>0</v>
      </c>
      <c r="U46" s="351">
        <f t="shared" si="33"/>
        <v>0</v>
      </c>
      <c r="V46" s="351">
        <f t="shared" si="34"/>
        <v>0</v>
      </c>
      <c r="W46" s="351">
        <f t="shared" si="35"/>
        <v>0</v>
      </c>
      <c r="X46" s="351">
        <f t="shared" si="36"/>
        <v>0</v>
      </c>
      <c r="Y46" s="351">
        <f t="shared" si="37"/>
        <v>0</v>
      </c>
      <c r="Z46" s="351">
        <f t="shared" si="38"/>
        <v>0</v>
      </c>
      <c r="AA46" s="351">
        <f t="shared" si="39"/>
        <v>0</v>
      </c>
      <c r="AB46" s="116">
        <f t="shared" si="40"/>
        <v>0</v>
      </c>
      <c r="AC46" s="291"/>
      <c r="AD46" s="116">
        <f t="shared" si="41"/>
        <v>0</v>
      </c>
      <c r="AE46" s="215"/>
      <c r="AF46" s="217"/>
      <c r="AG46" s="217"/>
      <c r="AH46" s="217"/>
      <c r="AI46" s="217"/>
      <c r="AJ46" s="217"/>
      <c r="AK46" s="217"/>
      <c r="AL46" s="217"/>
      <c r="AM46" s="218"/>
    </row>
    <row r="47" spans="2:40" s="520" customFormat="1" ht="15">
      <c r="B47" s="310"/>
      <c r="C47" s="989">
        <f t="shared" si="42"/>
        <v>6</v>
      </c>
      <c r="D47" s="168"/>
      <c r="E47" s="78"/>
      <c r="F47" s="181" t="s">
        <v>1867</v>
      </c>
      <c r="G47" s="1058"/>
      <c r="H47" s="81">
        <f>VLOOKUP(F47,TOV!$E$142:$F$145,2,FALSE)</f>
        <v>13.095941979156329</v>
      </c>
      <c r="I47" s="316"/>
      <c r="J47" s="184" t="s">
        <v>1873</v>
      </c>
      <c r="K47" s="81">
        <f>VLOOKUP(J47,Tank_values_TOV,TOV!$F$1-2,FALSE)</f>
        <v>3616.5085494319578</v>
      </c>
      <c r="L47" s="78"/>
      <c r="M47" s="184" t="s">
        <v>1869</v>
      </c>
      <c r="N47" s="81">
        <f>VLOOKUP(M47,Dam_values_TOV,TOV!$F$1-2,FALSE)</f>
        <v>195528.57077198915</v>
      </c>
      <c r="O47" s="182"/>
      <c r="P47" s="78"/>
      <c r="Q47" s="77"/>
      <c r="R47" s="77"/>
      <c r="S47" s="77"/>
      <c r="T47" s="351">
        <f t="shared" si="32"/>
        <v>0</v>
      </c>
      <c r="U47" s="351">
        <f t="shared" si="33"/>
        <v>0</v>
      </c>
      <c r="V47" s="351">
        <f t="shared" si="34"/>
        <v>0</v>
      </c>
      <c r="W47" s="351">
        <f t="shared" si="35"/>
        <v>0</v>
      </c>
      <c r="X47" s="351">
        <f t="shared" si="36"/>
        <v>0</v>
      </c>
      <c r="Y47" s="351">
        <f t="shared" si="37"/>
        <v>0</v>
      </c>
      <c r="Z47" s="351">
        <f t="shared" si="38"/>
        <v>0</v>
      </c>
      <c r="AA47" s="351">
        <f t="shared" si="39"/>
        <v>0</v>
      </c>
      <c r="AB47" s="116">
        <f t="shared" si="40"/>
        <v>0</v>
      </c>
      <c r="AC47" s="291"/>
      <c r="AD47" s="116">
        <f t="shared" si="41"/>
        <v>0</v>
      </c>
      <c r="AE47" s="215"/>
      <c r="AF47" s="217"/>
      <c r="AG47" s="217"/>
      <c r="AH47" s="217"/>
      <c r="AI47" s="217"/>
      <c r="AJ47" s="217"/>
      <c r="AK47" s="217"/>
      <c r="AL47" s="217"/>
      <c r="AM47" s="218"/>
    </row>
    <row r="48" spans="2:40" s="520" customFormat="1" ht="15">
      <c r="B48" s="310"/>
      <c r="C48" s="989">
        <f t="shared" si="42"/>
        <v>7</v>
      </c>
      <c r="D48" s="168"/>
      <c r="E48" s="78"/>
      <c r="F48" s="181" t="s">
        <v>1867</v>
      </c>
      <c r="G48" s="1058"/>
      <c r="H48" s="81">
        <f>VLOOKUP(F48,TOV!$E$142:$F$145,2,FALSE)</f>
        <v>13.095941979156329</v>
      </c>
      <c r="I48" s="316"/>
      <c r="J48" s="184" t="s">
        <v>1873</v>
      </c>
      <c r="K48" s="81">
        <f>VLOOKUP(J48,Tank_values_TOV,TOV!$F$1-2,FALSE)</f>
        <v>3616.5085494319578</v>
      </c>
      <c r="L48" s="78"/>
      <c r="M48" s="184" t="s">
        <v>1869</v>
      </c>
      <c r="N48" s="81">
        <f>VLOOKUP(M48,Dam_values_TOV,TOV!$F$1-2,FALSE)</f>
        <v>195528.57077198915</v>
      </c>
      <c r="O48" s="182"/>
      <c r="P48" s="78"/>
      <c r="Q48" s="77"/>
      <c r="R48" s="77"/>
      <c r="S48" s="77"/>
      <c r="T48" s="351">
        <f t="shared" si="32"/>
        <v>0</v>
      </c>
      <c r="U48" s="351">
        <f t="shared" si="33"/>
        <v>0</v>
      </c>
      <c r="V48" s="351">
        <f t="shared" si="34"/>
        <v>0</v>
      </c>
      <c r="W48" s="351">
        <f t="shared" si="35"/>
        <v>0</v>
      </c>
      <c r="X48" s="351">
        <f t="shared" si="36"/>
        <v>0</v>
      </c>
      <c r="Y48" s="351">
        <f t="shared" si="37"/>
        <v>0</v>
      </c>
      <c r="Z48" s="351">
        <f t="shared" si="38"/>
        <v>0</v>
      </c>
      <c r="AA48" s="351">
        <f t="shared" si="39"/>
        <v>0</v>
      </c>
      <c r="AB48" s="116">
        <f t="shared" si="40"/>
        <v>0</v>
      </c>
      <c r="AC48" s="291"/>
      <c r="AD48" s="116">
        <f t="shared" si="41"/>
        <v>0</v>
      </c>
      <c r="AE48" s="215"/>
      <c r="AF48" s="217"/>
      <c r="AG48" s="217"/>
      <c r="AH48" s="217"/>
      <c r="AI48" s="217"/>
      <c r="AJ48" s="217"/>
      <c r="AK48" s="217"/>
      <c r="AL48" s="217"/>
      <c r="AM48" s="218"/>
    </row>
    <row r="49" spans="1:39" s="520" customFormat="1" ht="15">
      <c r="B49" s="310"/>
      <c r="C49" s="989">
        <f t="shared" si="42"/>
        <v>8</v>
      </c>
      <c r="D49" s="168"/>
      <c r="E49" s="78"/>
      <c r="F49" s="181" t="s">
        <v>1867</v>
      </c>
      <c r="G49" s="1058"/>
      <c r="H49" s="81">
        <f>VLOOKUP(F49,TOV!$E$142:$F$145,2,FALSE)</f>
        <v>13.095941979156329</v>
      </c>
      <c r="I49" s="316"/>
      <c r="J49" s="184" t="s">
        <v>1873</v>
      </c>
      <c r="K49" s="81">
        <f>VLOOKUP(J49,Tank_values_TOV,TOV!$F$1-2,FALSE)</f>
        <v>3616.5085494319578</v>
      </c>
      <c r="L49" s="78"/>
      <c r="M49" s="184" t="s">
        <v>1869</v>
      </c>
      <c r="N49" s="81">
        <f>VLOOKUP(M49,Dam_values_TOV,TOV!$F$1-2,FALSE)</f>
        <v>195528.57077198915</v>
      </c>
      <c r="O49" s="182"/>
      <c r="P49" s="78"/>
      <c r="Q49" s="77"/>
      <c r="R49" s="77"/>
      <c r="S49" s="77"/>
      <c r="T49" s="351">
        <f t="shared" si="32"/>
        <v>0</v>
      </c>
      <c r="U49" s="351">
        <f t="shared" si="33"/>
        <v>0</v>
      </c>
      <c r="V49" s="351">
        <f t="shared" si="34"/>
        <v>0</v>
      </c>
      <c r="W49" s="351">
        <f t="shared" si="35"/>
        <v>0</v>
      </c>
      <c r="X49" s="351">
        <f t="shared" si="36"/>
        <v>0</v>
      </c>
      <c r="Y49" s="351">
        <f t="shared" si="37"/>
        <v>0</v>
      </c>
      <c r="Z49" s="351">
        <f t="shared" si="38"/>
        <v>0</v>
      </c>
      <c r="AA49" s="351">
        <f t="shared" si="39"/>
        <v>0</v>
      </c>
      <c r="AB49" s="116">
        <f t="shared" si="40"/>
        <v>0</v>
      </c>
      <c r="AC49" s="291"/>
      <c r="AD49" s="116">
        <f t="shared" si="41"/>
        <v>0</v>
      </c>
      <c r="AE49" s="215"/>
      <c r="AF49" s="217"/>
      <c r="AG49" s="217"/>
      <c r="AH49" s="217"/>
      <c r="AI49" s="217"/>
      <c r="AJ49" s="217"/>
      <c r="AK49" s="217"/>
      <c r="AL49" s="217"/>
      <c r="AM49" s="218"/>
    </row>
    <row r="50" spans="1:39" s="520" customFormat="1" ht="15">
      <c r="B50" s="310"/>
      <c r="C50" s="989">
        <f t="shared" si="42"/>
        <v>9</v>
      </c>
      <c r="D50" s="168"/>
      <c r="E50" s="78"/>
      <c r="F50" s="181" t="s">
        <v>1867</v>
      </c>
      <c r="G50" s="1058"/>
      <c r="H50" s="81">
        <f>VLOOKUP(F50,TOV!$E$142:$F$145,2,FALSE)</f>
        <v>13.095941979156329</v>
      </c>
      <c r="I50" s="316"/>
      <c r="J50" s="184" t="s">
        <v>1873</v>
      </c>
      <c r="K50" s="81">
        <f>VLOOKUP(J50,Tank_values_TOV,TOV!$F$1-2,FALSE)</f>
        <v>3616.5085494319578</v>
      </c>
      <c r="L50" s="78"/>
      <c r="M50" s="184" t="s">
        <v>1869</v>
      </c>
      <c r="N50" s="81">
        <f>VLOOKUP(M50,Dam_values_TOV,TOV!$F$1-2,FALSE)</f>
        <v>195528.57077198915</v>
      </c>
      <c r="O50" s="182"/>
      <c r="P50" s="78"/>
      <c r="Q50" s="77"/>
      <c r="R50" s="77"/>
      <c r="S50" s="77"/>
      <c r="T50" s="351">
        <f t="shared" si="32"/>
        <v>0</v>
      </c>
      <c r="U50" s="351">
        <f t="shared" si="33"/>
        <v>0</v>
      </c>
      <c r="V50" s="351">
        <f t="shared" si="34"/>
        <v>0</v>
      </c>
      <c r="W50" s="351">
        <f t="shared" si="35"/>
        <v>0</v>
      </c>
      <c r="X50" s="351">
        <f t="shared" si="36"/>
        <v>0</v>
      </c>
      <c r="Y50" s="351">
        <f t="shared" si="37"/>
        <v>0</v>
      </c>
      <c r="Z50" s="351">
        <f t="shared" si="38"/>
        <v>0</v>
      </c>
      <c r="AA50" s="351">
        <f t="shared" si="39"/>
        <v>0</v>
      </c>
      <c r="AB50" s="116">
        <f t="shared" si="40"/>
        <v>0</v>
      </c>
      <c r="AC50" s="291"/>
      <c r="AD50" s="116">
        <f t="shared" si="41"/>
        <v>0</v>
      </c>
      <c r="AE50" s="215"/>
      <c r="AF50" s="217"/>
      <c r="AG50" s="217"/>
      <c r="AH50" s="217"/>
      <c r="AI50" s="217"/>
      <c r="AJ50" s="217"/>
      <c r="AK50" s="217"/>
      <c r="AL50" s="217"/>
      <c r="AM50" s="218"/>
    </row>
    <row r="51" spans="1:39" s="520" customFormat="1" ht="15">
      <c r="B51" s="310"/>
      <c r="C51" s="989">
        <f t="shared" si="42"/>
        <v>10</v>
      </c>
      <c r="D51" s="168"/>
      <c r="E51" s="78"/>
      <c r="F51" s="181" t="s">
        <v>1867</v>
      </c>
      <c r="G51" s="1058"/>
      <c r="H51" s="81">
        <f>VLOOKUP(F51,TOV!$E$142:$F$145,2,FALSE)</f>
        <v>13.095941979156329</v>
      </c>
      <c r="I51" s="316"/>
      <c r="J51" s="184" t="s">
        <v>1873</v>
      </c>
      <c r="K51" s="81">
        <f>VLOOKUP(J51,Tank_values_TOV,TOV!$F$1-2,FALSE)</f>
        <v>3616.5085494319578</v>
      </c>
      <c r="L51" s="78"/>
      <c r="M51" s="184" t="s">
        <v>1875</v>
      </c>
      <c r="N51" s="81">
        <f>VLOOKUP(M51,Dam_values_TOV,TOV!$F$1-2,FALSE)</f>
        <v>1156366.0563527015</v>
      </c>
      <c r="O51" s="182"/>
      <c r="P51" s="78"/>
      <c r="Q51" s="77"/>
      <c r="R51" s="77"/>
      <c r="S51" s="77"/>
      <c r="T51" s="351">
        <f t="shared" si="32"/>
        <v>0</v>
      </c>
      <c r="U51" s="351">
        <f t="shared" si="33"/>
        <v>0</v>
      </c>
      <c r="V51" s="351">
        <f t="shared" si="34"/>
        <v>0</v>
      </c>
      <c r="W51" s="351">
        <f t="shared" si="35"/>
        <v>0</v>
      </c>
      <c r="X51" s="351">
        <f t="shared" si="36"/>
        <v>0</v>
      </c>
      <c r="Y51" s="351">
        <f t="shared" si="37"/>
        <v>0</v>
      </c>
      <c r="Z51" s="351">
        <f t="shared" si="38"/>
        <v>0</v>
      </c>
      <c r="AA51" s="351">
        <f t="shared" si="39"/>
        <v>0</v>
      </c>
      <c r="AB51" s="116">
        <f t="shared" si="40"/>
        <v>0</v>
      </c>
      <c r="AC51" s="291"/>
      <c r="AD51" s="116">
        <f t="shared" si="41"/>
        <v>0</v>
      </c>
      <c r="AE51" s="215"/>
      <c r="AF51" s="217"/>
      <c r="AG51" s="217"/>
      <c r="AH51" s="217"/>
      <c r="AI51" s="217"/>
      <c r="AJ51" s="217"/>
      <c r="AK51" s="217"/>
      <c r="AL51" s="217"/>
      <c r="AM51" s="218"/>
    </row>
    <row r="52" spans="1:39" s="520" customFormat="1" ht="19.899999999999999" customHeight="1">
      <c r="A52" s="793"/>
      <c r="E52" s="925"/>
      <c r="F52" s="925"/>
      <c r="G52" s="925"/>
      <c r="H52" s="925"/>
      <c r="I52" s="869"/>
      <c r="M52" s="925"/>
      <c r="N52" s="925"/>
      <c r="O52" s="925"/>
      <c r="P52" s="925"/>
      <c r="Q52" s="925"/>
      <c r="T52" s="872"/>
      <c r="U52" s="872"/>
      <c r="V52" s="872"/>
      <c r="W52" s="872"/>
      <c r="X52" s="872"/>
      <c r="Y52" s="872"/>
      <c r="Z52" s="872"/>
      <c r="AA52" s="872"/>
      <c r="AB52" s="1042"/>
      <c r="AC52" s="1053"/>
      <c r="AD52" s="1044"/>
      <c r="AE52" s="897"/>
    </row>
    <row r="53" spans="1:39" s="520" customFormat="1" ht="19.899999999999999" customHeight="1">
      <c r="A53" s="793"/>
      <c r="E53" s="806">
        <f>SUM(E41:E52)</f>
        <v>0</v>
      </c>
      <c r="F53" s="925"/>
      <c r="G53" s="925"/>
      <c r="H53" s="925"/>
      <c r="I53" s="372">
        <f>SUM(I41:I52)</f>
        <v>0</v>
      </c>
      <c r="L53" s="1054">
        <f>SUM(L41:L52)</f>
        <v>0</v>
      </c>
      <c r="M53" s="925"/>
      <c r="N53" s="925"/>
      <c r="O53" s="806">
        <f t="shared" ref="O53:P53" si="43">SUM(O41:O52)</f>
        <v>0</v>
      </c>
      <c r="P53" s="806">
        <f t="shared" si="43"/>
        <v>0</v>
      </c>
      <c r="Q53" s="373">
        <f t="shared" ref="Q53:AA53" si="44">SUM(Q41:Q52)</f>
        <v>0</v>
      </c>
      <c r="R53" s="373">
        <f t="shared" si="44"/>
        <v>0</v>
      </c>
      <c r="S53" s="373">
        <f t="shared" si="44"/>
        <v>0</v>
      </c>
      <c r="T53" s="351">
        <f t="shared" si="44"/>
        <v>0</v>
      </c>
      <c r="U53" s="351">
        <f t="shared" si="44"/>
        <v>0</v>
      </c>
      <c r="V53" s="351">
        <f t="shared" si="44"/>
        <v>0</v>
      </c>
      <c r="W53" s="351">
        <f t="shared" si="44"/>
        <v>0</v>
      </c>
      <c r="X53" s="351">
        <f t="shared" si="44"/>
        <v>0</v>
      </c>
      <c r="Y53" s="351">
        <f t="shared" si="44"/>
        <v>0</v>
      </c>
      <c r="Z53" s="351">
        <f t="shared" si="44"/>
        <v>0</v>
      </c>
      <c r="AA53" s="351">
        <f t="shared" si="44"/>
        <v>0</v>
      </c>
      <c r="AB53" s="1046">
        <f>SUM(AB40:AB52)</f>
        <v>0</v>
      </c>
      <c r="AC53" s="791"/>
      <c r="AD53" s="1046">
        <f>SUM(AD40:AD52)</f>
        <v>0</v>
      </c>
      <c r="AE53" s="904">
        <f>IF(E53=0,0,AD53/E53)</f>
        <v>0</v>
      </c>
      <c r="AF53" s="736" t="s">
        <v>501</v>
      </c>
    </row>
    <row r="54" spans="1:39" ht="12.75">
      <c r="A54" s="804"/>
      <c r="E54" s="1048"/>
      <c r="F54" s="925"/>
      <c r="G54" s="925"/>
      <c r="H54" s="925"/>
      <c r="I54" s="475"/>
      <c r="J54" s="520"/>
      <c r="K54" s="520"/>
      <c r="L54" s="520"/>
      <c r="M54" s="520"/>
      <c r="N54" s="925"/>
      <c r="O54" s="925"/>
      <c r="P54" s="925"/>
      <c r="AB54" s="1032"/>
      <c r="AC54" s="1032"/>
      <c r="AD54" s="475"/>
      <c r="AE54" s="475"/>
      <c r="AF54" s="475"/>
      <c r="AG54" s="475"/>
      <c r="AH54" s="475"/>
    </row>
    <row r="55" spans="1:39">
      <c r="F55" s="925"/>
      <c r="G55" s="925"/>
      <c r="H55" s="925"/>
      <c r="AD55" s="475"/>
      <c r="AE55" s="475"/>
      <c r="AF55" s="475"/>
      <c r="AG55" s="475"/>
      <c r="AH55" s="475"/>
    </row>
    <row r="56" spans="1:39" ht="12.75">
      <c r="AD56" s="1032"/>
      <c r="AE56" s="1032"/>
      <c r="AF56" s="475"/>
      <c r="AG56" s="475"/>
      <c r="AH56" s="475"/>
    </row>
    <row r="57" spans="1:39" ht="12.75">
      <c r="AD57" s="1032"/>
      <c r="AE57" s="1032"/>
      <c r="AF57" s="475"/>
      <c r="AG57" s="475"/>
      <c r="AH57" s="475"/>
    </row>
    <row r="58" spans="1:39" ht="12.75">
      <c r="A58" s="772"/>
      <c r="AD58" s="1032"/>
      <c r="AE58" s="1032"/>
      <c r="AF58" s="475"/>
      <c r="AG58" s="475"/>
      <c r="AH58" s="475"/>
    </row>
    <row r="59" spans="1:39">
      <c r="AF59" s="475"/>
      <c r="AG59" s="475"/>
      <c r="AH59" s="475"/>
    </row>
    <row r="60" spans="1:39">
      <c r="AG60" s="475"/>
      <c r="AH60" s="475"/>
    </row>
    <row r="61" spans="1:39">
      <c r="AG61" s="475"/>
      <c r="AH61" s="475"/>
    </row>
    <row r="62" spans="1:39">
      <c r="AG62" s="475"/>
      <c r="AH62" s="475"/>
    </row>
    <row r="63" spans="1:39">
      <c r="AG63" s="475"/>
      <c r="AH63" s="475"/>
    </row>
    <row r="64" spans="1:39">
      <c r="AG64" s="475"/>
      <c r="AH64" s="475"/>
    </row>
    <row r="65" spans="1:34">
      <c r="A65" s="804"/>
      <c r="AG65" s="475"/>
      <c r="AH65" s="475"/>
    </row>
    <row r="66" spans="1:34">
      <c r="AG66" s="475"/>
      <c r="AH66" s="475"/>
    </row>
    <row r="67" spans="1:34">
      <c r="AG67" s="475"/>
      <c r="AH67" s="475"/>
    </row>
    <row r="68" spans="1:34">
      <c r="AG68" s="475"/>
      <c r="AH68" s="475"/>
    </row>
    <row r="69" spans="1:34">
      <c r="A69" s="804"/>
      <c r="D69" s="747"/>
      <c r="E69" s="747"/>
      <c r="F69" s="747"/>
      <c r="G69" s="747"/>
      <c r="H69" s="747"/>
      <c r="I69" s="747"/>
      <c r="J69" s="747"/>
      <c r="K69" s="747"/>
      <c r="L69" s="747"/>
      <c r="M69" s="747"/>
      <c r="N69" s="747"/>
      <c r="O69" s="747"/>
      <c r="P69" s="747"/>
      <c r="Q69" s="747"/>
      <c r="R69" s="747"/>
      <c r="S69" s="747"/>
      <c r="T69" s="747"/>
      <c r="U69" s="747"/>
      <c r="V69" s="747"/>
      <c r="AG69" s="475"/>
      <c r="AH69" s="475"/>
    </row>
    <row r="70" spans="1:34">
      <c r="AG70" s="475"/>
      <c r="AH70" s="475"/>
    </row>
    <row r="71" spans="1:34">
      <c r="AG71" s="475"/>
      <c r="AH71" s="475"/>
    </row>
    <row r="72" spans="1:34">
      <c r="AG72" s="475"/>
      <c r="AH72" s="475"/>
    </row>
    <row r="73" spans="1:34">
      <c r="A73" s="772"/>
      <c r="AG73" s="475"/>
      <c r="AH73" s="475"/>
    </row>
    <row r="74" spans="1:34">
      <c r="AG74" s="475"/>
      <c r="AH74" s="475"/>
    </row>
    <row r="75" spans="1:34">
      <c r="AG75" s="475"/>
      <c r="AH75" s="475"/>
    </row>
    <row r="76" spans="1:34">
      <c r="AG76" s="475"/>
      <c r="AH76" s="475"/>
    </row>
    <row r="77" spans="1:34">
      <c r="AG77" s="475"/>
      <c r="AH77" s="475"/>
    </row>
    <row r="78" spans="1:34">
      <c r="AG78" s="475"/>
      <c r="AH78" s="475"/>
    </row>
    <row r="79" spans="1:34">
      <c r="AG79" s="475"/>
      <c r="AH79" s="475"/>
    </row>
    <row r="80" spans="1:34">
      <c r="A80" s="804"/>
      <c r="AG80" s="475"/>
      <c r="AH80" s="475"/>
    </row>
    <row r="81" spans="1:34">
      <c r="AG81" s="475"/>
      <c r="AH81" s="475"/>
    </row>
    <row r="82" spans="1:34">
      <c r="AG82" s="475"/>
      <c r="AH82" s="475"/>
    </row>
    <row r="83" spans="1:34">
      <c r="AG83" s="475"/>
      <c r="AH83" s="475"/>
    </row>
    <row r="84" spans="1:34">
      <c r="A84" s="804"/>
      <c r="D84" s="747"/>
      <c r="E84" s="747"/>
      <c r="F84" s="747"/>
      <c r="G84" s="747"/>
      <c r="H84" s="747"/>
      <c r="I84" s="747"/>
      <c r="J84" s="747"/>
      <c r="K84" s="747"/>
      <c r="L84" s="747"/>
      <c r="M84" s="747"/>
      <c r="N84" s="747"/>
      <c r="R84" s="10"/>
      <c r="S84" s="10"/>
      <c r="U84" s="747"/>
      <c r="V84" s="747"/>
      <c r="AG84" s="475"/>
      <c r="AH84" s="475"/>
    </row>
    <row r="85" spans="1:34">
      <c r="AH85" s="475"/>
    </row>
    <row r="86" spans="1:34">
      <c r="AH86" s="475"/>
    </row>
    <row r="87" spans="1:34">
      <c r="AH87" s="475"/>
    </row>
    <row r="88" spans="1:34">
      <c r="A88" s="772"/>
      <c r="AH88" s="475"/>
    </row>
    <row r="89" spans="1:34">
      <c r="AH89" s="475"/>
    </row>
    <row r="90" spans="1:34">
      <c r="AH90" s="475"/>
    </row>
    <row r="91" spans="1:34">
      <c r="AH91" s="475"/>
    </row>
    <row r="99" spans="1:23">
      <c r="A99" s="804"/>
      <c r="D99" s="747"/>
      <c r="E99" s="747"/>
      <c r="F99" s="747"/>
      <c r="G99" s="747"/>
      <c r="H99" s="747"/>
      <c r="I99" s="747"/>
      <c r="J99" s="747"/>
      <c r="K99" s="747"/>
      <c r="L99" s="747"/>
      <c r="M99" s="747"/>
      <c r="N99" s="747"/>
      <c r="O99" s="747"/>
      <c r="P99" s="747"/>
      <c r="Q99" s="747"/>
      <c r="R99" s="747"/>
      <c r="S99" s="747"/>
      <c r="T99" s="747"/>
      <c r="U99" s="747"/>
      <c r="V99" s="747"/>
      <c r="W99" s="747"/>
    </row>
    <row r="103" spans="1:23">
      <c r="A103" s="772"/>
    </row>
    <row r="109" spans="1:23" ht="6.6" customHeight="1"/>
    <row r="111" spans="1:23">
      <c r="E111" s="475"/>
      <c r="F111" s="475"/>
      <c r="G111" s="475"/>
      <c r="H111" s="1055"/>
      <c r="I111" s="1055"/>
      <c r="J111" s="11"/>
      <c r="K111" s="11"/>
      <c r="L111" s="11"/>
      <c r="M111" s="11"/>
      <c r="N111" s="11"/>
      <c r="O111" s="11"/>
      <c r="P111" s="11"/>
      <c r="Q111" s="11"/>
      <c r="R111" s="11"/>
      <c r="S111" s="11"/>
    </row>
    <row r="112" spans="1:23">
      <c r="K112" s="475"/>
      <c r="L112" s="475"/>
      <c r="M112" s="475"/>
      <c r="N112" s="475"/>
      <c r="O112" s="475"/>
      <c r="P112" s="475"/>
      <c r="Q112" s="475"/>
      <c r="R112" s="475"/>
      <c r="S112" s="475"/>
    </row>
  </sheetData>
  <sheetProtection algorithmName="SHA-512" hashValue="bTlHI7KNs0r9MupZv009aI+PPsU+zaC7FVt5qpa7t3WLsljbe3+T/3VIvftUb6H/UPUzX5+wELXai0Dj6sbneg==" saltValue="vfWd3iqjtxuXGgw7xZ8WKw==" spinCount="100000" sheet="1" objects="1" scenarios="1" autoFilter="0"/>
  <dataConsolidate/>
  <phoneticPr fontId="15" type="noConversion"/>
  <conditionalFormatting sqref="R3:AD3">
    <cfRule type="containsText" dxfId="341" priority="40" operator="containsText" text="No Alert">
      <formula>NOT(ISERROR(SEARCH("No Alert",R3)))</formula>
    </cfRule>
    <cfRule type="containsText" dxfId="340" priority="41" operator="containsText" text="Enter">
      <formula>NOT(ISERROR(SEARCH("Enter",R3)))</formula>
    </cfRule>
  </conditionalFormatting>
  <conditionalFormatting sqref="R6:AD6">
    <cfRule type="cellIs" dxfId="339" priority="37" operator="notEqual">
      <formula>""</formula>
    </cfRule>
  </conditionalFormatting>
  <conditionalFormatting sqref="Y35:AA35">
    <cfRule type="containsText" dxfId="338" priority="15" operator="containsText" text="No Alert">
      <formula>NOT(ISERROR(SEARCH("No Alert",Y35)))</formula>
    </cfRule>
    <cfRule type="containsText" dxfId="337" priority="16" operator="containsText" text="Enter">
      <formula>NOT(ISERROR(SEARCH("Enter",Y35)))</formula>
    </cfRule>
  </conditionalFormatting>
  <conditionalFormatting sqref="Y36:AA36 AC42:AC51">
    <cfRule type="cellIs" dxfId="336" priority="2" operator="notEqual">
      <formula>""</formula>
    </cfRule>
  </conditionalFormatting>
  <conditionalFormatting sqref="AE42:AM51">
    <cfRule type="expression" dxfId="335" priority="1">
      <formula>$AC42&lt;&gt;""</formula>
    </cfRule>
  </conditionalFormatting>
  <conditionalFormatting sqref="AF11:AF30">
    <cfRule type="cellIs" dxfId="334" priority="29" operator="notEqual">
      <formula>""</formula>
    </cfRule>
  </conditionalFormatting>
  <conditionalFormatting sqref="AH11:AO30">
    <cfRule type="expression" dxfId="333" priority="3">
      <formula>$AF11&lt;&gt;""</formula>
    </cfRule>
  </conditionalFormatting>
  <dataValidations count="10">
    <dataValidation allowBlank="1" showInputMessage="1" showErrorMessage="1" prompt="Water pumping from pits and dams is included in those input sheets.  This item is to collect any other pumping requirements." sqref="N8" xr:uid="{2256531F-B414-4BEB-B8C4-9C6F07E7C2E5}"/>
    <dataValidation type="whole" allowBlank="1" showInputMessage="1" showErrorMessage="1" sqref="I42:I51 L42:L51 I11:K30" xr:uid="{45A73B7F-878F-41D2-BB64-70444EA13E5F}">
      <formula1>0</formula1>
      <formula2>1000000</formula2>
    </dataValidation>
    <dataValidation type="whole" allowBlank="1" showInputMessage="1" showErrorMessage="1" sqref="E42:E51 O42:P51" xr:uid="{BDB9F202-72CF-4EF1-AA14-668463C4D7C7}">
      <formula1>0</formula1>
      <formula2>10000</formula2>
    </dataValidation>
    <dataValidation allowBlank="1" showInputMessage="1" showErrorMessage="1" prompt="The User can assign different diameters to a set of piping by adding to the rows below." sqref="F39" xr:uid="{6B8B9D30-45E1-40D5-BE54-EDA1C251A5F2}"/>
    <dataValidation type="list" allowBlank="1" showInputMessage="1" showErrorMessage="1" sqref="F42:F51" xr:uid="{48935EB5-D5D7-4F5C-865B-63C7B7DB2965}">
      <formula1>Pipe_above_list</formula1>
    </dataValidation>
    <dataValidation type="list" allowBlank="1" showInputMessage="1" showErrorMessage="1" sqref="J42:J51" xr:uid="{9071C7DC-0669-4CA1-BF5D-86F59F20A17F}">
      <formula1>Tank_list</formula1>
    </dataValidation>
    <dataValidation type="list" allowBlank="1" showInputMessage="1" showErrorMessage="1" sqref="M42:M51" xr:uid="{4D3FB73B-ED35-4CF7-BD54-7C281BC536DF}">
      <formula1>Dams_List</formula1>
    </dataValidation>
    <dataValidation allowBlank="1" showInputMessage="1" showErrorMessage="1" prompt="This entry is for water that is pH 5.5. or greater. The rate allows for adjustment to neutral pH." sqref="E8" xr:uid="{4CF49AFB-490A-46A7-9084-A0CACE659F0E}"/>
    <dataValidation allowBlank="1" showInputMessage="1" showErrorMessage="1" prompt="This entry is for water that is pH 4.5. or greater. The rate allows for adjustment to neutral pH." sqref="F8" xr:uid="{78EDB11B-FB65-4EF2-9948-B9CBBE993293}"/>
    <dataValidation type="whole" operator="greaterThan" allowBlank="1" showInputMessage="1" showErrorMessage="1" sqref="O11:O30" xr:uid="{744C338E-0FC4-4046-9D23-97E34C1B4079}">
      <formula1>0</formula1>
    </dataValidation>
  </dataValidations>
  <hyperlinks>
    <hyperlink ref="T36" location="Subrates_Table_14" display="Subrates_Table_14" xr:uid="{BBBF7C87-C253-4302-A22E-B3D72258CF7D}"/>
    <hyperlink ref="X36" location="Subrates_Table_14" display="Subrates_Table_14" xr:uid="{B35592C7-8EBE-4BF1-B46C-C3E3E749BCA9}"/>
    <hyperlink ref="B2" location="CONTENTS!A1" display="Contents" xr:uid="{A1FFBEF6-1CB7-48AA-B6A8-976C5F2CFDA3}"/>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9" tint="-0.249977111117893"/>
  </sheetPr>
  <dimension ref="A1:EW124"/>
  <sheetViews>
    <sheetView showGridLines="0" zoomScaleNormal="100" workbookViewId="0">
      <pane xSplit="7" ySplit="4" topLeftCell="H5" activePane="bottomRight" state="frozen"/>
      <selection pane="topRight" activeCell="H1" sqref="H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48.28515625" style="475" customWidth="1"/>
    <col min="5" max="5" width="18.7109375" style="474" customWidth="1"/>
    <col min="6" max="6" width="20.42578125" style="474" customWidth="1"/>
    <col min="7" max="8" width="18.7109375" style="474" customWidth="1"/>
    <col min="9" max="9" width="20" style="474" customWidth="1"/>
    <col min="10" max="15" width="18.7109375" style="474" customWidth="1"/>
    <col min="16" max="16" width="20.28515625" style="474" customWidth="1"/>
    <col min="17" max="17" width="20.7109375" style="474" customWidth="1"/>
    <col min="18" max="26" width="18.7109375" style="474" customWidth="1"/>
    <col min="27" max="27" width="24.7109375" style="474" customWidth="1"/>
    <col min="28" max="31" width="18.7109375" style="474" customWidth="1"/>
    <col min="32" max="32" width="24.7109375" style="474" customWidth="1"/>
    <col min="33" max="36" width="18.7109375" style="474" customWidth="1"/>
    <col min="37" max="37" width="24.7109375" style="474" customWidth="1"/>
    <col min="38" max="38" width="21.28515625" style="474" customWidth="1"/>
    <col min="39" max="42" width="18.7109375" style="474" customWidth="1"/>
    <col min="43" max="43" width="21" style="474" customWidth="1"/>
    <col min="44" max="44" width="22.5703125" style="474" customWidth="1"/>
    <col min="45" max="56" width="18.7109375" style="474" customWidth="1"/>
    <col min="57" max="57" width="18.7109375" style="475" customWidth="1"/>
    <col min="58" max="58" width="18.7109375" style="474" customWidth="1"/>
    <col min="59" max="59" width="18.7109375" style="475" customWidth="1"/>
    <col min="60" max="60" width="18.7109375" style="474" customWidth="1"/>
    <col min="61" max="69" width="18.7109375" style="475" customWidth="1"/>
    <col min="70" max="70" width="24.7109375" style="475" customWidth="1"/>
    <col min="71" max="72" width="18.7109375" style="475" customWidth="1"/>
    <col min="73" max="73" width="21.28515625" style="475" customWidth="1"/>
    <col min="74" max="74" width="24.28515625" style="475" customWidth="1"/>
    <col min="75" max="75" width="24.7109375" style="475" customWidth="1"/>
    <col min="76" max="79" width="18.7109375" style="475" customWidth="1"/>
    <col min="80" max="81" width="24.7109375" style="475" customWidth="1"/>
    <col min="82" max="105" width="18.7109375" style="475" customWidth="1"/>
    <col min="106" max="106" width="24.7109375" style="475" customWidth="1"/>
    <col min="107" max="110" width="18.7109375" style="475" customWidth="1"/>
    <col min="111" max="111" width="24.7109375" style="475" customWidth="1"/>
    <col min="112" max="115" width="18.7109375" style="475" customWidth="1"/>
    <col min="116" max="116" width="24.7109375" style="475" customWidth="1"/>
    <col min="117" max="149" width="18.7109375" style="475" customWidth="1"/>
    <col min="150" max="150" width="15" style="1068" customWidth="1"/>
    <col min="151" max="154" width="15" style="475" customWidth="1"/>
    <col min="155" max="16384" width="9" style="475"/>
  </cols>
  <sheetData>
    <row r="1" spans="2:150" ht="14.25">
      <c r="B1" s="433" t="s">
        <v>0</v>
      </c>
      <c r="C1" s="808"/>
      <c r="D1" s="520"/>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F1" s="475"/>
      <c r="BH1" s="475"/>
      <c r="ET1" s="475"/>
    </row>
    <row r="2" spans="2:150" ht="18" customHeight="1">
      <c r="B2" s="286" t="s">
        <v>256</v>
      </c>
      <c r="C2" s="476" t="s">
        <v>1876</v>
      </c>
      <c r="D2" s="944"/>
      <c r="E2" s="944"/>
      <c r="F2" s="944"/>
      <c r="G2" s="944"/>
      <c r="H2" s="944"/>
      <c r="I2" s="944"/>
      <c r="J2" s="944"/>
      <c r="K2" s="944"/>
      <c r="L2" s="944"/>
      <c r="M2" s="944"/>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475"/>
      <c r="BD2" s="475"/>
      <c r="BF2" s="475"/>
      <c r="BH2" s="475"/>
      <c r="ET2" s="475"/>
    </row>
    <row r="3" spans="2:150" ht="18" customHeight="1">
      <c r="B3" s="1059">
        <f>J40+EF70+CQ99+AZ121</f>
        <v>0</v>
      </c>
      <c r="C3" s="1060" t="s">
        <v>1516</v>
      </c>
      <c r="H3" s="793"/>
      <c r="J3" s="1061"/>
      <c r="K3" s="1061"/>
      <c r="L3" s="1061"/>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75"/>
      <c r="AO3" s="475"/>
      <c r="AP3" s="475"/>
      <c r="AQ3" s="475"/>
      <c r="AR3" s="475"/>
      <c r="AS3" s="475"/>
      <c r="AT3" s="475"/>
      <c r="AU3" s="475"/>
      <c r="AV3" s="475"/>
      <c r="AW3" s="475"/>
      <c r="AX3" s="475"/>
      <c r="AY3" s="475"/>
      <c r="AZ3" s="475"/>
      <c r="BA3" s="475"/>
      <c r="BB3" s="475"/>
      <c r="BC3" s="475"/>
      <c r="BD3" s="475"/>
      <c r="BF3" s="475"/>
      <c r="BH3" s="475"/>
      <c r="ET3" s="475"/>
    </row>
    <row r="4" spans="2:150" ht="18" customHeight="1">
      <c r="B4" s="1062">
        <f>Summary!$G$122</f>
        <v>0</v>
      </c>
      <c r="C4" s="1063" t="s">
        <v>1484</v>
      </c>
      <c r="M4" s="475"/>
      <c r="N4" s="475"/>
      <c r="O4" s="220"/>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c r="BA4" s="475"/>
      <c r="BB4" s="475"/>
      <c r="BC4" s="475"/>
      <c r="BD4" s="475"/>
      <c r="BF4" s="475"/>
      <c r="BH4" s="475"/>
      <c r="ET4" s="475"/>
    </row>
    <row r="5" spans="2:150" ht="12.75">
      <c r="C5" s="948"/>
      <c r="D5" s="169"/>
      <c r="E5" s="1036"/>
      <c r="F5" s="1036"/>
      <c r="G5" s="1036"/>
      <c r="H5" s="1036"/>
      <c r="I5" s="1036"/>
      <c r="J5" s="1036"/>
      <c r="K5" s="1036"/>
      <c r="L5" s="1036"/>
      <c r="M5" s="1037"/>
      <c r="N5" s="475"/>
      <c r="O5" s="244" t="s">
        <v>1877</v>
      </c>
      <c r="P5" s="245"/>
      <c r="Q5" s="246"/>
      <c r="R5" s="246"/>
      <c r="S5" s="246"/>
      <c r="T5" s="246"/>
      <c r="U5" s="246"/>
      <c r="V5" s="247"/>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BC5" s="475"/>
      <c r="BD5" s="475"/>
      <c r="BF5" s="475"/>
      <c r="BH5" s="475"/>
      <c r="ET5" s="475"/>
    </row>
    <row r="6" spans="2:150" ht="24">
      <c r="C6" s="766"/>
      <c r="D6" s="1144"/>
      <c r="E6" s="475"/>
      <c r="F6" s="475"/>
      <c r="G6" s="475"/>
      <c r="H6" s="475"/>
      <c r="I6" s="475"/>
      <c r="J6" s="475"/>
      <c r="K6" s="475"/>
      <c r="L6" s="475"/>
      <c r="M6" s="475"/>
      <c r="N6" s="1064">
        <v>1</v>
      </c>
      <c r="O6" s="812" t="s">
        <v>1878</v>
      </c>
      <c r="P6" s="778"/>
      <c r="Q6" s="823" t="s">
        <v>2</v>
      </c>
      <c r="R6" s="773" t="s">
        <v>1879</v>
      </c>
      <c r="S6" s="773" t="s">
        <v>1880</v>
      </c>
      <c r="T6" s="773" t="s">
        <v>1881</v>
      </c>
      <c r="U6" s="773" t="s">
        <v>1882</v>
      </c>
      <c r="V6" s="773" t="s">
        <v>1883</v>
      </c>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475"/>
      <c r="AX6" s="475"/>
      <c r="AY6" s="475"/>
      <c r="AZ6" s="475"/>
      <c r="BA6" s="475"/>
      <c r="BB6" s="475"/>
      <c r="BC6" s="475"/>
      <c r="BD6" s="475"/>
      <c r="BF6" s="475"/>
      <c r="BH6" s="475"/>
      <c r="ET6" s="475"/>
    </row>
    <row r="7" spans="2:150" ht="12.75">
      <c r="C7" s="766"/>
      <c r="D7" s="1144"/>
      <c r="E7" s="475"/>
      <c r="F7" s="475"/>
      <c r="G7" s="475"/>
      <c r="H7" s="475"/>
      <c r="I7" s="475"/>
      <c r="J7" s="475"/>
      <c r="K7" s="475"/>
      <c r="L7" s="475"/>
      <c r="M7" s="475"/>
      <c r="N7" s="1064">
        <v>2</v>
      </c>
      <c r="O7" s="248" t="s">
        <v>1884</v>
      </c>
      <c r="P7" s="1065"/>
      <c r="Q7" s="249" t="s">
        <v>11</v>
      </c>
      <c r="R7" s="250">
        <v>1</v>
      </c>
      <c r="S7" s="250">
        <v>1</v>
      </c>
      <c r="T7" s="250">
        <v>1</v>
      </c>
      <c r="U7" s="250">
        <v>1</v>
      </c>
      <c r="V7" s="250">
        <v>1</v>
      </c>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475"/>
      <c r="AU7" s="475"/>
      <c r="AV7" s="475"/>
      <c r="AW7" s="475"/>
      <c r="AX7" s="475"/>
      <c r="AY7" s="475"/>
      <c r="AZ7" s="475"/>
      <c r="BA7" s="475"/>
      <c r="BB7" s="475"/>
      <c r="BC7" s="475"/>
      <c r="BD7" s="475"/>
      <c r="BF7" s="475"/>
      <c r="BH7" s="475"/>
      <c r="ET7" s="475"/>
    </row>
    <row r="8" spans="2:150" ht="12.75">
      <c r="C8" s="766"/>
      <c r="D8" s="1144"/>
      <c r="E8" s="475"/>
      <c r="F8" s="475"/>
      <c r="G8" s="475"/>
      <c r="H8" s="475"/>
      <c r="I8" s="475"/>
      <c r="J8" s="475"/>
      <c r="K8" s="475"/>
      <c r="L8" s="475"/>
      <c r="M8" s="475"/>
      <c r="N8" s="1064">
        <v>3</v>
      </c>
      <c r="O8" s="251" t="s">
        <v>1885</v>
      </c>
      <c r="P8" s="1066"/>
      <c r="Q8" s="249" t="s">
        <v>11</v>
      </c>
      <c r="R8" s="250">
        <v>0</v>
      </c>
      <c r="S8" s="250">
        <v>0</v>
      </c>
      <c r="T8" s="250">
        <v>0</v>
      </c>
      <c r="U8" s="250">
        <v>0</v>
      </c>
      <c r="V8" s="250">
        <v>0</v>
      </c>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F8" s="475"/>
      <c r="BH8" s="475"/>
      <c r="ET8" s="475"/>
    </row>
    <row r="9" spans="2:150" ht="12.75">
      <c r="C9" s="766"/>
      <c r="D9" s="1144"/>
      <c r="E9" s="475"/>
      <c r="F9" s="475"/>
      <c r="G9" s="475"/>
      <c r="H9" s="475"/>
      <c r="I9" s="475"/>
      <c r="J9" s="475"/>
      <c r="K9" s="475"/>
      <c r="L9" s="475"/>
      <c r="M9" s="475"/>
      <c r="N9" s="1064">
        <v>4</v>
      </c>
      <c r="O9" s="251" t="s">
        <v>1886</v>
      </c>
      <c r="P9" s="1066"/>
      <c r="Q9" s="249" t="s">
        <v>11</v>
      </c>
      <c r="R9" s="250">
        <v>0.6</v>
      </c>
      <c r="S9" s="250">
        <v>0.3</v>
      </c>
      <c r="T9" s="250">
        <v>0.3</v>
      </c>
      <c r="U9" s="250">
        <v>0</v>
      </c>
      <c r="V9" s="250">
        <v>0</v>
      </c>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F9" s="475"/>
      <c r="BH9" s="475"/>
      <c r="ET9" s="475"/>
    </row>
    <row r="10" spans="2:150" ht="12.75">
      <c r="C10" s="766"/>
      <c r="D10" s="1144"/>
      <c r="E10" s="475"/>
      <c r="F10" s="475"/>
      <c r="G10" s="475"/>
      <c r="H10" s="475"/>
      <c r="I10" s="475"/>
      <c r="J10" s="475"/>
      <c r="K10" s="475"/>
      <c r="L10" s="475"/>
      <c r="M10" s="475"/>
      <c r="N10" s="1064">
        <v>5</v>
      </c>
      <c r="O10" s="251" t="s">
        <v>1887</v>
      </c>
      <c r="P10" s="1066"/>
      <c r="Q10" s="249" t="s">
        <v>11</v>
      </c>
      <c r="R10" s="250">
        <v>0.5</v>
      </c>
      <c r="S10" s="250">
        <v>0.3</v>
      </c>
      <c r="T10" s="250">
        <v>0</v>
      </c>
      <c r="U10" s="250">
        <v>0</v>
      </c>
      <c r="V10" s="250">
        <v>0</v>
      </c>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F10" s="475"/>
      <c r="BH10" s="475"/>
      <c r="ET10" s="475"/>
    </row>
    <row r="11" spans="2:150" ht="12.75">
      <c r="C11" s="766"/>
      <c r="D11" s="1144"/>
      <c r="E11" s="475"/>
      <c r="F11" s="475"/>
      <c r="G11" s="475"/>
      <c r="H11" s="475"/>
      <c r="I11" s="475"/>
      <c r="J11" s="475"/>
      <c r="K11" s="475"/>
      <c r="L11" s="475"/>
      <c r="M11" s="475"/>
      <c r="N11" s="1064">
        <v>6</v>
      </c>
      <c r="O11" s="251" t="s">
        <v>1888</v>
      </c>
      <c r="P11" s="1066"/>
      <c r="Q11" s="249" t="s">
        <v>11</v>
      </c>
      <c r="R11" s="250">
        <v>1.5</v>
      </c>
      <c r="S11" s="250">
        <v>1</v>
      </c>
      <c r="T11" s="250">
        <v>1</v>
      </c>
      <c r="U11" s="250">
        <v>0.5</v>
      </c>
      <c r="V11" s="250">
        <v>0</v>
      </c>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F11" s="475"/>
      <c r="BH11" s="475"/>
      <c r="ET11" s="475"/>
    </row>
    <row r="12" spans="2:150" ht="12.75">
      <c r="C12" s="766"/>
      <c r="D12" s="1144"/>
      <c r="E12" s="475"/>
      <c r="F12" s="475"/>
      <c r="G12" s="475"/>
      <c r="H12" s="475"/>
      <c r="I12" s="475"/>
      <c r="J12" s="475"/>
      <c r="K12" s="475"/>
      <c r="L12" s="475"/>
      <c r="M12" s="475"/>
      <c r="N12" s="1064">
        <v>7</v>
      </c>
      <c r="O12" s="251" t="s">
        <v>1889</v>
      </c>
      <c r="P12" s="1066"/>
      <c r="Q12" s="249" t="s">
        <v>11</v>
      </c>
      <c r="R12" s="252">
        <v>0.15</v>
      </c>
      <c r="S12" s="252">
        <v>0.15</v>
      </c>
      <c r="T12" s="252">
        <v>0.15</v>
      </c>
      <c r="U12" s="252">
        <v>0.15</v>
      </c>
      <c r="V12" s="252">
        <v>0.15</v>
      </c>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F12" s="475"/>
      <c r="BH12" s="475"/>
      <c r="ET12" s="475"/>
    </row>
    <row r="13" spans="2:150" ht="12.75">
      <c r="C13" s="766"/>
      <c r="D13" s="1144"/>
      <c r="E13" s="475"/>
      <c r="F13" s="475"/>
      <c r="G13" s="475"/>
      <c r="H13" s="475"/>
      <c r="I13" s="475"/>
      <c r="J13" s="475"/>
      <c r="K13" s="475"/>
      <c r="L13" s="475"/>
      <c r="M13" s="475"/>
      <c r="N13" s="1064">
        <v>8</v>
      </c>
      <c r="O13" s="251" t="s">
        <v>1890</v>
      </c>
      <c r="P13" s="1066"/>
      <c r="Q13" s="249" t="s">
        <v>58</v>
      </c>
      <c r="R13" s="253">
        <v>2850</v>
      </c>
      <c r="S13" s="253">
        <v>2600</v>
      </c>
      <c r="T13" s="253">
        <v>2075</v>
      </c>
      <c r="U13" s="253">
        <v>1550</v>
      </c>
      <c r="V13" s="253">
        <v>650</v>
      </c>
      <c r="W13" s="475"/>
      <c r="X13" s="475"/>
      <c r="Y13" s="475"/>
      <c r="Z13" s="475"/>
      <c r="AA13" s="475"/>
      <c r="AB13" s="475"/>
      <c r="AC13" s="47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75"/>
      <c r="BA13" s="475"/>
      <c r="BB13" s="475"/>
      <c r="BC13" s="475"/>
      <c r="BD13" s="475"/>
      <c r="BF13" s="475"/>
      <c r="BH13" s="475"/>
      <c r="ET13" s="475"/>
    </row>
    <row r="14" spans="2:150" ht="12.75">
      <c r="C14" s="766"/>
      <c r="D14" s="1144"/>
      <c r="E14" s="475"/>
      <c r="F14" s="475"/>
      <c r="G14" s="475"/>
      <c r="H14" s="475"/>
      <c r="I14" s="475"/>
      <c r="J14" s="475"/>
      <c r="K14" s="475"/>
      <c r="L14" s="475"/>
      <c r="M14" s="475"/>
      <c r="N14" s="1064"/>
      <c r="O14" s="254"/>
      <c r="P14" s="1067"/>
      <c r="Q14" s="254"/>
      <c r="W14" s="475"/>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F14" s="475"/>
      <c r="BH14" s="475"/>
      <c r="ET14" s="475"/>
    </row>
    <row r="15" spans="2:150">
      <c r="AM15" s="475"/>
      <c r="AN15" s="475"/>
      <c r="AO15" s="475"/>
      <c r="AP15" s="475"/>
      <c r="AQ15" s="475"/>
      <c r="AR15" s="475"/>
      <c r="AS15" s="475"/>
      <c r="AT15" s="475"/>
      <c r="AU15" s="475"/>
      <c r="AV15" s="475"/>
      <c r="AW15" s="475"/>
      <c r="AX15" s="475"/>
      <c r="AY15" s="475"/>
      <c r="AZ15" s="475"/>
      <c r="BA15" s="475"/>
      <c r="BB15" s="475"/>
      <c r="BC15" s="475"/>
      <c r="BD15" s="475"/>
      <c r="BF15" s="475"/>
      <c r="BH15" s="475"/>
      <c r="ER15" s="1068"/>
      <c r="ET15" s="475"/>
    </row>
    <row r="16" spans="2:150" ht="18" customHeight="1">
      <c r="C16" s="1069" t="s">
        <v>1891</v>
      </c>
      <c r="D16" s="1070"/>
      <c r="E16" s="475"/>
      <c r="F16" s="746"/>
      <c r="G16" s="434"/>
      <c r="H16" s="434"/>
      <c r="I16" s="434"/>
      <c r="J16" s="434"/>
      <c r="AN16" s="1068"/>
      <c r="AO16" s="1068"/>
      <c r="AP16" s="1068"/>
      <c r="AQ16" s="1068"/>
      <c r="AR16" s="1068"/>
      <c r="AS16" s="1068"/>
      <c r="AT16" s="1068"/>
      <c r="AU16" s="1068"/>
      <c r="AV16" s="1068"/>
      <c r="AW16" s="1068"/>
      <c r="AX16" s="1068"/>
      <c r="AY16" s="1068"/>
      <c r="AZ16" s="1068"/>
      <c r="BA16" s="1068"/>
      <c r="BB16" s="1068"/>
      <c r="BC16" s="1068"/>
      <c r="BD16" s="1068"/>
      <c r="BE16" s="1068"/>
      <c r="BF16" s="1068"/>
      <c r="BG16" s="1068"/>
      <c r="BH16" s="1068"/>
      <c r="BI16" s="1068"/>
      <c r="BJ16" s="1068"/>
      <c r="BK16" s="1068"/>
      <c r="BL16" s="1068"/>
      <c r="BM16" s="1068"/>
      <c r="BN16" s="1068"/>
      <c r="BO16" s="1068"/>
      <c r="BP16" s="1068"/>
      <c r="BQ16" s="1068"/>
      <c r="BR16" s="1068"/>
      <c r="BS16" s="1068"/>
      <c r="BT16" s="1068"/>
      <c r="BU16" s="1068"/>
      <c r="BV16" s="1068"/>
      <c r="BW16" s="1068"/>
      <c r="BX16" s="1068"/>
      <c r="BY16" s="1068"/>
      <c r="BZ16" s="1068"/>
      <c r="CA16" s="1068"/>
      <c r="CB16" s="1068"/>
      <c r="CC16" s="1068"/>
      <c r="CD16" s="1068"/>
      <c r="CE16" s="1068"/>
      <c r="CF16" s="1068"/>
      <c r="CG16" s="1068"/>
      <c r="CH16" s="1068"/>
      <c r="CI16" s="1068"/>
      <c r="CJ16" s="1068"/>
      <c r="CK16" s="1068"/>
      <c r="CL16" s="1068"/>
      <c r="CM16" s="1068"/>
      <c r="CN16" s="1068"/>
      <c r="CO16" s="1068"/>
      <c r="CP16" s="1068"/>
      <c r="CQ16" s="1068"/>
      <c r="CR16" s="1068"/>
      <c r="CS16" s="1068"/>
      <c r="CT16" s="1068"/>
      <c r="CU16" s="1068"/>
      <c r="CV16" s="1068"/>
      <c r="CW16" s="1068"/>
      <c r="CX16" s="1068"/>
      <c r="CY16" s="1068"/>
      <c r="CZ16" s="1068"/>
      <c r="DA16" s="1068"/>
      <c r="DB16" s="1068"/>
      <c r="DC16" s="1068"/>
      <c r="DD16" s="1068"/>
      <c r="DE16" s="1068"/>
      <c r="DF16" s="1068"/>
      <c r="DG16" s="1068"/>
      <c r="DH16" s="1068"/>
      <c r="DI16" s="1068"/>
      <c r="DJ16" s="1068"/>
      <c r="DK16" s="1068"/>
      <c r="DL16" s="1068"/>
      <c r="DM16" s="1068"/>
      <c r="DN16" s="1068"/>
      <c r="DO16" s="1068"/>
      <c r="DP16" s="1068"/>
      <c r="DQ16" s="1068"/>
      <c r="DR16" s="1068"/>
      <c r="DS16" s="1068"/>
      <c r="DT16" s="1068"/>
      <c r="DU16" s="1068"/>
      <c r="DV16" s="1068"/>
      <c r="DW16" s="1068"/>
      <c r="DX16" s="1068"/>
      <c r="DY16" s="1068"/>
      <c r="DZ16" s="1068"/>
      <c r="EA16" s="1068"/>
      <c r="EB16" s="1068"/>
      <c r="EC16" s="1068"/>
      <c r="ED16" s="1068"/>
      <c r="EE16" s="1068"/>
      <c r="EF16" s="1068"/>
      <c r="EG16" s="1068"/>
      <c r="EH16" s="1068"/>
      <c r="EI16" s="1068"/>
      <c r="EJ16" s="1068"/>
      <c r="EK16" s="1068"/>
      <c r="EL16" s="1068"/>
      <c r="EM16" s="1068"/>
      <c r="EN16" s="1068"/>
      <c r="EO16" s="1068"/>
      <c r="EP16" s="1068"/>
      <c r="EQ16" s="1068"/>
      <c r="ER16" s="1068"/>
      <c r="ES16" s="1068"/>
      <c r="ET16" s="475"/>
    </row>
    <row r="17" spans="2:150" ht="29.65" customHeight="1">
      <c r="B17" s="773" t="s">
        <v>1517</v>
      </c>
      <c r="C17" s="773" t="s">
        <v>27</v>
      </c>
      <c r="D17" s="773" t="s">
        <v>1892</v>
      </c>
      <c r="E17" s="773" t="s">
        <v>1893</v>
      </c>
      <c r="F17" s="812" t="s">
        <v>1894</v>
      </c>
      <c r="G17" s="773" t="s">
        <v>1585</v>
      </c>
      <c r="H17" s="773" t="s">
        <v>1895</v>
      </c>
      <c r="I17" s="773" t="s">
        <v>1896</v>
      </c>
      <c r="J17" s="775" t="s">
        <v>1897</v>
      </c>
      <c r="K17" s="776" t="s">
        <v>1759</v>
      </c>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576"/>
      <c r="AM17" s="963"/>
      <c r="AN17" s="1068"/>
      <c r="AO17" s="1068"/>
      <c r="AP17" s="1068"/>
      <c r="AQ17" s="1068"/>
      <c r="AR17" s="1068"/>
      <c r="AS17" s="1068"/>
      <c r="AT17" s="1068"/>
      <c r="AU17" s="1068"/>
      <c r="AV17" s="1068"/>
      <c r="AW17" s="1068"/>
      <c r="AX17" s="1068"/>
      <c r="AY17" s="1068"/>
      <c r="AZ17" s="1068"/>
      <c r="BA17" s="1068"/>
      <c r="BB17" s="1068"/>
      <c r="BC17" s="1068"/>
      <c r="BD17" s="1068"/>
      <c r="BE17" s="1068"/>
      <c r="BF17" s="1068"/>
      <c r="BG17" s="1068"/>
      <c r="BH17" s="1068"/>
      <c r="BI17" s="1068"/>
      <c r="BJ17" s="1068"/>
      <c r="BK17" s="1068"/>
      <c r="BL17" s="1068"/>
      <c r="BM17" s="1068"/>
      <c r="BN17" s="1068"/>
      <c r="BO17" s="1068"/>
      <c r="BP17" s="1068"/>
      <c r="BQ17" s="1068"/>
      <c r="BR17" s="1068"/>
      <c r="BS17" s="1068"/>
      <c r="BT17" s="1068"/>
      <c r="BU17" s="1068"/>
      <c r="BV17" s="1068"/>
      <c r="BW17" s="1068"/>
      <c r="BX17" s="1068"/>
      <c r="BY17" s="1068"/>
      <c r="BZ17" s="1068"/>
      <c r="CA17" s="1068"/>
      <c r="CB17" s="1068"/>
      <c r="CC17" s="1068"/>
      <c r="CD17" s="1068"/>
      <c r="CE17" s="1068"/>
      <c r="CF17" s="1068"/>
      <c r="CG17" s="1068"/>
      <c r="CH17" s="1068"/>
      <c r="CI17" s="1068"/>
      <c r="CJ17" s="1068"/>
      <c r="CK17" s="1068"/>
      <c r="CL17" s="1068"/>
      <c r="CM17" s="1068"/>
      <c r="CN17" s="1068"/>
      <c r="CO17" s="1068"/>
      <c r="CP17" s="1068"/>
      <c r="CQ17" s="1068"/>
      <c r="CR17" s="1068"/>
      <c r="CS17" s="1068"/>
      <c r="CT17" s="1068"/>
      <c r="CU17" s="1068"/>
      <c r="CV17" s="1068"/>
      <c r="CW17" s="1068"/>
      <c r="CX17" s="1068"/>
      <c r="CY17" s="1068"/>
      <c r="CZ17" s="1068"/>
      <c r="DA17" s="1068"/>
      <c r="DB17" s="1068"/>
      <c r="DC17" s="1068"/>
      <c r="DD17" s="1068"/>
      <c r="DE17" s="1068"/>
      <c r="DF17" s="1068"/>
      <c r="DG17" s="1068"/>
      <c r="DH17" s="1068"/>
      <c r="DI17" s="1068"/>
      <c r="DJ17" s="1068"/>
      <c r="DK17" s="1068"/>
      <c r="DL17" s="1068"/>
      <c r="DM17" s="1068"/>
      <c r="DN17" s="1068"/>
      <c r="DO17" s="1068"/>
      <c r="DP17" s="1068"/>
      <c r="DQ17" s="1068"/>
      <c r="DR17" s="1068"/>
      <c r="DS17" s="1068"/>
      <c r="DT17" s="1068"/>
      <c r="DU17" s="1068"/>
      <c r="DV17" s="1068"/>
      <c r="DW17" s="1068"/>
      <c r="DX17" s="1068"/>
      <c r="DY17" s="1068"/>
      <c r="DZ17" s="1068"/>
      <c r="EA17" s="1068"/>
      <c r="EB17" s="1068"/>
      <c r="EC17" s="1068"/>
      <c r="ED17" s="1068"/>
      <c r="EE17" s="1068"/>
      <c r="EF17" s="1068"/>
      <c r="EG17" s="1068"/>
      <c r="EH17" s="1068"/>
      <c r="EI17" s="1068"/>
      <c r="EJ17" s="1068"/>
      <c r="EK17" s="1068"/>
      <c r="EL17" s="1068"/>
      <c r="EM17" s="1068"/>
      <c r="EN17" s="1068"/>
      <c r="EO17" s="1068"/>
      <c r="EP17" s="1068"/>
      <c r="EQ17" s="1068"/>
      <c r="ER17" s="1068"/>
      <c r="ES17" s="1068"/>
      <c r="ET17" s="475"/>
    </row>
    <row r="18" spans="2:150" ht="12.75">
      <c r="E18" s="475"/>
      <c r="F18" s="125" t="s">
        <v>1646</v>
      </c>
      <c r="G18" s="475"/>
      <c r="H18" s="475"/>
      <c r="I18" s="475"/>
      <c r="J18" s="475"/>
      <c r="K18" s="964"/>
      <c r="AM18" s="779"/>
      <c r="AN18" s="1068"/>
      <c r="AO18" s="1068"/>
      <c r="AP18" s="1068"/>
      <c r="AQ18" s="1068"/>
      <c r="AR18" s="1068"/>
      <c r="AS18" s="1068"/>
      <c r="AT18" s="1068"/>
      <c r="AU18" s="1068"/>
      <c r="AV18" s="1068"/>
      <c r="AW18" s="1068"/>
      <c r="AX18" s="1068"/>
      <c r="AY18" s="1068"/>
      <c r="AZ18" s="1068"/>
      <c r="BA18" s="1068"/>
      <c r="BB18" s="1068"/>
      <c r="BC18" s="1068"/>
      <c r="BD18" s="1068"/>
      <c r="BE18" s="1068"/>
      <c r="BF18" s="1068"/>
      <c r="BG18" s="1068"/>
      <c r="BH18" s="1068"/>
      <c r="BI18" s="1068"/>
      <c r="BJ18" s="1068"/>
      <c r="BK18" s="1068"/>
      <c r="BL18" s="1068"/>
      <c r="BM18" s="1068"/>
      <c r="BN18" s="1068"/>
      <c r="BO18" s="1068"/>
      <c r="BP18" s="1068"/>
      <c r="BQ18" s="1068"/>
      <c r="BR18" s="1068"/>
      <c r="BS18" s="1068"/>
      <c r="BT18" s="1068"/>
      <c r="BU18" s="1068"/>
      <c r="BV18" s="1068"/>
      <c r="BW18" s="1068"/>
      <c r="BX18" s="1068"/>
      <c r="BY18" s="1068"/>
      <c r="BZ18" s="1068"/>
      <c r="CA18" s="1068"/>
      <c r="CB18" s="1068"/>
      <c r="CC18" s="1068"/>
      <c r="CD18" s="1068"/>
      <c r="CE18" s="1068"/>
      <c r="CF18" s="1068"/>
      <c r="CG18" s="1068"/>
      <c r="CH18" s="1068"/>
      <c r="CI18" s="1068"/>
      <c r="CJ18" s="1068"/>
      <c r="CK18" s="1068"/>
      <c r="CL18" s="1068"/>
      <c r="CM18" s="1068"/>
      <c r="CN18" s="1068"/>
      <c r="CO18" s="1068"/>
      <c r="CP18" s="1068"/>
      <c r="CQ18" s="1068"/>
      <c r="CR18" s="1068"/>
      <c r="CS18" s="1068"/>
      <c r="CT18" s="1068"/>
      <c r="CU18" s="1068"/>
      <c r="CV18" s="1068"/>
      <c r="CW18" s="1068"/>
      <c r="CX18" s="1068"/>
      <c r="CY18" s="1068"/>
      <c r="CZ18" s="1068"/>
      <c r="DA18" s="1068"/>
      <c r="DB18" s="1068"/>
      <c r="DC18" s="1068"/>
      <c r="DD18" s="1068"/>
      <c r="DE18" s="1068"/>
      <c r="DF18" s="1068"/>
      <c r="DG18" s="1068"/>
      <c r="DH18" s="1068"/>
      <c r="DI18" s="1068"/>
      <c r="DJ18" s="1068"/>
      <c r="DK18" s="1068"/>
      <c r="DL18" s="1068"/>
      <c r="DM18" s="1068"/>
      <c r="DN18" s="1068"/>
      <c r="DO18" s="1068"/>
      <c r="DP18" s="1068"/>
      <c r="DQ18" s="1068"/>
      <c r="DR18" s="1068"/>
      <c r="DS18" s="1068"/>
      <c r="DT18" s="1068"/>
      <c r="DU18" s="1068"/>
      <c r="DV18" s="1068"/>
      <c r="DW18" s="1068"/>
      <c r="DX18" s="1068"/>
      <c r="DY18" s="1068"/>
      <c r="DZ18" s="1068"/>
      <c r="EA18" s="1068"/>
      <c r="EB18" s="1068"/>
      <c r="EC18" s="1068"/>
      <c r="ED18" s="1068"/>
      <c r="EE18" s="1068"/>
      <c r="EF18" s="1068"/>
      <c r="EG18" s="1068"/>
      <c r="EH18" s="1068"/>
      <c r="EI18" s="1068"/>
      <c r="EJ18" s="1068"/>
      <c r="EK18" s="1068"/>
      <c r="EL18" s="1068"/>
      <c r="EM18" s="1068"/>
      <c r="EN18" s="1068"/>
      <c r="EO18" s="1068"/>
      <c r="EP18" s="1068"/>
      <c r="EQ18" s="1068"/>
      <c r="ER18" s="1068"/>
      <c r="ES18" s="1068"/>
      <c r="ET18" s="475"/>
    </row>
    <row r="19" spans="2:150" s="520" customFormat="1" ht="12.75">
      <c r="B19" s="310"/>
      <c r="C19" s="989">
        <v>1</v>
      </c>
      <c r="D19" s="175"/>
      <c r="E19" s="328"/>
      <c r="F19" s="337" t="s">
        <v>1879</v>
      </c>
      <c r="G19" s="167" t="str">
        <f>VLOOKUP(F19,Lists!$B$34:$E$39,Lists!$C$3,FALSE)</f>
        <v>#7.01</v>
      </c>
      <c r="H19" s="256">
        <f>VLOOKUP(G19,TOV!$C$464:$G$480,4,FALSE)</f>
        <v>167262.75076315654</v>
      </c>
      <c r="I19" s="117"/>
      <c r="J19" s="121">
        <f t="shared" ref="J19:J38" si="0">IF(I19="",H19,I19)*E19</f>
        <v>0</v>
      </c>
      <c r="K19" s="192"/>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8"/>
      <c r="AN19" s="1071"/>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c r="CU19" s="1071"/>
      <c r="CV19" s="1071"/>
      <c r="CW19" s="1071"/>
      <c r="CX19" s="1071"/>
      <c r="CY19" s="1071"/>
      <c r="CZ19" s="1071"/>
      <c r="DA19" s="1071"/>
      <c r="DB19" s="1071"/>
      <c r="DC19" s="1071"/>
      <c r="DD19" s="1071"/>
      <c r="DE19" s="1071"/>
      <c r="DF19" s="1071"/>
      <c r="DG19" s="1071"/>
      <c r="DH19" s="1071"/>
      <c r="DI19" s="1071"/>
      <c r="DJ19" s="1071"/>
      <c r="DK19" s="1071"/>
      <c r="DL19" s="1071"/>
      <c r="DM19" s="1071"/>
      <c r="DN19" s="1071"/>
      <c r="DO19" s="1071"/>
      <c r="DP19" s="1071"/>
      <c r="DQ19" s="1071"/>
      <c r="DR19" s="1071"/>
      <c r="DS19" s="1071"/>
      <c r="DT19" s="1071"/>
      <c r="DU19" s="1071"/>
      <c r="DV19" s="1071"/>
      <c r="DW19" s="1071"/>
      <c r="DX19" s="1071"/>
      <c r="DY19" s="1071"/>
      <c r="DZ19" s="1071"/>
      <c r="EA19" s="1071"/>
      <c r="EB19" s="1071"/>
      <c r="EC19" s="1071"/>
      <c r="ED19" s="1071"/>
      <c r="EE19" s="1071"/>
      <c r="EF19" s="1071"/>
      <c r="EG19" s="1071"/>
      <c r="EH19" s="1071"/>
      <c r="EI19" s="1071"/>
      <c r="EJ19" s="1071"/>
      <c r="EK19" s="1071"/>
      <c r="EL19" s="1071"/>
      <c r="EM19" s="1071"/>
      <c r="EN19" s="1071"/>
      <c r="EO19" s="1071"/>
      <c r="EP19" s="1071"/>
      <c r="EQ19" s="1071"/>
      <c r="ER19" s="1071"/>
      <c r="ES19" s="1071"/>
    </row>
    <row r="20" spans="2:150" s="520" customFormat="1" ht="12.75">
      <c r="B20" s="310"/>
      <c r="C20" s="989">
        <f t="shared" ref="C20:C38" si="1">C19+1</f>
        <v>2</v>
      </c>
      <c r="D20" s="175"/>
      <c r="E20" s="328"/>
      <c r="F20" s="337" t="s">
        <v>1880</v>
      </c>
      <c r="G20" s="167" t="str">
        <f>VLOOKUP(F20,Lists!$B$34:$E$39,Lists!$C$3,FALSE)</f>
        <v>#7.02</v>
      </c>
      <c r="H20" s="256">
        <f>VLOOKUP(G20,TOV!$C$464:$G$480,4,FALSE)</f>
        <v>111627.27860871454</v>
      </c>
      <c r="I20" s="117"/>
      <c r="J20" s="121">
        <f t="shared" si="0"/>
        <v>0</v>
      </c>
      <c r="K20" s="192"/>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8"/>
      <c r="AN20" s="1071"/>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c r="CU20" s="1071"/>
      <c r="CV20" s="1071"/>
      <c r="CW20" s="1071"/>
      <c r="CX20" s="1071"/>
      <c r="CY20" s="1071"/>
      <c r="CZ20" s="1071"/>
      <c r="DA20" s="1071"/>
      <c r="DB20" s="1071"/>
      <c r="DC20" s="1071"/>
      <c r="DD20" s="1071"/>
      <c r="DE20" s="1071"/>
      <c r="DF20" s="1071"/>
      <c r="DG20" s="1071"/>
      <c r="DH20" s="1071"/>
      <c r="DI20" s="1071"/>
      <c r="DJ20" s="1071"/>
      <c r="DK20" s="1071"/>
      <c r="DL20" s="1071"/>
      <c r="DM20" s="1071"/>
      <c r="DN20" s="1071"/>
      <c r="DO20" s="1071"/>
      <c r="DP20" s="1071"/>
      <c r="DQ20" s="1071"/>
      <c r="DR20" s="1071"/>
      <c r="DS20" s="1071"/>
      <c r="DT20" s="1071"/>
      <c r="DU20" s="1071"/>
      <c r="DV20" s="1071"/>
      <c r="DW20" s="1071"/>
      <c r="DX20" s="1071"/>
      <c r="DY20" s="1071"/>
      <c r="DZ20" s="1071"/>
      <c r="EA20" s="1071"/>
      <c r="EB20" s="1071"/>
      <c r="EC20" s="1071"/>
      <c r="ED20" s="1071"/>
      <c r="EE20" s="1071"/>
      <c r="EF20" s="1071"/>
      <c r="EG20" s="1071"/>
      <c r="EH20" s="1071"/>
      <c r="EI20" s="1071"/>
      <c r="EJ20" s="1071"/>
      <c r="EK20" s="1071"/>
      <c r="EL20" s="1071"/>
      <c r="EM20" s="1071"/>
      <c r="EN20" s="1071"/>
      <c r="EO20" s="1071"/>
      <c r="EP20" s="1071"/>
      <c r="EQ20" s="1071"/>
      <c r="ER20" s="1071"/>
      <c r="ES20" s="1071"/>
    </row>
    <row r="21" spans="2:150" s="520" customFormat="1" ht="12.75">
      <c r="B21" s="310"/>
      <c r="C21" s="989">
        <f t="shared" si="1"/>
        <v>3</v>
      </c>
      <c r="D21" s="175"/>
      <c r="E21" s="328"/>
      <c r="F21" s="337" t="s">
        <v>1881</v>
      </c>
      <c r="G21" s="167" t="str">
        <f>VLOOKUP(F21,Lists!$B$34:$E$39,Lists!$C$3,FALSE)</f>
        <v>#7.03</v>
      </c>
      <c r="H21" s="256">
        <f>VLOOKUP(G21,TOV!$C$464:$G$480,4,FALSE)</f>
        <v>81036.67967289142</v>
      </c>
      <c r="I21" s="117"/>
      <c r="J21" s="121">
        <f t="shared" si="0"/>
        <v>0</v>
      </c>
      <c r="K21" s="192"/>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8"/>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c r="CU21" s="1071"/>
      <c r="CV21" s="1071"/>
      <c r="CW21" s="1071"/>
      <c r="CX21" s="1071"/>
      <c r="CY21" s="1071"/>
      <c r="CZ21" s="1071"/>
      <c r="DA21" s="1071"/>
      <c r="DB21" s="1071"/>
      <c r="DC21" s="1071"/>
      <c r="DD21" s="1071"/>
      <c r="DE21" s="1071"/>
      <c r="DF21" s="1071"/>
      <c r="DG21" s="1071"/>
      <c r="DH21" s="1071"/>
      <c r="DI21" s="1071"/>
      <c r="DJ21" s="1071"/>
      <c r="DK21" s="1071"/>
      <c r="DL21" s="1071"/>
      <c r="DM21" s="1071"/>
      <c r="DN21" s="1071"/>
      <c r="DO21" s="1071"/>
      <c r="DP21" s="1071"/>
      <c r="DQ21" s="1071"/>
      <c r="DR21" s="1071"/>
      <c r="DS21" s="1071"/>
      <c r="DT21" s="1071"/>
      <c r="DU21" s="1071"/>
      <c r="DV21" s="1071"/>
      <c r="DW21" s="1071"/>
      <c r="DX21" s="1071"/>
      <c r="DY21" s="1071"/>
      <c r="DZ21" s="1071"/>
      <c r="EA21" s="1071"/>
      <c r="EB21" s="1071"/>
      <c r="EC21" s="1071"/>
      <c r="ED21" s="1071"/>
      <c r="EE21" s="1071"/>
      <c r="EF21" s="1071"/>
      <c r="EG21" s="1071"/>
      <c r="EH21" s="1071"/>
      <c r="EI21" s="1071"/>
      <c r="EJ21" s="1071"/>
      <c r="EK21" s="1071"/>
      <c r="EL21" s="1071"/>
      <c r="EM21" s="1071"/>
      <c r="EN21" s="1071"/>
      <c r="EO21" s="1071"/>
      <c r="EP21" s="1071"/>
      <c r="EQ21" s="1071"/>
      <c r="ER21" s="1071"/>
      <c r="ES21" s="1071"/>
    </row>
    <row r="22" spans="2:150" s="520" customFormat="1" ht="12.75">
      <c r="B22" s="310"/>
      <c r="C22" s="989">
        <f t="shared" si="1"/>
        <v>4</v>
      </c>
      <c r="D22" s="175"/>
      <c r="E22" s="328"/>
      <c r="F22" s="337" t="s">
        <v>1882</v>
      </c>
      <c r="G22" s="167" t="str">
        <f>VLOOKUP(F22,Lists!$B$34:$E$39,Lists!$C$3,FALSE)</f>
        <v>#7.04</v>
      </c>
      <c r="H22" s="256">
        <f>VLOOKUP(G22,TOV!$C$464:$G$480,4,FALSE)</f>
        <v>50106.234920296971</v>
      </c>
      <c r="I22" s="117"/>
      <c r="J22" s="121">
        <f t="shared" si="0"/>
        <v>0</v>
      </c>
      <c r="K22" s="192"/>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8"/>
      <c r="AN22" s="1071"/>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c r="CU22" s="1071"/>
      <c r="CV22" s="1071"/>
      <c r="CW22" s="1071"/>
      <c r="CX22" s="1071"/>
      <c r="CY22" s="1071"/>
      <c r="CZ22" s="1071"/>
      <c r="DA22" s="1071"/>
      <c r="DB22" s="1071"/>
      <c r="DC22" s="1071"/>
      <c r="DD22" s="1071"/>
      <c r="DE22" s="1071"/>
      <c r="DF22" s="1071"/>
      <c r="DG22" s="1071"/>
      <c r="DH22" s="1071"/>
      <c r="DI22" s="1071"/>
      <c r="DJ22" s="1071"/>
      <c r="DK22" s="1071"/>
      <c r="DL22" s="1071"/>
      <c r="DM22" s="1071"/>
      <c r="DN22" s="1071"/>
      <c r="DO22" s="1071"/>
      <c r="DP22" s="1071"/>
      <c r="DQ22" s="1071"/>
      <c r="DR22" s="1071"/>
      <c r="DS22" s="1071"/>
      <c r="DT22" s="1071"/>
      <c r="DU22" s="1071"/>
      <c r="DV22" s="1071"/>
      <c r="DW22" s="1071"/>
      <c r="DX22" s="1071"/>
      <c r="DY22" s="1071"/>
      <c r="DZ22" s="1071"/>
      <c r="EA22" s="1071"/>
      <c r="EB22" s="1071"/>
      <c r="EC22" s="1071"/>
      <c r="ED22" s="1071"/>
      <c r="EE22" s="1071"/>
      <c r="EF22" s="1071"/>
      <c r="EG22" s="1071"/>
      <c r="EH22" s="1071"/>
      <c r="EI22" s="1071"/>
      <c r="EJ22" s="1071"/>
      <c r="EK22" s="1071"/>
      <c r="EL22" s="1071"/>
      <c r="EM22" s="1071"/>
      <c r="EN22" s="1071"/>
      <c r="EO22" s="1071"/>
      <c r="EP22" s="1071"/>
      <c r="EQ22" s="1071"/>
      <c r="ER22" s="1071"/>
      <c r="ES22" s="1071"/>
    </row>
    <row r="23" spans="2:150" s="520" customFormat="1" ht="12.75">
      <c r="B23" s="310"/>
      <c r="C23" s="989">
        <f t="shared" si="1"/>
        <v>5</v>
      </c>
      <c r="D23" s="175"/>
      <c r="E23" s="328"/>
      <c r="F23" s="337" t="s">
        <v>1883</v>
      </c>
      <c r="G23" s="167" t="str">
        <f>VLOOKUP(F23,Lists!$B$34:$E$39,Lists!$C$3,FALSE)</f>
        <v>#7.05</v>
      </c>
      <c r="H23" s="256">
        <f>VLOOKUP(G23,TOV!$C$464:$G$480,4,FALSE)</f>
        <v>14670.818953562846</v>
      </c>
      <c r="I23" s="117"/>
      <c r="J23" s="121">
        <f t="shared" si="0"/>
        <v>0</v>
      </c>
      <c r="K23" s="192"/>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8"/>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DY23" s="1071"/>
      <c r="DZ23" s="1071"/>
      <c r="EA23" s="1071"/>
      <c r="EB23" s="1071"/>
      <c r="EC23" s="1071"/>
      <c r="ED23" s="1071"/>
      <c r="EE23" s="1071"/>
      <c r="EF23" s="1071"/>
      <c r="EG23" s="1071"/>
      <c r="EH23" s="1071"/>
      <c r="EI23" s="1071"/>
      <c r="EJ23" s="1071"/>
      <c r="EK23" s="1071"/>
      <c r="EL23" s="1071"/>
      <c r="EM23" s="1071"/>
      <c r="EN23" s="1071"/>
      <c r="EO23" s="1071"/>
      <c r="EP23" s="1071"/>
      <c r="EQ23" s="1071"/>
      <c r="ER23" s="1071"/>
      <c r="ES23" s="1071"/>
    </row>
    <row r="24" spans="2:150" s="520" customFormat="1" ht="12.75">
      <c r="B24" s="310"/>
      <c r="C24" s="989">
        <f t="shared" si="1"/>
        <v>6</v>
      </c>
      <c r="D24" s="175"/>
      <c r="E24" s="328"/>
      <c r="F24" s="337" t="s">
        <v>1879</v>
      </c>
      <c r="G24" s="167" t="str">
        <f>VLOOKUP(F24,Lists!$B$34:$E$39,Lists!$C$3,FALSE)</f>
        <v>#7.01</v>
      </c>
      <c r="H24" s="256">
        <f>VLOOKUP(G24,TOV!$C$464:$G$480,4,FALSE)</f>
        <v>167262.75076315654</v>
      </c>
      <c r="I24" s="117"/>
      <c r="J24" s="121">
        <f t="shared" si="0"/>
        <v>0</v>
      </c>
      <c r="K24" s="192"/>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8"/>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c r="CU24" s="1071"/>
      <c r="CV24" s="1071"/>
      <c r="CW24" s="1071"/>
      <c r="CX24" s="1071"/>
      <c r="CY24" s="1071"/>
      <c r="CZ24" s="1071"/>
      <c r="DA24" s="1071"/>
      <c r="DB24" s="1071"/>
      <c r="DC24" s="1071"/>
      <c r="DD24" s="1071"/>
      <c r="DE24" s="1071"/>
      <c r="DF24" s="1071"/>
      <c r="DG24" s="1071"/>
      <c r="DH24" s="1071"/>
      <c r="DI24" s="1071"/>
      <c r="DJ24" s="1071"/>
      <c r="DK24" s="1071"/>
      <c r="DL24" s="1071"/>
      <c r="DM24" s="1071"/>
      <c r="DN24" s="1071"/>
      <c r="DO24" s="1071"/>
      <c r="DP24" s="1071"/>
      <c r="DQ24" s="1071"/>
      <c r="DR24" s="1071"/>
      <c r="DS24" s="1071"/>
      <c r="DT24" s="1071"/>
      <c r="DU24" s="1071"/>
      <c r="DV24" s="1071"/>
      <c r="DW24" s="1071"/>
      <c r="DX24" s="1071"/>
      <c r="DY24" s="1071"/>
      <c r="DZ24" s="1071"/>
      <c r="EA24" s="1071"/>
      <c r="EB24" s="1071"/>
      <c r="EC24" s="1071"/>
      <c r="ED24" s="1071"/>
      <c r="EE24" s="1071"/>
      <c r="EF24" s="1071"/>
      <c r="EG24" s="1071"/>
      <c r="EH24" s="1071"/>
      <c r="EI24" s="1071"/>
      <c r="EJ24" s="1071"/>
      <c r="EK24" s="1071"/>
      <c r="EL24" s="1071"/>
      <c r="EM24" s="1071"/>
      <c r="EN24" s="1071"/>
      <c r="EO24" s="1071"/>
      <c r="EP24" s="1071"/>
      <c r="EQ24" s="1071"/>
      <c r="ER24" s="1071"/>
      <c r="ES24" s="1071"/>
    </row>
    <row r="25" spans="2:150" s="520" customFormat="1" ht="12.75">
      <c r="B25" s="310"/>
      <c r="C25" s="989">
        <f t="shared" si="1"/>
        <v>7</v>
      </c>
      <c r="D25" s="175"/>
      <c r="E25" s="328"/>
      <c r="F25" s="337" t="s">
        <v>1879</v>
      </c>
      <c r="G25" s="167" t="str">
        <f>VLOOKUP(F25,Lists!$B$34:$E$39,Lists!$C$3,FALSE)</f>
        <v>#7.01</v>
      </c>
      <c r="H25" s="256">
        <f>VLOOKUP(G25,TOV!$C$464:$G$480,4,FALSE)</f>
        <v>167262.75076315654</v>
      </c>
      <c r="I25" s="117"/>
      <c r="J25" s="121">
        <f t="shared" si="0"/>
        <v>0</v>
      </c>
      <c r="K25" s="192"/>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8"/>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c r="CU25" s="1071"/>
      <c r="CV25" s="1071"/>
      <c r="CW25" s="1071"/>
      <c r="CX25" s="1071"/>
      <c r="CY25" s="1071"/>
      <c r="CZ25" s="1071"/>
      <c r="DA25" s="1071"/>
      <c r="DB25" s="1071"/>
      <c r="DC25" s="1071"/>
      <c r="DD25" s="1071"/>
      <c r="DE25" s="1071"/>
      <c r="DF25" s="1071"/>
      <c r="DG25" s="1071"/>
      <c r="DH25" s="1071"/>
      <c r="DI25" s="1071"/>
      <c r="DJ25" s="1071"/>
      <c r="DK25" s="1071"/>
      <c r="DL25" s="1071"/>
      <c r="DM25" s="1071"/>
      <c r="DN25" s="1071"/>
      <c r="DO25" s="1071"/>
      <c r="DP25" s="1071"/>
      <c r="DQ25" s="1071"/>
      <c r="DR25" s="1071"/>
      <c r="DS25" s="1071"/>
      <c r="DT25" s="1071"/>
      <c r="DU25" s="1071"/>
      <c r="DV25" s="1071"/>
      <c r="DW25" s="1071"/>
      <c r="DX25" s="1071"/>
      <c r="DY25" s="1071"/>
      <c r="DZ25" s="1071"/>
      <c r="EA25" s="1071"/>
      <c r="EB25" s="1071"/>
      <c r="EC25" s="1071"/>
      <c r="ED25" s="1071"/>
      <c r="EE25" s="1071"/>
      <c r="EF25" s="1071"/>
      <c r="EG25" s="1071"/>
      <c r="EH25" s="1071"/>
      <c r="EI25" s="1071"/>
      <c r="EJ25" s="1071"/>
      <c r="EK25" s="1071"/>
      <c r="EL25" s="1071"/>
      <c r="EM25" s="1071"/>
      <c r="EN25" s="1071"/>
      <c r="EO25" s="1071"/>
      <c r="EP25" s="1071"/>
      <c r="EQ25" s="1071"/>
      <c r="ER25" s="1071"/>
      <c r="ES25" s="1071"/>
    </row>
    <row r="26" spans="2:150" s="520" customFormat="1" ht="12.75">
      <c r="B26" s="310"/>
      <c r="C26" s="989">
        <f t="shared" si="1"/>
        <v>8</v>
      </c>
      <c r="D26" s="175"/>
      <c r="E26" s="328"/>
      <c r="F26" s="337" t="s">
        <v>1879</v>
      </c>
      <c r="G26" s="167" t="str">
        <f>VLOOKUP(F26,Lists!$B$34:$E$39,Lists!$C$3,FALSE)</f>
        <v>#7.01</v>
      </c>
      <c r="H26" s="256">
        <f>VLOOKUP(G26,TOV!$C$464:$G$480,4,FALSE)</f>
        <v>167262.75076315654</v>
      </c>
      <c r="I26" s="117"/>
      <c r="J26" s="121">
        <f t="shared" si="0"/>
        <v>0</v>
      </c>
      <c r="K26" s="192"/>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8"/>
      <c r="AN26" s="1071"/>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c r="CU26" s="1071"/>
      <c r="CV26" s="1071"/>
      <c r="CW26" s="1071"/>
      <c r="CX26" s="1071"/>
      <c r="CY26" s="1071"/>
      <c r="CZ26" s="1071"/>
      <c r="DA26" s="1071"/>
      <c r="DB26" s="1071"/>
      <c r="DC26" s="1071"/>
      <c r="DD26" s="1071"/>
      <c r="DE26" s="1071"/>
      <c r="DF26" s="1071"/>
      <c r="DG26" s="1071"/>
      <c r="DH26" s="1071"/>
      <c r="DI26" s="1071"/>
      <c r="DJ26" s="1071"/>
      <c r="DK26" s="1071"/>
      <c r="DL26" s="1071"/>
      <c r="DM26" s="1071"/>
      <c r="DN26" s="1071"/>
      <c r="DO26" s="1071"/>
      <c r="DP26" s="1071"/>
      <c r="DQ26" s="1071"/>
      <c r="DR26" s="1071"/>
      <c r="DS26" s="1071"/>
      <c r="DT26" s="1071"/>
      <c r="DU26" s="1071"/>
      <c r="DV26" s="1071"/>
      <c r="DW26" s="1071"/>
      <c r="DX26" s="1071"/>
      <c r="DY26" s="1071"/>
      <c r="DZ26" s="1071"/>
      <c r="EA26" s="1071"/>
      <c r="EB26" s="1071"/>
      <c r="EC26" s="1071"/>
      <c r="ED26" s="1071"/>
      <c r="EE26" s="1071"/>
      <c r="EF26" s="1071"/>
      <c r="EG26" s="1071"/>
      <c r="EH26" s="1071"/>
      <c r="EI26" s="1071"/>
      <c r="EJ26" s="1071"/>
      <c r="EK26" s="1071"/>
      <c r="EL26" s="1071"/>
      <c r="EM26" s="1071"/>
      <c r="EN26" s="1071"/>
      <c r="EO26" s="1071"/>
      <c r="EP26" s="1071"/>
      <c r="EQ26" s="1071"/>
      <c r="ER26" s="1071"/>
      <c r="ES26" s="1071"/>
    </row>
    <row r="27" spans="2:150" s="520" customFormat="1" ht="12.75">
      <c r="B27" s="310"/>
      <c r="C27" s="989">
        <f t="shared" si="1"/>
        <v>9</v>
      </c>
      <c r="D27" s="175"/>
      <c r="E27" s="328"/>
      <c r="F27" s="337" t="s">
        <v>1879</v>
      </c>
      <c r="G27" s="167" t="str">
        <f>VLOOKUP(F27,Lists!$B$34:$E$39,Lists!$C$3,FALSE)</f>
        <v>#7.01</v>
      </c>
      <c r="H27" s="256">
        <f>VLOOKUP(G27,TOV!$C$464:$G$480,4,FALSE)</f>
        <v>167262.75076315654</v>
      </c>
      <c r="I27" s="117"/>
      <c r="J27" s="121">
        <f t="shared" si="0"/>
        <v>0</v>
      </c>
      <c r="K27" s="192"/>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8"/>
      <c r="AN27" s="1071"/>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c r="CU27" s="1071"/>
      <c r="CV27" s="1071"/>
      <c r="CW27" s="1071"/>
      <c r="CX27" s="1071"/>
      <c r="CY27" s="1071"/>
      <c r="CZ27" s="1071"/>
      <c r="DA27" s="1071"/>
      <c r="DB27" s="1071"/>
      <c r="DC27" s="1071"/>
      <c r="DD27" s="1071"/>
      <c r="DE27" s="1071"/>
      <c r="DF27" s="1071"/>
      <c r="DG27" s="1071"/>
      <c r="DH27" s="1071"/>
      <c r="DI27" s="1071"/>
      <c r="DJ27" s="1071"/>
      <c r="DK27" s="1071"/>
      <c r="DL27" s="1071"/>
      <c r="DM27" s="1071"/>
      <c r="DN27" s="1071"/>
      <c r="DO27" s="1071"/>
      <c r="DP27" s="1071"/>
      <c r="DQ27" s="1071"/>
      <c r="DR27" s="1071"/>
      <c r="DS27" s="1071"/>
      <c r="DT27" s="1071"/>
      <c r="DU27" s="1071"/>
      <c r="DV27" s="1071"/>
      <c r="DW27" s="1071"/>
      <c r="DX27" s="1071"/>
      <c r="DY27" s="1071"/>
      <c r="DZ27" s="1071"/>
      <c r="EA27" s="1071"/>
      <c r="EB27" s="1071"/>
      <c r="EC27" s="1071"/>
      <c r="ED27" s="1071"/>
      <c r="EE27" s="1071"/>
      <c r="EF27" s="1071"/>
      <c r="EG27" s="1071"/>
      <c r="EH27" s="1071"/>
      <c r="EI27" s="1071"/>
      <c r="EJ27" s="1071"/>
      <c r="EK27" s="1071"/>
      <c r="EL27" s="1071"/>
      <c r="EM27" s="1071"/>
      <c r="EN27" s="1071"/>
      <c r="EO27" s="1071"/>
      <c r="EP27" s="1071"/>
      <c r="EQ27" s="1071"/>
      <c r="ER27" s="1071"/>
      <c r="ES27" s="1071"/>
    </row>
    <row r="28" spans="2:150" s="520" customFormat="1" ht="12.75">
      <c r="B28" s="310"/>
      <c r="C28" s="989">
        <f t="shared" si="1"/>
        <v>10</v>
      </c>
      <c r="D28" s="175"/>
      <c r="E28" s="328"/>
      <c r="F28" s="337" t="s">
        <v>1879</v>
      </c>
      <c r="G28" s="167" t="str">
        <f>VLOOKUP(F28,Lists!$B$34:$E$39,Lists!$C$3,FALSE)</f>
        <v>#7.01</v>
      </c>
      <c r="H28" s="256">
        <f>VLOOKUP(G28,TOV!$C$464:$G$480,4,FALSE)</f>
        <v>167262.75076315654</v>
      </c>
      <c r="I28" s="117"/>
      <c r="J28" s="121">
        <f t="shared" si="0"/>
        <v>0</v>
      </c>
      <c r="K28" s="192"/>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8"/>
      <c r="AN28" s="1071"/>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c r="CU28" s="1071"/>
      <c r="CV28" s="1071"/>
      <c r="CW28" s="1071"/>
      <c r="CX28" s="1071"/>
      <c r="CY28" s="1071"/>
      <c r="CZ28" s="1071"/>
      <c r="DA28" s="1071"/>
      <c r="DB28" s="1071"/>
      <c r="DC28" s="1071"/>
      <c r="DD28" s="1071"/>
      <c r="DE28" s="1071"/>
      <c r="DF28" s="1071"/>
      <c r="DG28" s="1071"/>
      <c r="DH28" s="1071"/>
      <c r="DI28" s="1071"/>
      <c r="DJ28" s="1071"/>
      <c r="DK28" s="1071"/>
      <c r="DL28" s="1071"/>
      <c r="DM28" s="1071"/>
      <c r="DN28" s="1071"/>
      <c r="DO28" s="1071"/>
      <c r="DP28" s="1071"/>
      <c r="DQ28" s="1071"/>
      <c r="DR28" s="1071"/>
      <c r="DS28" s="1071"/>
      <c r="DT28" s="1071"/>
      <c r="DU28" s="1071"/>
      <c r="DV28" s="1071"/>
      <c r="DW28" s="1071"/>
      <c r="DX28" s="1071"/>
      <c r="DY28" s="1071"/>
      <c r="DZ28" s="1071"/>
      <c r="EA28" s="1071"/>
      <c r="EB28" s="1071"/>
      <c r="EC28" s="1071"/>
      <c r="ED28" s="1071"/>
      <c r="EE28" s="1071"/>
      <c r="EF28" s="1071"/>
      <c r="EG28" s="1071"/>
      <c r="EH28" s="1071"/>
      <c r="EI28" s="1071"/>
      <c r="EJ28" s="1071"/>
      <c r="EK28" s="1071"/>
      <c r="EL28" s="1071"/>
      <c r="EM28" s="1071"/>
      <c r="EN28" s="1071"/>
      <c r="EO28" s="1071"/>
      <c r="EP28" s="1071"/>
      <c r="EQ28" s="1071"/>
      <c r="ER28" s="1071"/>
      <c r="ES28" s="1071"/>
    </row>
    <row r="29" spans="2:150" s="520" customFormat="1" ht="12.75">
      <c r="B29" s="310"/>
      <c r="C29" s="989">
        <f t="shared" si="1"/>
        <v>11</v>
      </c>
      <c r="D29" s="175"/>
      <c r="E29" s="328"/>
      <c r="F29" s="337" t="s">
        <v>1879</v>
      </c>
      <c r="G29" s="167" t="str">
        <f>VLOOKUP(F29,Lists!$B$34:$E$39,Lists!$C$3,FALSE)</f>
        <v>#7.01</v>
      </c>
      <c r="H29" s="256">
        <f>VLOOKUP(G29,TOV!$C$464:$G$480,4,FALSE)</f>
        <v>167262.75076315654</v>
      </c>
      <c r="I29" s="117"/>
      <c r="J29" s="121">
        <f t="shared" si="0"/>
        <v>0</v>
      </c>
      <c r="K29" s="192"/>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8"/>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c r="CU29" s="1071"/>
      <c r="CV29" s="1071"/>
      <c r="CW29" s="1071"/>
      <c r="CX29" s="1071"/>
      <c r="CY29" s="1071"/>
      <c r="CZ29" s="1071"/>
      <c r="DA29" s="1071"/>
      <c r="DB29" s="1071"/>
      <c r="DC29" s="1071"/>
      <c r="DD29" s="1071"/>
      <c r="DE29" s="1071"/>
      <c r="DF29" s="1071"/>
      <c r="DG29" s="1071"/>
      <c r="DH29" s="1071"/>
      <c r="DI29" s="1071"/>
      <c r="DJ29" s="1071"/>
      <c r="DK29" s="1071"/>
      <c r="DL29" s="1071"/>
      <c r="DM29" s="1071"/>
      <c r="DN29" s="1071"/>
      <c r="DO29" s="1071"/>
      <c r="DP29" s="1071"/>
      <c r="DQ29" s="1071"/>
      <c r="DR29" s="1071"/>
      <c r="DS29" s="1071"/>
      <c r="DT29" s="1071"/>
      <c r="DU29" s="1071"/>
      <c r="DV29" s="1071"/>
      <c r="DW29" s="1071"/>
      <c r="DX29" s="1071"/>
      <c r="DY29" s="1071"/>
      <c r="DZ29" s="1071"/>
      <c r="EA29" s="1071"/>
      <c r="EB29" s="1071"/>
      <c r="EC29" s="1071"/>
      <c r="ED29" s="1071"/>
      <c r="EE29" s="1071"/>
      <c r="EF29" s="1071"/>
      <c r="EG29" s="1071"/>
      <c r="EH29" s="1071"/>
      <c r="EI29" s="1071"/>
      <c r="EJ29" s="1071"/>
      <c r="EK29" s="1071"/>
      <c r="EL29" s="1071"/>
      <c r="EM29" s="1071"/>
      <c r="EN29" s="1071"/>
      <c r="EO29" s="1071"/>
      <c r="EP29" s="1071"/>
      <c r="EQ29" s="1071"/>
      <c r="ER29" s="1071"/>
      <c r="ES29" s="1071"/>
    </row>
    <row r="30" spans="2:150" s="520" customFormat="1" ht="12.75">
      <c r="B30" s="310"/>
      <c r="C30" s="989">
        <f t="shared" si="1"/>
        <v>12</v>
      </c>
      <c r="D30" s="175"/>
      <c r="E30" s="328"/>
      <c r="F30" s="337" t="s">
        <v>1879</v>
      </c>
      <c r="G30" s="167" t="str">
        <f>VLOOKUP(F30,Lists!$B$34:$E$39,Lists!$C$3,FALSE)</f>
        <v>#7.01</v>
      </c>
      <c r="H30" s="256">
        <f>VLOOKUP(G30,TOV!$C$464:$G$480,4,FALSE)</f>
        <v>167262.75076315654</v>
      </c>
      <c r="I30" s="117"/>
      <c r="J30" s="121">
        <f t="shared" si="0"/>
        <v>0</v>
      </c>
      <c r="K30" s="192"/>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8"/>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row>
    <row r="31" spans="2:150" s="520" customFormat="1" ht="12.75">
      <c r="B31" s="310"/>
      <c r="C31" s="989">
        <f t="shared" si="1"/>
        <v>13</v>
      </c>
      <c r="D31" s="175"/>
      <c r="E31" s="328"/>
      <c r="F31" s="337" t="s">
        <v>1879</v>
      </c>
      <c r="G31" s="167" t="str">
        <f>VLOOKUP(F31,Lists!$B$34:$E$39,Lists!$C$3,FALSE)</f>
        <v>#7.01</v>
      </c>
      <c r="H31" s="256">
        <f>VLOOKUP(G31,TOV!$C$464:$G$480,4,FALSE)</f>
        <v>167262.75076315654</v>
      </c>
      <c r="I31" s="117"/>
      <c r="J31" s="121">
        <f t="shared" si="0"/>
        <v>0</v>
      </c>
      <c r="K31" s="192"/>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8"/>
      <c r="AN31" s="1071"/>
      <c r="AO31" s="1071"/>
      <c r="AP31" s="1071"/>
      <c r="AQ31" s="1071"/>
      <c r="AR31" s="1071"/>
      <c r="AS31" s="1071"/>
      <c r="AT31" s="1071"/>
      <c r="AU31" s="1071"/>
      <c r="AV31" s="1071"/>
      <c r="AW31" s="1071"/>
      <c r="AX31" s="1071"/>
      <c r="AY31" s="1071"/>
      <c r="AZ31" s="1071"/>
      <c r="BA31" s="1071"/>
      <c r="BB31" s="1071"/>
      <c r="BC31" s="1071"/>
      <c r="BD31" s="1071"/>
      <c r="BE31" s="1071"/>
      <c r="BF31" s="1071"/>
      <c r="BG31" s="1071"/>
      <c r="BH31" s="1071"/>
      <c r="BI31" s="1071"/>
      <c r="BJ31" s="1071"/>
      <c r="BK31" s="1071"/>
      <c r="BL31" s="1071"/>
      <c r="BM31" s="1071"/>
      <c r="BN31" s="1071"/>
      <c r="BO31" s="1071"/>
      <c r="BP31" s="1071"/>
      <c r="BQ31" s="1071"/>
      <c r="BR31" s="1071"/>
      <c r="BS31" s="1071"/>
      <c r="BT31" s="1071"/>
      <c r="BU31" s="1071"/>
      <c r="BV31" s="1071"/>
      <c r="BW31" s="1071"/>
      <c r="BX31" s="1071"/>
      <c r="BY31" s="1071"/>
      <c r="BZ31" s="1071"/>
      <c r="CA31" s="1071"/>
      <c r="CB31" s="1071"/>
      <c r="CC31" s="1071"/>
      <c r="CD31" s="1071"/>
      <c r="CE31" s="1071"/>
      <c r="CF31" s="1071"/>
      <c r="CG31" s="1071"/>
      <c r="CH31" s="1071"/>
      <c r="CI31" s="1071"/>
      <c r="CJ31" s="1071"/>
      <c r="CK31" s="1071"/>
      <c r="CL31" s="1071"/>
      <c r="CM31" s="1071"/>
      <c r="CN31" s="1071"/>
      <c r="CO31" s="1071"/>
      <c r="CP31" s="1071"/>
      <c r="CQ31" s="1071"/>
      <c r="CR31" s="1071"/>
      <c r="CS31" s="1071"/>
      <c r="CT31" s="1071"/>
      <c r="CU31" s="1071"/>
      <c r="CV31" s="1071"/>
      <c r="CW31" s="1071"/>
      <c r="CX31" s="1071"/>
      <c r="CY31" s="1071"/>
      <c r="CZ31" s="1071"/>
      <c r="DA31" s="1071"/>
      <c r="DB31" s="1071"/>
      <c r="DC31" s="1071"/>
      <c r="DD31" s="1071"/>
      <c r="DE31" s="1071"/>
      <c r="DF31" s="1071"/>
      <c r="DG31" s="1071"/>
      <c r="DH31" s="1071"/>
      <c r="DI31" s="1071"/>
      <c r="DJ31" s="1071"/>
      <c r="DK31" s="1071"/>
      <c r="DL31" s="1071"/>
      <c r="DM31" s="1071"/>
      <c r="DN31" s="1071"/>
      <c r="DO31" s="1071"/>
      <c r="DP31" s="1071"/>
      <c r="DQ31" s="1071"/>
      <c r="DR31" s="1071"/>
      <c r="DS31" s="1071"/>
      <c r="DT31" s="1071"/>
      <c r="DU31" s="1071"/>
      <c r="DV31" s="1071"/>
      <c r="DW31" s="1071"/>
      <c r="DX31" s="1071"/>
      <c r="DY31" s="1071"/>
      <c r="DZ31" s="1071"/>
      <c r="EA31" s="1071"/>
      <c r="EB31" s="1071"/>
      <c r="EC31" s="1071"/>
      <c r="ED31" s="1071"/>
      <c r="EE31" s="1071"/>
      <c r="EF31" s="1071"/>
      <c r="EG31" s="1071"/>
      <c r="EH31" s="1071"/>
      <c r="EI31" s="1071"/>
      <c r="EJ31" s="1071"/>
      <c r="EK31" s="1071"/>
      <c r="EL31" s="1071"/>
      <c r="EM31" s="1071"/>
      <c r="EN31" s="1071"/>
      <c r="EO31" s="1071"/>
      <c r="EP31" s="1071"/>
      <c r="EQ31" s="1071"/>
      <c r="ER31" s="1071"/>
      <c r="ES31" s="1071"/>
    </row>
    <row r="32" spans="2:150" s="520" customFormat="1" ht="12.75">
      <c r="B32" s="310"/>
      <c r="C32" s="989">
        <f t="shared" si="1"/>
        <v>14</v>
      </c>
      <c r="D32" s="175"/>
      <c r="E32" s="328"/>
      <c r="F32" s="337" t="s">
        <v>1879</v>
      </c>
      <c r="G32" s="167" t="str">
        <f>VLOOKUP(F32,Lists!$B$34:$E$39,Lists!$C$3,FALSE)</f>
        <v>#7.01</v>
      </c>
      <c r="H32" s="256">
        <f>VLOOKUP(G32,TOV!$C$464:$G$480,4,FALSE)</f>
        <v>167262.75076315654</v>
      </c>
      <c r="I32" s="117"/>
      <c r="J32" s="121">
        <f t="shared" si="0"/>
        <v>0</v>
      </c>
      <c r="K32" s="192"/>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8"/>
      <c r="AN32" s="1071"/>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c r="CU32" s="1071"/>
      <c r="CV32" s="1071"/>
      <c r="CW32" s="1071"/>
      <c r="CX32" s="1071"/>
      <c r="CY32" s="1071"/>
      <c r="CZ32" s="1071"/>
      <c r="DA32" s="1071"/>
      <c r="DB32" s="1071"/>
      <c r="DC32" s="1071"/>
      <c r="DD32" s="1071"/>
      <c r="DE32" s="1071"/>
      <c r="DF32" s="1071"/>
      <c r="DG32" s="1071"/>
      <c r="DH32" s="1071"/>
      <c r="DI32" s="1071"/>
      <c r="DJ32" s="1071"/>
      <c r="DK32" s="1071"/>
      <c r="DL32" s="1071"/>
      <c r="DM32" s="1071"/>
      <c r="DN32" s="1071"/>
      <c r="DO32" s="1071"/>
      <c r="DP32" s="1071"/>
      <c r="DQ32" s="1071"/>
      <c r="DR32" s="1071"/>
      <c r="DS32" s="1071"/>
      <c r="DT32" s="1071"/>
      <c r="DU32" s="1071"/>
      <c r="DV32" s="1071"/>
      <c r="DW32" s="1071"/>
      <c r="DX32" s="1071"/>
      <c r="DY32" s="1071"/>
      <c r="DZ32" s="1071"/>
      <c r="EA32" s="1071"/>
      <c r="EB32" s="1071"/>
      <c r="EC32" s="1071"/>
      <c r="ED32" s="1071"/>
      <c r="EE32" s="1071"/>
      <c r="EF32" s="1071"/>
      <c r="EG32" s="1071"/>
      <c r="EH32" s="1071"/>
      <c r="EI32" s="1071"/>
      <c r="EJ32" s="1071"/>
      <c r="EK32" s="1071"/>
      <c r="EL32" s="1071"/>
      <c r="EM32" s="1071"/>
      <c r="EN32" s="1071"/>
      <c r="EO32" s="1071"/>
      <c r="EP32" s="1071"/>
      <c r="EQ32" s="1071"/>
      <c r="ER32" s="1071"/>
      <c r="ES32" s="1071"/>
    </row>
    <row r="33" spans="2:153" s="520" customFormat="1" ht="12.75">
      <c r="B33" s="310"/>
      <c r="C33" s="989">
        <f t="shared" si="1"/>
        <v>15</v>
      </c>
      <c r="D33" s="175"/>
      <c r="E33" s="328"/>
      <c r="F33" s="337" t="s">
        <v>1879</v>
      </c>
      <c r="G33" s="167" t="str">
        <f>VLOOKUP(F33,Lists!$B$34:$E$39,Lists!$C$3,FALSE)</f>
        <v>#7.01</v>
      </c>
      <c r="H33" s="256">
        <f>VLOOKUP(G33,TOV!$C$464:$G$480,4,FALSE)</f>
        <v>167262.75076315654</v>
      </c>
      <c r="I33" s="117"/>
      <c r="J33" s="121">
        <f t="shared" si="0"/>
        <v>0</v>
      </c>
      <c r="K33" s="192"/>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8"/>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c r="CU33" s="1071"/>
      <c r="CV33" s="1071"/>
      <c r="CW33" s="1071"/>
      <c r="CX33" s="1071"/>
      <c r="CY33" s="1071"/>
      <c r="CZ33" s="1071"/>
      <c r="DA33" s="1071"/>
      <c r="DB33" s="1071"/>
      <c r="DC33" s="1071"/>
      <c r="DD33" s="1071"/>
      <c r="DE33" s="1071"/>
      <c r="DF33" s="1071"/>
      <c r="DG33" s="1071"/>
      <c r="DH33" s="1071"/>
      <c r="DI33" s="1071"/>
      <c r="DJ33" s="1071"/>
      <c r="DK33" s="1071"/>
      <c r="DL33" s="1071"/>
      <c r="DM33" s="1071"/>
      <c r="DN33" s="1071"/>
      <c r="DO33" s="1071"/>
      <c r="DP33" s="1071"/>
      <c r="DQ33" s="1071"/>
      <c r="DR33" s="1071"/>
      <c r="DS33" s="1071"/>
      <c r="DT33" s="1071"/>
      <c r="DU33" s="1071"/>
      <c r="DV33" s="1071"/>
      <c r="DW33" s="1071"/>
      <c r="DX33" s="1071"/>
      <c r="DY33" s="1071"/>
      <c r="DZ33" s="1071"/>
      <c r="EA33" s="1071"/>
      <c r="EB33" s="1071"/>
      <c r="EC33" s="1071"/>
      <c r="ED33" s="1071"/>
      <c r="EE33" s="1071"/>
      <c r="EF33" s="1071"/>
      <c r="EG33" s="1071"/>
      <c r="EH33" s="1071"/>
      <c r="EI33" s="1071"/>
      <c r="EJ33" s="1071"/>
      <c r="EK33" s="1071"/>
      <c r="EL33" s="1071"/>
      <c r="EM33" s="1071"/>
      <c r="EN33" s="1071"/>
      <c r="EO33" s="1071"/>
      <c r="EP33" s="1071"/>
      <c r="EQ33" s="1071"/>
      <c r="ER33" s="1071"/>
      <c r="ES33" s="1071"/>
    </row>
    <row r="34" spans="2:153" s="520" customFormat="1" ht="12.75">
      <c r="B34" s="310"/>
      <c r="C34" s="989">
        <f t="shared" si="1"/>
        <v>16</v>
      </c>
      <c r="D34" s="175"/>
      <c r="E34" s="328"/>
      <c r="F34" s="337" t="s">
        <v>1879</v>
      </c>
      <c r="G34" s="167" t="str">
        <f>VLOOKUP(F34,Lists!$B$34:$E$39,Lists!$C$3,FALSE)</f>
        <v>#7.01</v>
      </c>
      <c r="H34" s="256">
        <f>VLOOKUP(G34,TOV!$C$464:$G$480,4,FALSE)</f>
        <v>167262.75076315654</v>
      </c>
      <c r="I34" s="117"/>
      <c r="J34" s="121">
        <f t="shared" si="0"/>
        <v>0</v>
      </c>
      <c r="K34" s="192"/>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8"/>
      <c r="AN34" s="1071"/>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c r="CU34" s="1071"/>
      <c r="CV34" s="1071"/>
      <c r="CW34" s="1071"/>
      <c r="CX34" s="1071"/>
      <c r="CY34" s="1071"/>
      <c r="CZ34" s="1071"/>
      <c r="DA34" s="1071"/>
      <c r="DB34" s="1071"/>
      <c r="DC34" s="1071"/>
      <c r="DD34" s="1071"/>
      <c r="DE34" s="1071"/>
      <c r="DF34" s="1071"/>
      <c r="DG34" s="1071"/>
      <c r="DH34" s="1071"/>
      <c r="DI34" s="1071"/>
      <c r="DJ34" s="1071"/>
      <c r="DK34" s="1071"/>
      <c r="DL34" s="1071"/>
      <c r="DM34" s="1071"/>
      <c r="DN34" s="1071"/>
      <c r="DO34" s="1071"/>
      <c r="DP34" s="1071"/>
      <c r="DQ34" s="1071"/>
      <c r="DR34" s="1071"/>
      <c r="DS34" s="1071"/>
      <c r="DT34" s="1071"/>
      <c r="DU34" s="1071"/>
      <c r="DV34" s="1071"/>
      <c r="DW34" s="1071"/>
      <c r="DX34" s="1071"/>
      <c r="DY34" s="1071"/>
      <c r="DZ34" s="1071"/>
      <c r="EA34" s="1071"/>
      <c r="EB34" s="1071"/>
      <c r="EC34" s="1071"/>
      <c r="ED34" s="1071"/>
      <c r="EE34" s="1071"/>
      <c r="EF34" s="1071"/>
      <c r="EG34" s="1071"/>
      <c r="EH34" s="1071"/>
      <c r="EI34" s="1071"/>
      <c r="EJ34" s="1071"/>
      <c r="EK34" s="1071"/>
      <c r="EL34" s="1071"/>
      <c r="EM34" s="1071"/>
      <c r="EN34" s="1071"/>
      <c r="EO34" s="1071"/>
      <c r="EP34" s="1071"/>
      <c r="EQ34" s="1071"/>
      <c r="ER34" s="1071"/>
      <c r="ES34" s="1071"/>
    </row>
    <row r="35" spans="2:153" s="520" customFormat="1" ht="12.75">
      <c r="B35" s="310"/>
      <c r="C35" s="989">
        <f t="shared" si="1"/>
        <v>17</v>
      </c>
      <c r="D35" s="175"/>
      <c r="E35" s="328"/>
      <c r="F35" s="337" t="s">
        <v>1879</v>
      </c>
      <c r="G35" s="167" t="str">
        <f>VLOOKUP(F35,Lists!$B$34:$E$39,Lists!$C$3,FALSE)</f>
        <v>#7.01</v>
      </c>
      <c r="H35" s="256">
        <f>VLOOKUP(G35,TOV!$C$464:$G$480,4,FALSE)</f>
        <v>167262.75076315654</v>
      </c>
      <c r="I35" s="117"/>
      <c r="J35" s="121">
        <f t="shared" si="0"/>
        <v>0</v>
      </c>
      <c r="K35" s="192"/>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8"/>
      <c r="AN35" s="1071"/>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c r="CU35" s="1071"/>
      <c r="CV35" s="1071"/>
      <c r="CW35" s="1071"/>
      <c r="CX35" s="1071"/>
      <c r="CY35" s="1071"/>
      <c r="CZ35" s="1071"/>
      <c r="DA35" s="1071"/>
      <c r="DB35" s="1071"/>
      <c r="DC35" s="1071"/>
      <c r="DD35" s="1071"/>
      <c r="DE35" s="1071"/>
      <c r="DF35" s="1071"/>
      <c r="DG35" s="1071"/>
      <c r="DH35" s="1071"/>
      <c r="DI35" s="1071"/>
      <c r="DJ35" s="1071"/>
      <c r="DK35" s="1071"/>
      <c r="DL35" s="1071"/>
      <c r="DM35" s="1071"/>
      <c r="DN35" s="1071"/>
      <c r="DO35" s="1071"/>
      <c r="DP35" s="1071"/>
      <c r="DQ35" s="1071"/>
      <c r="DR35" s="1071"/>
      <c r="DS35" s="1071"/>
      <c r="DT35" s="1071"/>
      <c r="DU35" s="1071"/>
      <c r="DV35" s="1071"/>
      <c r="DW35" s="1071"/>
      <c r="DX35" s="1071"/>
      <c r="DY35" s="1071"/>
      <c r="DZ35" s="1071"/>
      <c r="EA35" s="1071"/>
      <c r="EB35" s="1071"/>
      <c r="EC35" s="1071"/>
      <c r="ED35" s="1071"/>
      <c r="EE35" s="1071"/>
      <c r="EF35" s="1071"/>
      <c r="EG35" s="1071"/>
      <c r="EH35" s="1071"/>
      <c r="EI35" s="1071"/>
      <c r="EJ35" s="1071"/>
      <c r="EK35" s="1071"/>
      <c r="EL35" s="1071"/>
      <c r="EM35" s="1071"/>
      <c r="EN35" s="1071"/>
      <c r="EO35" s="1071"/>
      <c r="EP35" s="1071"/>
      <c r="EQ35" s="1071"/>
      <c r="ER35" s="1071"/>
      <c r="ES35" s="1071"/>
    </row>
    <row r="36" spans="2:153" s="520" customFormat="1" ht="12.75">
      <c r="B36" s="310"/>
      <c r="C36" s="989">
        <f t="shared" si="1"/>
        <v>18</v>
      </c>
      <c r="D36" s="175"/>
      <c r="E36" s="328"/>
      <c r="F36" s="337" t="s">
        <v>1879</v>
      </c>
      <c r="G36" s="167" t="str">
        <f>VLOOKUP(F36,Lists!$B$34:$E$39,Lists!$C$3,FALSE)</f>
        <v>#7.01</v>
      </c>
      <c r="H36" s="256">
        <f>VLOOKUP(G36,TOV!$C$464:$G$480,4,FALSE)</f>
        <v>167262.75076315654</v>
      </c>
      <c r="I36" s="117"/>
      <c r="J36" s="121">
        <f t="shared" si="0"/>
        <v>0</v>
      </c>
      <c r="K36" s="192"/>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8"/>
      <c r="AN36" s="1071"/>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c r="CU36" s="1071"/>
      <c r="CV36" s="1071"/>
      <c r="CW36" s="1071"/>
      <c r="CX36" s="1071"/>
      <c r="CY36" s="1071"/>
      <c r="CZ36" s="1071"/>
      <c r="DA36" s="1071"/>
      <c r="DB36" s="1071"/>
      <c r="DC36" s="1071"/>
      <c r="DD36" s="1071"/>
      <c r="DE36" s="1071"/>
      <c r="DF36" s="1071"/>
      <c r="DG36" s="1071"/>
      <c r="DH36" s="1071"/>
      <c r="DI36" s="1071"/>
      <c r="DJ36" s="1071"/>
      <c r="DK36" s="1071"/>
      <c r="DL36" s="1071"/>
      <c r="DM36" s="1071"/>
      <c r="DN36" s="1071"/>
      <c r="DO36" s="1071"/>
      <c r="DP36" s="1071"/>
      <c r="DQ36" s="1071"/>
      <c r="DR36" s="1071"/>
      <c r="DS36" s="1071"/>
      <c r="DT36" s="1071"/>
      <c r="DU36" s="1071"/>
      <c r="DV36" s="1071"/>
      <c r="DW36" s="1071"/>
      <c r="DX36" s="1071"/>
      <c r="DY36" s="1071"/>
      <c r="DZ36" s="1071"/>
      <c r="EA36" s="1071"/>
      <c r="EB36" s="1071"/>
      <c r="EC36" s="1071"/>
      <c r="ED36" s="1071"/>
      <c r="EE36" s="1071"/>
      <c r="EF36" s="1071"/>
      <c r="EG36" s="1071"/>
      <c r="EH36" s="1071"/>
      <c r="EI36" s="1071"/>
      <c r="EJ36" s="1071"/>
      <c r="EK36" s="1071"/>
      <c r="EL36" s="1071"/>
      <c r="EM36" s="1071"/>
      <c r="EN36" s="1071"/>
      <c r="EO36" s="1071"/>
      <c r="EP36" s="1071"/>
      <c r="EQ36" s="1071"/>
      <c r="ER36" s="1071"/>
      <c r="ES36" s="1071"/>
    </row>
    <row r="37" spans="2:153" s="520" customFormat="1" ht="12.75">
      <c r="B37" s="310"/>
      <c r="C37" s="989">
        <f t="shared" si="1"/>
        <v>19</v>
      </c>
      <c r="D37" s="175"/>
      <c r="E37" s="328"/>
      <c r="F37" s="337" t="s">
        <v>1879</v>
      </c>
      <c r="G37" s="167" t="str">
        <f>VLOOKUP(F37,Lists!$B$34:$E$39,Lists!$C$3,FALSE)</f>
        <v>#7.01</v>
      </c>
      <c r="H37" s="256">
        <f>VLOOKUP(G37,TOV!$C$464:$G$480,4,FALSE)</f>
        <v>167262.75076315654</v>
      </c>
      <c r="I37" s="117"/>
      <c r="J37" s="121">
        <f t="shared" si="0"/>
        <v>0</v>
      </c>
      <c r="K37" s="192"/>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8"/>
      <c r="AN37" s="1071"/>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c r="CU37" s="1071"/>
      <c r="CV37" s="1071"/>
      <c r="CW37" s="1071"/>
      <c r="CX37" s="1071"/>
      <c r="CY37" s="1071"/>
      <c r="CZ37" s="1071"/>
      <c r="DA37" s="1071"/>
      <c r="DB37" s="1071"/>
      <c r="DC37" s="1071"/>
      <c r="DD37" s="1071"/>
      <c r="DE37" s="1071"/>
      <c r="DF37" s="1071"/>
      <c r="DG37" s="1071"/>
      <c r="DH37" s="1071"/>
      <c r="DI37" s="1071"/>
      <c r="DJ37" s="1071"/>
      <c r="DK37" s="1071"/>
      <c r="DL37" s="1071"/>
      <c r="DM37" s="1071"/>
      <c r="DN37" s="1071"/>
      <c r="DO37" s="1071"/>
      <c r="DP37" s="1071"/>
      <c r="DQ37" s="1071"/>
      <c r="DR37" s="1071"/>
      <c r="DS37" s="1071"/>
      <c r="DT37" s="1071"/>
      <c r="DU37" s="1071"/>
      <c r="DV37" s="1071"/>
      <c r="DW37" s="1071"/>
      <c r="DX37" s="1071"/>
      <c r="DY37" s="1071"/>
      <c r="DZ37" s="1071"/>
      <c r="EA37" s="1071"/>
      <c r="EB37" s="1071"/>
      <c r="EC37" s="1071"/>
      <c r="ED37" s="1071"/>
      <c r="EE37" s="1071"/>
      <c r="EF37" s="1071"/>
      <c r="EG37" s="1071"/>
      <c r="EH37" s="1071"/>
      <c r="EI37" s="1071"/>
      <c r="EJ37" s="1071"/>
      <c r="EK37" s="1071"/>
      <c r="EL37" s="1071"/>
      <c r="EM37" s="1071"/>
      <c r="EN37" s="1071"/>
      <c r="EO37" s="1071"/>
      <c r="EP37" s="1071"/>
      <c r="EQ37" s="1071"/>
      <c r="ER37" s="1071"/>
      <c r="ES37" s="1071"/>
    </row>
    <row r="38" spans="2:153" s="520" customFormat="1" ht="12.75">
      <c r="B38" s="310"/>
      <c r="C38" s="989">
        <f t="shared" si="1"/>
        <v>20</v>
      </c>
      <c r="D38" s="175"/>
      <c r="E38" s="328"/>
      <c r="F38" s="337" t="s">
        <v>1879</v>
      </c>
      <c r="G38" s="167" t="str">
        <f>VLOOKUP(F38,Lists!$B$34:$E$39,Lists!$C$3,FALSE)</f>
        <v>#7.01</v>
      </c>
      <c r="H38" s="256">
        <f>VLOOKUP(G38,TOV!$C$464:$G$480,4,FALSE)</f>
        <v>167262.75076315654</v>
      </c>
      <c r="I38" s="117"/>
      <c r="J38" s="121">
        <f t="shared" si="0"/>
        <v>0</v>
      </c>
      <c r="K38" s="192"/>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8"/>
      <c r="AN38" s="1071"/>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c r="CU38" s="1071"/>
      <c r="CV38" s="1071"/>
      <c r="CW38" s="1071"/>
      <c r="CX38" s="1071"/>
      <c r="CY38" s="1071"/>
      <c r="CZ38" s="1071"/>
      <c r="DA38" s="1071"/>
      <c r="DB38" s="1071"/>
      <c r="DC38" s="1071"/>
      <c r="DD38" s="1071"/>
      <c r="DE38" s="1071"/>
      <c r="DF38" s="1071"/>
      <c r="DG38" s="1071"/>
      <c r="DH38" s="1071"/>
      <c r="DI38" s="1071"/>
      <c r="DJ38" s="1071"/>
      <c r="DK38" s="1071"/>
      <c r="DL38" s="1071"/>
      <c r="DM38" s="1071"/>
      <c r="DN38" s="1071"/>
      <c r="DO38" s="1071"/>
      <c r="DP38" s="1071"/>
      <c r="DQ38" s="1071"/>
      <c r="DR38" s="1071"/>
      <c r="DS38" s="1071"/>
      <c r="DT38" s="1071"/>
      <c r="DU38" s="1071"/>
      <c r="DV38" s="1071"/>
      <c r="DW38" s="1071"/>
      <c r="DX38" s="1071"/>
      <c r="DY38" s="1071"/>
      <c r="DZ38" s="1071"/>
      <c r="EA38" s="1071"/>
      <c r="EB38" s="1071"/>
      <c r="EC38" s="1071"/>
      <c r="ED38" s="1071"/>
      <c r="EE38" s="1071"/>
      <c r="EF38" s="1071"/>
      <c r="EG38" s="1071"/>
      <c r="EH38" s="1071"/>
      <c r="EI38" s="1071"/>
      <c r="EJ38" s="1071"/>
      <c r="EK38" s="1071"/>
      <c r="EL38" s="1071"/>
      <c r="EM38" s="1071"/>
      <c r="EN38" s="1071"/>
      <c r="EO38" s="1071"/>
      <c r="EP38" s="1071"/>
      <c r="EQ38" s="1071"/>
      <c r="ER38" s="1071"/>
      <c r="ES38" s="1071"/>
    </row>
    <row r="39" spans="2:153" ht="16.149999999999999" customHeight="1">
      <c r="B39" s="579"/>
      <c r="C39" s="579"/>
      <c r="D39" s="434"/>
      <c r="E39" s="1012"/>
      <c r="F39" s="434"/>
      <c r="G39" s="579"/>
      <c r="H39" s="259"/>
      <c r="I39" s="260"/>
      <c r="J39" s="272"/>
      <c r="BE39" s="474"/>
      <c r="BG39" s="474"/>
      <c r="BH39" s="475"/>
    </row>
    <row r="40" spans="2:153" ht="16.149999999999999" customHeight="1">
      <c r="B40" s="434"/>
      <c r="C40" s="434"/>
      <c r="D40" s="434"/>
      <c r="E40" s="372">
        <f>SUM(E19:E39)</f>
        <v>0</v>
      </c>
      <c r="F40" s="434"/>
      <c r="G40" s="434"/>
      <c r="H40" s="434"/>
      <c r="I40" s="452"/>
      <c r="J40" s="1072">
        <f>SUM(J17:J39)</f>
        <v>0</v>
      </c>
      <c r="K40" s="261">
        <f>IF(E40=0,0,J40/E40)</f>
        <v>0</v>
      </c>
      <c r="L40" s="434" t="s">
        <v>41</v>
      </c>
      <c r="S40" s="434"/>
      <c r="T40" s="434"/>
      <c r="U40" s="434"/>
      <c r="V40" s="981"/>
      <c r="W40" s="981"/>
      <c r="X40" s="981"/>
      <c r="Y40" s="981"/>
      <c r="Z40" s="981"/>
      <c r="AA40" s="981"/>
      <c r="AB40" s="981"/>
      <c r="AC40" s="981"/>
      <c r="BE40" s="474"/>
      <c r="BG40" s="474"/>
      <c r="ET40" s="475"/>
      <c r="EW40" s="1068"/>
    </row>
    <row r="41" spans="2:153" ht="16.149999999999999" customHeight="1">
      <c r="E41" s="475"/>
      <c r="F41" s="475"/>
      <c r="I41" s="986"/>
      <c r="BE41" s="474"/>
      <c r="BG41" s="474"/>
    </row>
    <row r="42" spans="2:153" ht="16.149999999999999" customHeight="1">
      <c r="B42" s="1073"/>
      <c r="C42" s="1073"/>
      <c r="D42" s="1073"/>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c r="AY42" s="1074"/>
      <c r="AZ42" s="1074"/>
      <c r="BA42" s="1074"/>
      <c r="BB42" s="1073"/>
      <c r="BC42" s="1074"/>
      <c r="BD42" s="1073"/>
      <c r="BE42" s="1074"/>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1073"/>
      <c r="CV42" s="1073"/>
      <c r="CW42" s="1073"/>
      <c r="CX42" s="1073"/>
      <c r="CY42" s="1073"/>
      <c r="CZ42" s="1073"/>
      <c r="DA42" s="1073"/>
      <c r="DB42" s="1073"/>
      <c r="DC42" s="1073"/>
      <c r="DD42" s="1073"/>
      <c r="DE42" s="1073"/>
      <c r="DF42" s="1073"/>
      <c r="DG42" s="1073"/>
      <c r="DH42" s="1073"/>
      <c r="DI42" s="1073"/>
      <c r="DJ42" s="1073"/>
      <c r="DK42" s="1073"/>
      <c r="DL42" s="1073"/>
      <c r="DM42" s="1073"/>
      <c r="DN42" s="1073"/>
      <c r="DO42" s="1073"/>
      <c r="DP42" s="1073"/>
      <c r="DQ42" s="1073"/>
      <c r="DR42" s="1073"/>
      <c r="DS42" s="1073"/>
      <c r="DT42" s="1073"/>
      <c r="DU42" s="1073"/>
      <c r="DV42" s="1073"/>
      <c r="DW42" s="1073"/>
      <c r="DX42" s="1073"/>
      <c r="DY42" s="1073"/>
      <c r="DZ42" s="1073"/>
      <c r="EA42" s="1073"/>
      <c r="EB42" s="1073"/>
      <c r="EC42" s="1073"/>
      <c r="ED42" s="1073"/>
      <c r="EE42" s="1073"/>
      <c r="EF42" s="1073"/>
      <c r="EG42" s="1073"/>
      <c r="EP42" s="1068"/>
      <c r="ET42" s="475"/>
    </row>
    <row r="43" spans="2:153" ht="16.149999999999999" customHeight="1">
      <c r="C43" s="520" t="s">
        <v>1898</v>
      </c>
      <c r="BA43" s="475"/>
      <c r="BC43" s="475"/>
      <c r="BF43" s="475"/>
      <c r="BH43" s="475"/>
      <c r="DW43" s="1075" t="str">
        <f>IF(DW46="","No Alert","Enter justification")</f>
        <v>No Alert</v>
      </c>
      <c r="DX43" s="1075" t="str">
        <f>IF(DX46="","No Alert","Enter justification")</f>
        <v>No Alert</v>
      </c>
      <c r="EJ43" s="1068"/>
      <c r="ET43" s="475"/>
    </row>
    <row r="44" spans="2:153" s="520" customFormat="1" ht="16.149999999999999" customHeight="1">
      <c r="C44" s="520" t="s">
        <v>1521</v>
      </c>
      <c r="G44" s="768"/>
      <c r="H44" s="768"/>
      <c r="I44" s="768"/>
      <c r="J44" s="768"/>
      <c r="K44" s="768"/>
      <c r="L44" s="768"/>
      <c r="M44" s="768"/>
      <c r="N44" s="768"/>
      <c r="O44" s="768"/>
      <c r="P44" s="768"/>
      <c r="U44" s="1071"/>
      <c r="X44" s="768"/>
      <c r="Y44" s="768"/>
      <c r="Z44" s="768"/>
      <c r="AA44" s="768"/>
      <c r="AF44" s="768"/>
      <c r="AG44" s="768"/>
      <c r="AH44" s="768"/>
      <c r="AI44" s="768"/>
      <c r="AJ44" s="768"/>
      <c r="AK44" s="768"/>
      <c r="AW44" s="768"/>
      <c r="AX44" s="768"/>
      <c r="AY44" s="768"/>
      <c r="DV44" s="789" t="str">
        <f>C44</f>
        <v>TOV#</v>
      </c>
      <c r="DW44" s="824" t="str">
        <f>TOVNum_Pasture</f>
        <v>#14.40</v>
      </c>
      <c r="DX44" s="824" t="str">
        <f>TOVNum_Native</f>
        <v>#14.41</v>
      </c>
      <c r="DY44" s="789"/>
      <c r="EA44" s="224" t="str">
        <f>Subrates_Table_5</f>
        <v>Subrates Table 5</v>
      </c>
      <c r="EE44" s="1071"/>
    </row>
    <row r="45" spans="2:153" s="520" customFormat="1" ht="16.149999999999999" customHeight="1">
      <c r="C45" s="520" t="s">
        <v>1780</v>
      </c>
      <c r="E45" s="768"/>
      <c r="F45" s="768"/>
      <c r="G45" s="768"/>
      <c r="H45" s="768"/>
      <c r="I45" s="768"/>
      <c r="J45" s="768"/>
      <c r="K45" s="768"/>
      <c r="L45" s="768"/>
      <c r="M45" s="768"/>
      <c r="N45" s="768"/>
      <c r="O45" s="768"/>
      <c r="P45" s="768"/>
      <c r="X45" s="768"/>
      <c r="Y45" s="768"/>
      <c r="Z45" s="768"/>
      <c r="AA45" s="768"/>
      <c r="AC45" s="768"/>
      <c r="AF45" s="768"/>
      <c r="AG45" s="768"/>
      <c r="AH45" s="768"/>
      <c r="AI45" s="768"/>
      <c r="AJ45" s="768"/>
      <c r="AK45" s="768"/>
      <c r="AN45" s="768"/>
      <c r="AO45" s="768"/>
      <c r="AS45" s="768"/>
      <c r="AW45" s="768"/>
      <c r="AX45" s="768"/>
      <c r="AY45" s="768"/>
      <c r="AZ45" s="768"/>
      <c r="BA45" s="768"/>
      <c r="BB45" s="768"/>
      <c r="BE45" s="768"/>
      <c r="BF45" s="768"/>
      <c r="BL45" s="768"/>
      <c r="BM45" s="768"/>
      <c r="BN45" s="768"/>
      <c r="BO45" s="768"/>
      <c r="BP45" s="768"/>
      <c r="BQ45" s="768"/>
      <c r="BR45" s="768"/>
      <c r="BY45" s="768"/>
      <c r="BZ45" s="768"/>
      <c r="CA45" s="768"/>
      <c r="CC45" s="768"/>
      <c r="CD45" s="768"/>
      <c r="CE45" s="768"/>
      <c r="CG45" s="768"/>
      <c r="CM45" s="768"/>
      <c r="CN45" s="768"/>
      <c r="CO45" s="768"/>
      <c r="CP45" s="768"/>
      <c r="DD45" s="768"/>
      <c r="DI45" s="768"/>
      <c r="DN45" s="768"/>
      <c r="DR45" s="768"/>
      <c r="DT45" s="768"/>
      <c r="DV45" s="789" t="str">
        <f>C45</f>
        <v>TOV Rate</v>
      </c>
      <c r="DW45" s="63">
        <f>Seed_pasture_rate</f>
        <v>1655.5</v>
      </c>
      <c r="DX45" s="63">
        <f>Seed_native_rate</f>
        <v>4196.5</v>
      </c>
      <c r="DY45" s="789"/>
      <c r="EA45" s="63">
        <f>Subrates!$C$100</f>
        <v>972.13290984938885</v>
      </c>
      <c r="EE45" s="1071"/>
    </row>
    <row r="46" spans="2:153" s="495" customFormat="1" ht="16.149999999999999" customHeight="1">
      <c r="B46" s="875"/>
      <c r="C46" s="520" t="s">
        <v>1556</v>
      </c>
      <c r="D46" s="1076"/>
      <c r="E46" s="1076"/>
      <c r="F46" s="1076"/>
      <c r="G46" s="1077"/>
      <c r="H46" s="1077"/>
      <c r="I46" s="1077"/>
      <c r="J46" s="1077"/>
      <c r="K46" s="1077"/>
      <c r="L46" s="1077"/>
      <c r="M46" s="1077"/>
      <c r="N46" s="1077"/>
      <c r="O46" s="1077"/>
      <c r="P46" s="1076"/>
      <c r="Q46" s="520"/>
      <c r="R46" s="520"/>
      <c r="S46" s="520"/>
      <c r="T46" s="520"/>
      <c r="U46" s="520"/>
      <c r="AB46" s="520"/>
      <c r="AC46" s="520"/>
      <c r="AE46" s="1071"/>
      <c r="AL46" s="520"/>
      <c r="AN46" s="520"/>
      <c r="AO46" s="520"/>
      <c r="AP46" s="520"/>
      <c r="AR46" s="520"/>
      <c r="AS46" s="520"/>
      <c r="AT46" s="520"/>
      <c r="AV46" s="520"/>
      <c r="AW46" s="520"/>
      <c r="AX46" s="520"/>
      <c r="BC46" s="520"/>
      <c r="BD46" s="520"/>
      <c r="BG46" s="520"/>
      <c r="BH46" s="520"/>
      <c r="BI46" s="520"/>
      <c r="BJ46" s="520"/>
      <c r="BK46" s="520"/>
      <c r="BS46" s="520"/>
      <c r="BT46" s="520"/>
      <c r="BV46" s="520"/>
      <c r="BW46" s="520"/>
      <c r="BX46" s="520"/>
      <c r="BZ46" s="520"/>
      <c r="CB46" s="520"/>
      <c r="CD46" s="520"/>
      <c r="CF46" s="520"/>
      <c r="CG46" s="520"/>
      <c r="CI46" s="520"/>
      <c r="CJ46" s="520"/>
      <c r="CK46" s="520"/>
      <c r="CN46" s="520"/>
      <c r="CO46" s="768"/>
      <c r="CQ46" s="520"/>
      <c r="CS46" s="520"/>
      <c r="CV46" s="520"/>
      <c r="CX46" s="520"/>
      <c r="CY46" s="520"/>
      <c r="CZ46" s="768"/>
      <c r="DA46" s="520"/>
      <c r="DE46" s="520"/>
      <c r="DF46" s="520"/>
      <c r="DG46" s="520"/>
      <c r="DJ46" s="520"/>
      <c r="DK46" s="520"/>
      <c r="DL46" s="520"/>
      <c r="DO46" s="520"/>
      <c r="DP46" s="520"/>
      <c r="DQ46" s="520"/>
      <c r="DS46" s="520"/>
      <c r="DT46" s="520"/>
      <c r="DU46" s="520"/>
      <c r="DV46" s="789" t="str">
        <f>C46</f>
        <v>Alternate Rate</v>
      </c>
      <c r="DW46" s="117"/>
      <c r="DX46" s="117"/>
      <c r="DY46" s="789"/>
      <c r="DZ46" s="520"/>
      <c r="EA46" s="207"/>
      <c r="EB46" s="520"/>
      <c r="EC46" s="520"/>
      <c r="ED46" s="520"/>
      <c r="EE46" s="520"/>
      <c r="EF46" s="520"/>
      <c r="EG46" s="520"/>
      <c r="EH46" s="520"/>
      <c r="EI46" s="520"/>
      <c r="EJ46" s="520"/>
      <c r="EK46" s="520"/>
      <c r="EL46" s="520"/>
      <c r="EM46" s="520"/>
      <c r="EN46" s="520"/>
      <c r="EO46" s="520"/>
      <c r="EP46" s="520"/>
      <c r="EQ46" s="520"/>
      <c r="ER46" s="520"/>
      <c r="ES46" s="520"/>
      <c r="ET46" s="520"/>
      <c r="EU46" s="520"/>
      <c r="EV46" s="520"/>
      <c r="EW46" s="520"/>
    </row>
    <row r="47" spans="2:153" s="495" customFormat="1" ht="16.149999999999999" customHeight="1">
      <c r="B47" s="875"/>
      <c r="C47" s="520" t="s">
        <v>2</v>
      </c>
      <c r="D47" s="1076"/>
      <c r="E47" s="1076"/>
      <c r="F47" s="1076"/>
      <c r="G47" s="1077"/>
      <c r="H47" s="1077"/>
      <c r="I47" s="1077"/>
      <c r="J47" s="1077"/>
      <c r="K47" s="1077"/>
      <c r="L47" s="1077"/>
      <c r="M47" s="1077"/>
      <c r="N47" s="1077"/>
      <c r="O47" s="1077"/>
      <c r="P47" s="1076"/>
      <c r="Q47" s="520"/>
      <c r="R47" s="520"/>
      <c r="S47" s="520"/>
      <c r="T47" s="520"/>
      <c r="U47" s="520"/>
      <c r="AB47" s="520"/>
      <c r="AC47" s="520"/>
      <c r="AE47" s="1071"/>
      <c r="AL47" s="520"/>
      <c r="AN47" s="520"/>
      <c r="AO47" s="520"/>
      <c r="AP47" s="520"/>
      <c r="AR47" s="520"/>
      <c r="AS47" s="520"/>
      <c r="AT47" s="520"/>
      <c r="AV47" s="520"/>
      <c r="AW47" s="520"/>
      <c r="AX47" s="520"/>
      <c r="BC47" s="520"/>
      <c r="BD47" s="520"/>
      <c r="BG47" s="520"/>
      <c r="BH47" s="520"/>
      <c r="BI47" s="520"/>
      <c r="BJ47" s="520"/>
      <c r="BK47" s="520"/>
      <c r="BS47" s="520"/>
      <c r="BT47" s="520"/>
      <c r="BV47" s="520"/>
      <c r="BW47" s="520"/>
      <c r="BX47" s="520"/>
      <c r="BZ47" s="520"/>
      <c r="CB47" s="520"/>
      <c r="CD47" s="520"/>
      <c r="CF47" s="520"/>
      <c r="CG47" s="520"/>
      <c r="CI47" s="520"/>
      <c r="CJ47" s="520"/>
      <c r="CK47" s="520"/>
      <c r="CN47" s="520"/>
      <c r="CO47" s="768"/>
      <c r="CQ47" s="520"/>
      <c r="CS47" s="520"/>
      <c r="CV47" s="520"/>
      <c r="CX47" s="520"/>
      <c r="CY47" s="520"/>
      <c r="CZ47" s="768"/>
      <c r="DA47" s="520"/>
      <c r="DE47" s="520"/>
      <c r="DF47" s="520"/>
      <c r="DG47" s="520"/>
      <c r="DJ47" s="520"/>
      <c r="DK47" s="520"/>
      <c r="DL47" s="520"/>
      <c r="DO47" s="520"/>
      <c r="DP47" s="520"/>
      <c r="DQ47" s="520"/>
      <c r="DS47" s="520"/>
      <c r="DT47" s="520"/>
      <c r="DU47" s="520"/>
      <c r="DV47" s="789" t="str">
        <f>C47</f>
        <v>Unit</v>
      </c>
      <c r="DW47" s="768" t="str">
        <f>VLOOKUP(DW44,TOV!$C$536:$G$585,TOV!$G$1,FALSE)</f>
        <v>ha</v>
      </c>
      <c r="DX47" s="768" t="str">
        <f>VLOOKUP(DX44,TOV!$C$536:$G$585,TOV!$G$1,FALSE)</f>
        <v>ha</v>
      </c>
      <c r="DY47" s="789"/>
      <c r="DZ47" s="520"/>
      <c r="EA47" s="768" t="str">
        <f>Subrates!D100</f>
        <v>ha</v>
      </c>
      <c r="EB47" s="520"/>
      <c r="EC47" s="520"/>
      <c r="ED47" s="520"/>
      <c r="EE47" s="520"/>
      <c r="EF47" s="520"/>
      <c r="EG47" s="520"/>
      <c r="EH47" s="520"/>
      <c r="EI47" s="520"/>
      <c r="EJ47" s="520"/>
      <c r="EK47" s="520"/>
      <c r="EL47" s="520"/>
      <c r="EM47" s="520"/>
      <c r="EN47" s="520"/>
      <c r="EO47" s="520"/>
      <c r="EP47" s="520"/>
      <c r="EQ47" s="520"/>
      <c r="ER47" s="520"/>
      <c r="ES47" s="520"/>
      <c r="ET47" s="520"/>
      <c r="EU47" s="520"/>
      <c r="EV47" s="520"/>
      <c r="EW47" s="520"/>
    </row>
    <row r="48" spans="2:153" s="495" customFormat="1" ht="16.149999999999999" customHeight="1">
      <c r="B48" s="875"/>
      <c r="C48" s="520" t="s">
        <v>1</v>
      </c>
      <c r="D48" s="1076"/>
      <c r="E48" s="1076"/>
      <c r="F48" s="1076"/>
      <c r="G48" s="1077"/>
      <c r="H48" s="1077"/>
      <c r="I48" s="1077"/>
      <c r="J48" s="1077"/>
      <c r="K48" s="1077"/>
      <c r="L48" s="1077"/>
      <c r="M48" s="1077"/>
      <c r="N48" s="1077"/>
      <c r="O48" s="1077"/>
      <c r="P48" s="1076"/>
      <c r="Q48" s="1076"/>
      <c r="R48" s="520"/>
      <c r="S48" s="520"/>
      <c r="T48" s="520"/>
      <c r="U48" s="520"/>
      <c r="AB48" s="520"/>
      <c r="AC48" s="520"/>
      <c r="AE48" s="1071"/>
      <c r="AL48" s="520"/>
      <c r="AN48" s="520"/>
      <c r="AO48" s="520"/>
      <c r="AP48" s="520"/>
      <c r="AR48" s="520"/>
      <c r="AS48" s="520"/>
      <c r="AT48" s="520"/>
      <c r="AV48" s="520"/>
      <c r="AW48" s="520"/>
      <c r="AX48" s="520"/>
      <c r="BC48" s="520"/>
      <c r="BD48" s="520"/>
      <c r="BG48" s="520"/>
      <c r="BH48" s="520"/>
      <c r="BI48" s="520"/>
      <c r="BJ48" s="520"/>
      <c r="BK48" s="520"/>
      <c r="BS48" s="520"/>
      <c r="BT48" s="520"/>
      <c r="BV48" s="520"/>
      <c r="BW48" s="520"/>
      <c r="BX48" s="520"/>
      <c r="BZ48" s="520"/>
      <c r="CB48" s="520"/>
      <c r="CD48" s="520"/>
      <c r="CF48" s="520"/>
      <c r="CG48" s="520"/>
      <c r="CI48" s="520"/>
      <c r="CJ48" s="520"/>
      <c r="CK48" s="520"/>
      <c r="CO48" s="768"/>
      <c r="CQ48" s="520"/>
      <c r="CS48" s="520"/>
      <c r="CV48" s="520"/>
      <c r="CX48" s="520"/>
      <c r="CY48" s="520"/>
      <c r="CZ48" s="768"/>
      <c r="DA48" s="520"/>
      <c r="DE48" s="520"/>
      <c r="DF48" s="520"/>
      <c r="DG48" s="520"/>
      <c r="DJ48" s="520"/>
      <c r="DK48" s="520"/>
      <c r="DL48" s="520"/>
      <c r="DO48" s="520"/>
      <c r="DP48" s="520"/>
      <c r="DQ48" s="520"/>
      <c r="DS48" s="520"/>
      <c r="DT48" s="520"/>
      <c r="DU48" s="520"/>
      <c r="DV48" s="789"/>
      <c r="DW48" s="520"/>
      <c r="DX48" s="520"/>
      <c r="DY48" s="789"/>
      <c r="DZ48" s="990">
        <v>1</v>
      </c>
      <c r="EA48" s="520"/>
      <c r="EB48" s="520"/>
      <c r="EC48" s="520"/>
      <c r="ED48" s="520"/>
      <c r="EE48" s="520"/>
      <c r="EF48" s="520"/>
      <c r="EG48" s="520"/>
      <c r="EH48" s="520"/>
      <c r="EI48" s="520"/>
      <c r="EJ48" s="520"/>
      <c r="EK48" s="520"/>
      <c r="EL48" s="520"/>
      <c r="EM48" s="520"/>
      <c r="EN48" s="520"/>
      <c r="EO48" s="520"/>
      <c r="EP48" s="520"/>
      <c r="EQ48" s="520"/>
      <c r="ER48" s="520"/>
      <c r="ES48" s="520"/>
      <c r="ET48" s="520"/>
      <c r="EU48" s="520"/>
      <c r="EV48" s="520"/>
      <c r="EW48" s="520"/>
    </row>
    <row r="49" spans="2:150" ht="16.149999999999999" customHeight="1">
      <c r="B49" s="284" t="s">
        <v>26</v>
      </c>
      <c r="C49" s="1069" t="s">
        <v>1899</v>
      </c>
      <c r="D49" s="944"/>
      <c r="E49" s="855" t="s">
        <v>1900</v>
      </c>
      <c r="F49" s="1078"/>
      <c r="G49" s="1078"/>
      <c r="H49" s="1078"/>
      <c r="I49" s="1078"/>
      <c r="J49" s="1078"/>
      <c r="K49" s="1079"/>
      <c r="L49" s="855" t="s">
        <v>1901</v>
      </c>
      <c r="M49" s="1078"/>
      <c r="N49" s="1078"/>
      <c r="O49" s="1078"/>
      <c r="P49" s="1078"/>
      <c r="Q49" s="1078"/>
      <c r="R49" s="1078"/>
      <c r="S49" s="1078"/>
      <c r="T49" s="1078"/>
      <c r="U49" s="1078"/>
      <c r="V49" s="1078"/>
      <c r="W49" s="855" t="s">
        <v>1902</v>
      </c>
      <c r="X49" s="1078"/>
      <c r="Y49" s="1078"/>
      <c r="Z49" s="1078"/>
      <c r="AA49" s="1078"/>
      <c r="AB49" s="1078"/>
      <c r="AC49" s="1078"/>
      <c r="AD49" s="1078"/>
      <c r="AE49" s="1078"/>
      <c r="AF49" s="855" t="s">
        <v>1903</v>
      </c>
      <c r="AG49" s="1078"/>
      <c r="AH49" s="1078"/>
      <c r="AI49" s="1078"/>
      <c r="AJ49" s="1078"/>
      <c r="AK49" s="1078"/>
      <c r="AL49" s="1078"/>
      <c r="AM49" s="1078"/>
      <c r="AN49" s="1078"/>
      <c r="AO49" s="1078"/>
      <c r="AP49" s="1078"/>
      <c r="AQ49" s="1078"/>
      <c r="AR49" s="1078"/>
      <c r="AS49" s="1078"/>
      <c r="AT49" s="1078"/>
      <c r="AU49" s="1078"/>
      <c r="AV49" s="1078"/>
      <c r="AW49" s="855" t="s">
        <v>1904</v>
      </c>
      <c r="AX49" s="1078"/>
      <c r="AY49" s="1078"/>
      <c r="AZ49" s="1078"/>
      <c r="BA49" s="1078"/>
      <c r="BB49" s="1078"/>
      <c r="BC49" s="1078"/>
      <c r="BD49" s="1078"/>
      <c r="BE49" s="1078"/>
      <c r="BF49" s="1078"/>
      <c r="BG49" s="1078"/>
      <c r="BH49" s="1078"/>
      <c r="BI49" s="1078"/>
      <c r="BJ49" s="1078"/>
      <c r="BK49" s="1078"/>
      <c r="BL49" s="855" t="s">
        <v>1905</v>
      </c>
      <c r="BM49" s="1078"/>
      <c r="BN49" s="1078"/>
      <c r="BO49" s="1078"/>
      <c r="BP49" s="1078"/>
      <c r="BQ49" s="1078"/>
      <c r="BR49" s="1078"/>
      <c r="BS49" s="1078"/>
      <c r="BT49" s="1078"/>
      <c r="BU49" s="1078"/>
      <c r="BV49" s="1078"/>
      <c r="BW49" s="1078"/>
      <c r="BX49" s="1078"/>
      <c r="BY49" s="1078"/>
      <c r="BZ49" s="1078"/>
      <c r="CA49" s="855" t="s">
        <v>1906</v>
      </c>
      <c r="CB49" s="1078"/>
      <c r="CC49" s="1078"/>
      <c r="CD49" s="1078"/>
      <c r="CE49" s="1078"/>
      <c r="CF49" s="1078"/>
      <c r="CG49" s="1078"/>
      <c r="CH49" s="855" t="s">
        <v>1907</v>
      </c>
      <c r="CI49" s="1078"/>
      <c r="CJ49" s="1078"/>
      <c r="CK49" s="1078"/>
      <c r="CL49" s="1078"/>
      <c r="CM49" s="855" t="s">
        <v>1908</v>
      </c>
      <c r="CN49" s="1078"/>
      <c r="CO49" s="1078"/>
      <c r="CP49" s="1078"/>
      <c r="CQ49" s="1078"/>
      <c r="CR49" s="1078"/>
      <c r="CS49" s="1078"/>
      <c r="CT49" s="1078"/>
      <c r="CU49" s="1078"/>
      <c r="CV49" s="1078"/>
      <c r="CW49" s="1078"/>
      <c r="CX49" s="1078"/>
      <c r="CY49" s="1078"/>
      <c r="CZ49" s="1078"/>
      <c r="DA49" s="1078"/>
      <c r="DB49" s="1078"/>
      <c r="DC49" s="1078"/>
      <c r="DD49" s="1078"/>
      <c r="DE49" s="1078"/>
      <c r="DF49" s="1078"/>
      <c r="DG49" s="1078"/>
      <c r="DH49" s="1078"/>
      <c r="DI49" s="1078"/>
      <c r="DJ49" s="1078"/>
      <c r="DK49" s="1078"/>
      <c r="DL49" s="1078"/>
      <c r="DM49" s="1078"/>
      <c r="DN49" s="1078"/>
      <c r="DO49" s="1078"/>
      <c r="DP49" s="1078"/>
      <c r="DQ49" s="1078"/>
      <c r="DR49" s="1078"/>
      <c r="DS49" s="1078"/>
      <c r="DT49" s="1078"/>
      <c r="DU49" s="1078"/>
      <c r="DV49" s="1079"/>
      <c r="DW49" s="1078"/>
      <c r="DX49" s="1078"/>
      <c r="DY49" s="855" t="s">
        <v>1909</v>
      </c>
      <c r="DZ49" s="1078"/>
      <c r="EA49" s="1078"/>
      <c r="EB49" s="1078"/>
      <c r="EC49" s="1078"/>
      <c r="ED49" s="1078"/>
      <c r="EE49" s="1079"/>
      <c r="ET49" s="475"/>
    </row>
    <row r="50" spans="2:150" s="1088" customFormat="1" ht="60">
      <c r="B50" s="1080" t="s">
        <v>1517</v>
      </c>
      <c r="C50" s="1080" t="s">
        <v>27</v>
      </c>
      <c r="D50" s="1080" t="s">
        <v>1583</v>
      </c>
      <c r="E50" s="1081" t="s">
        <v>1910</v>
      </c>
      <c r="F50" s="1082" t="s">
        <v>1911</v>
      </c>
      <c r="G50" s="1081" t="s">
        <v>1912</v>
      </c>
      <c r="H50" s="1081" t="s">
        <v>1913</v>
      </c>
      <c r="I50" s="1081" t="s">
        <v>1914</v>
      </c>
      <c r="J50" s="1081" t="s">
        <v>1915</v>
      </c>
      <c r="K50" s="1081" t="s">
        <v>1916</v>
      </c>
      <c r="L50" s="1082" t="s">
        <v>1917</v>
      </c>
      <c r="M50" s="1081" t="s">
        <v>1918</v>
      </c>
      <c r="N50" s="1081" t="s">
        <v>1919</v>
      </c>
      <c r="O50" s="1081" t="s">
        <v>1920</v>
      </c>
      <c r="P50" s="1081" t="s">
        <v>1921</v>
      </c>
      <c r="Q50" s="1082" t="s">
        <v>1922</v>
      </c>
      <c r="R50" s="1083" t="s">
        <v>1923</v>
      </c>
      <c r="S50" s="1081" t="s">
        <v>1924</v>
      </c>
      <c r="T50" s="1081" t="s">
        <v>1925</v>
      </c>
      <c r="U50" s="1081" t="s">
        <v>1926</v>
      </c>
      <c r="V50" s="1081" t="s">
        <v>1927</v>
      </c>
      <c r="W50" s="1081" t="s">
        <v>1928</v>
      </c>
      <c r="X50" s="954" t="s">
        <v>1929</v>
      </c>
      <c r="Y50" s="1081" t="s">
        <v>1930</v>
      </c>
      <c r="Z50" s="1081" t="s">
        <v>1931</v>
      </c>
      <c r="AA50" s="1081" t="s">
        <v>1932</v>
      </c>
      <c r="AB50" s="1082" t="s">
        <v>1933</v>
      </c>
      <c r="AC50" s="1084" t="s">
        <v>1934</v>
      </c>
      <c r="AD50" s="1081" t="s">
        <v>1935</v>
      </c>
      <c r="AE50" s="1080" t="s">
        <v>1936</v>
      </c>
      <c r="AF50" s="1081" t="s">
        <v>1937</v>
      </c>
      <c r="AG50" s="1081" t="str">
        <f>CONCATENATE(O9," (",Q9,")")</f>
        <v>Default Capillary Break Layer Thickness (m)</v>
      </c>
      <c r="AH50" s="954" t="s">
        <v>1938</v>
      </c>
      <c r="AI50" s="1081" t="s">
        <v>1939</v>
      </c>
      <c r="AJ50" s="1081" t="s">
        <v>1940</v>
      </c>
      <c r="AK50" s="1081" t="s">
        <v>1941</v>
      </c>
      <c r="AL50" s="1081" t="str">
        <f>CONCATENATE(Subrates!$B$97," ($/m3)")</f>
        <v>Source and prepare Capillary Break Layer Material Rate ($/m3)</v>
      </c>
      <c r="AM50" s="1080" t="s">
        <v>1942</v>
      </c>
      <c r="AN50" s="1085" t="s">
        <v>1943</v>
      </c>
      <c r="AO50" s="1086" t="s">
        <v>1944</v>
      </c>
      <c r="AP50" s="1081" t="s">
        <v>1945</v>
      </c>
      <c r="AQ50" s="1080" t="s">
        <v>1946</v>
      </c>
      <c r="AR50" s="1082" t="s">
        <v>1947</v>
      </c>
      <c r="AS50" s="1084" t="s">
        <v>17</v>
      </c>
      <c r="AT50" s="1081" t="s">
        <v>1948</v>
      </c>
      <c r="AU50" s="1080" t="s">
        <v>1949</v>
      </c>
      <c r="AV50" s="1080" t="s">
        <v>1950</v>
      </c>
      <c r="AW50" s="1081" t="s">
        <v>1951</v>
      </c>
      <c r="AX50" s="1081" t="str">
        <f>CONCATENATE(O10," (",Q10,")")</f>
        <v>Default Low Permeability Layer Thickness (m)</v>
      </c>
      <c r="AY50" s="954" t="s">
        <v>1952</v>
      </c>
      <c r="AZ50" s="1081" t="s">
        <v>1953</v>
      </c>
      <c r="BA50" s="1081" t="s">
        <v>1954</v>
      </c>
      <c r="BB50" s="1081" t="s">
        <v>1955</v>
      </c>
      <c r="BC50" s="1081" t="s">
        <v>1956</v>
      </c>
      <c r="BD50" s="1081" t="s">
        <v>1957</v>
      </c>
      <c r="BE50" s="1080" t="s">
        <v>1958</v>
      </c>
      <c r="BF50" s="1080" t="s">
        <v>1959</v>
      </c>
      <c r="BG50" s="1081" t="s">
        <v>1960</v>
      </c>
      <c r="BH50" s="1081" t="s">
        <v>1961</v>
      </c>
      <c r="BI50" s="1081" t="s">
        <v>1962</v>
      </c>
      <c r="BJ50" s="1080" t="s">
        <v>1963</v>
      </c>
      <c r="BK50" s="1080" t="s">
        <v>1964</v>
      </c>
      <c r="BL50" s="1081" t="s">
        <v>1951</v>
      </c>
      <c r="BM50" s="1081" t="str">
        <f>CONCATENATE(O11," (",Q11,")")</f>
        <v>Default Rock Cover Layer Thickness (m)</v>
      </c>
      <c r="BN50" s="954" t="s">
        <v>1965</v>
      </c>
      <c r="BO50" s="1081" t="s">
        <v>1966</v>
      </c>
      <c r="BP50" s="1081" t="s">
        <v>1967</v>
      </c>
      <c r="BQ50" s="1081" t="s">
        <v>1968</v>
      </c>
      <c r="BR50" s="1082" t="s">
        <v>1969</v>
      </c>
      <c r="BS50" s="1083" t="s">
        <v>1970</v>
      </c>
      <c r="BT50" s="1083" t="s">
        <v>1971</v>
      </c>
      <c r="BU50" s="1084" t="s">
        <v>1972</v>
      </c>
      <c r="BV50" s="1085" t="s">
        <v>1973</v>
      </c>
      <c r="BW50" s="1083" t="s">
        <v>1974</v>
      </c>
      <c r="BX50" s="1081" t="s">
        <v>1975</v>
      </c>
      <c r="BY50" s="1081" t="s">
        <v>1976</v>
      </c>
      <c r="BZ50" s="1081" t="s">
        <v>1977</v>
      </c>
      <c r="CA50" s="1081" t="s">
        <v>1978</v>
      </c>
      <c r="CB50" s="1081" t="s">
        <v>1979</v>
      </c>
      <c r="CC50" s="1081" t="s">
        <v>1980</v>
      </c>
      <c r="CD50" s="1081" t="s">
        <v>1981</v>
      </c>
      <c r="CE50" s="1081" t="s">
        <v>1982</v>
      </c>
      <c r="CF50" s="1081" t="s">
        <v>1983</v>
      </c>
      <c r="CG50" s="1080" t="s">
        <v>1984</v>
      </c>
      <c r="CH50" s="1081" t="s">
        <v>1985</v>
      </c>
      <c r="CI50" s="1080" t="s">
        <v>1986</v>
      </c>
      <c r="CJ50" s="1081" t="s">
        <v>1986</v>
      </c>
      <c r="CK50" s="1080" t="s">
        <v>1987</v>
      </c>
      <c r="CL50" s="1081" t="s">
        <v>1988</v>
      </c>
      <c r="CM50" s="1081" t="s">
        <v>1989</v>
      </c>
      <c r="CN50" s="954" t="s">
        <v>1990</v>
      </c>
      <c r="CO50" s="1081" t="s">
        <v>1624</v>
      </c>
      <c r="CP50" s="1081" t="s">
        <v>1625</v>
      </c>
      <c r="CQ50" s="1082" t="s">
        <v>1700</v>
      </c>
      <c r="CR50" s="1084" t="s">
        <v>1991</v>
      </c>
      <c r="CS50" s="1081" t="s">
        <v>1992</v>
      </c>
      <c r="CT50" s="1081" t="s">
        <v>1836</v>
      </c>
      <c r="CU50" s="1080" t="s">
        <v>1993</v>
      </c>
      <c r="CV50" s="1080" t="s">
        <v>1994</v>
      </c>
      <c r="CW50" s="1081" t="s">
        <v>1995</v>
      </c>
      <c r="CX50" s="1081" t="s">
        <v>1996</v>
      </c>
      <c r="CY50" s="1081" t="s">
        <v>1997</v>
      </c>
      <c r="CZ50" s="1080" t="s">
        <v>1998</v>
      </c>
      <c r="DA50" s="1081" t="s">
        <v>1703</v>
      </c>
      <c r="DB50" s="1082" t="s">
        <v>1999</v>
      </c>
      <c r="DC50" s="1080" t="s">
        <v>2000</v>
      </c>
      <c r="DD50" s="1084" t="s">
        <v>2001</v>
      </c>
      <c r="DE50" s="1081" t="s">
        <v>2002</v>
      </c>
      <c r="DF50" s="1081" t="s">
        <v>2003</v>
      </c>
      <c r="DG50" s="1082" t="s">
        <v>2004</v>
      </c>
      <c r="DH50" s="1080" t="s">
        <v>2005</v>
      </c>
      <c r="DI50" s="1084" t="s">
        <v>2001</v>
      </c>
      <c r="DJ50" s="1081" t="s">
        <v>2006</v>
      </c>
      <c r="DK50" s="1081" t="s">
        <v>2007</v>
      </c>
      <c r="DL50" s="1082" t="s">
        <v>2008</v>
      </c>
      <c r="DM50" s="1080" t="s">
        <v>2009</v>
      </c>
      <c r="DN50" s="1084" t="s">
        <v>2001</v>
      </c>
      <c r="DO50" s="1081" t="s">
        <v>2010</v>
      </c>
      <c r="DP50" s="1081" t="s">
        <v>2011</v>
      </c>
      <c r="DQ50" s="1081" t="s">
        <v>2012</v>
      </c>
      <c r="DR50" s="1081" t="s">
        <v>1626</v>
      </c>
      <c r="DS50" s="1081" t="s">
        <v>1627</v>
      </c>
      <c r="DT50" s="1081" t="s">
        <v>1628</v>
      </c>
      <c r="DU50" s="1081" t="s">
        <v>1629</v>
      </c>
      <c r="DV50" s="1081" t="s">
        <v>1630</v>
      </c>
      <c r="DW50" s="1081" t="s">
        <v>2013</v>
      </c>
      <c r="DX50" s="1081" t="s">
        <v>2014</v>
      </c>
      <c r="DY50" s="1081" t="s">
        <v>2015</v>
      </c>
      <c r="DZ50" s="1081" t="s">
        <v>2016</v>
      </c>
      <c r="EA50" s="1081" t="s">
        <v>2017</v>
      </c>
      <c r="EB50" s="954" t="s">
        <v>2018</v>
      </c>
      <c r="EC50" s="954" t="s">
        <v>2019</v>
      </c>
      <c r="ED50" s="1081" t="s">
        <v>2020</v>
      </c>
      <c r="EE50" s="1081" t="s">
        <v>2021</v>
      </c>
      <c r="EF50" s="1087" t="s">
        <v>2022</v>
      </c>
      <c r="EG50" s="1080" t="s">
        <v>2023</v>
      </c>
      <c r="EH50" s="1088" t="s">
        <v>2024</v>
      </c>
      <c r="EI50" s="776" t="s">
        <v>1645</v>
      </c>
      <c r="EJ50" s="777"/>
      <c r="EK50" s="777"/>
      <c r="EL50" s="777"/>
      <c r="EM50" s="777"/>
      <c r="EN50" s="777"/>
      <c r="EO50" s="777"/>
      <c r="EP50" s="778"/>
    </row>
    <row r="51" spans="2:150" s="736" customFormat="1">
      <c r="B51" s="833"/>
      <c r="C51" s="833"/>
      <c r="D51" s="1089"/>
      <c r="E51" s="1090"/>
      <c r="F51" s="199" t="s">
        <v>1646</v>
      </c>
      <c r="G51" s="1089"/>
      <c r="H51" s="1089"/>
      <c r="I51" s="1089"/>
      <c r="J51" s="1089"/>
      <c r="K51" s="1089"/>
      <c r="L51" s="199" t="s">
        <v>1646</v>
      </c>
      <c r="M51" s="1089"/>
      <c r="N51" s="1089"/>
      <c r="O51" s="1089"/>
      <c r="P51" s="1089"/>
      <c r="Q51" s="199" t="s">
        <v>1646</v>
      </c>
      <c r="R51" s="199" t="s">
        <v>1646</v>
      </c>
      <c r="S51" s="212" t="str">
        <f>Subrates_Table_2</f>
        <v>Subrates Table 2</v>
      </c>
      <c r="T51" s="212" t="str">
        <f>Subrates_Table_3</f>
        <v>Subrates Table 3</v>
      </c>
      <c r="U51" s="1089"/>
      <c r="V51" s="1089"/>
      <c r="W51" s="221" t="str">
        <f>O5</f>
        <v>ODP Capping Values</v>
      </c>
      <c r="X51" s="375" t="s">
        <v>2025</v>
      </c>
      <c r="Y51" s="1089"/>
      <c r="Z51" s="1090"/>
      <c r="AA51" s="1090"/>
      <c r="AB51" s="199" t="s">
        <v>1646</v>
      </c>
      <c r="AC51" s="199" t="s">
        <v>1646</v>
      </c>
      <c r="AD51" s="212" t="str">
        <f>Subrates_Table_1</f>
        <v>Subrates Table 1</v>
      </c>
      <c r="AE51" s="1089"/>
      <c r="AF51" s="1089"/>
      <c r="AG51" s="221" t="str">
        <f>$O$5</f>
        <v>ODP Capping Values</v>
      </c>
      <c r="AH51" s="375" t="s">
        <v>2025</v>
      </c>
      <c r="AI51" s="1089"/>
      <c r="AJ51" s="1089"/>
      <c r="AK51" s="1089"/>
      <c r="AL51" s="212" t="str">
        <f>Subrates_Table_5</f>
        <v>Subrates Table 5</v>
      </c>
      <c r="AM51" s="1089"/>
      <c r="AN51" s="199" t="s">
        <v>1646</v>
      </c>
      <c r="AO51" s="199" t="s">
        <v>1646</v>
      </c>
      <c r="AP51" s="212" t="str">
        <f>Subrates_Table_1</f>
        <v>Subrates Table 1</v>
      </c>
      <c r="AQ51" s="1089"/>
      <c r="AR51" s="199" t="s">
        <v>1646</v>
      </c>
      <c r="AS51" s="199" t="s">
        <v>1646</v>
      </c>
      <c r="AT51" s="212" t="str">
        <f>Subrates_Table_2</f>
        <v>Subrates Table 2</v>
      </c>
      <c r="AU51" s="1089"/>
      <c r="AV51" s="1089"/>
      <c r="AW51" s="1089"/>
      <c r="AX51" s="221" t="str">
        <f>$O$5</f>
        <v>ODP Capping Values</v>
      </c>
      <c r="AY51" s="375" t="s">
        <v>2025</v>
      </c>
      <c r="AZ51" s="1089"/>
      <c r="BA51" s="1089"/>
      <c r="BB51" s="1089"/>
      <c r="BC51" s="212" t="str">
        <f>Subrates_Table_5</f>
        <v>Subrates Table 5</v>
      </c>
      <c r="BD51" s="822"/>
      <c r="BE51" s="186" t="s">
        <v>1646</v>
      </c>
      <c r="BF51" s="186" t="s">
        <v>1646</v>
      </c>
      <c r="BG51" s="212" t="str">
        <f>Subrates_Table_9</f>
        <v>Subrates Table 9</v>
      </c>
      <c r="BH51" s="212" t="str">
        <f>Subrates_Table_8</f>
        <v>Subrates Table 8</v>
      </c>
      <c r="BI51" s="833"/>
      <c r="BJ51" s="1089"/>
      <c r="BK51" s="1089"/>
      <c r="BL51" s="1089"/>
      <c r="BM51" s="221" t="str">
        <f>$O$5</f>
        <v>ODP Capping Values</v>
      </c>
      <c r="BN51" s="375" t="s">
        <v>2025</v>
      </c>
      <c r="BO51" s="1089"/>
      <c r="BP51" s="1089"/>
      <c r="BQ51" s="1089"/>
      <c r="BR51" s="199" t="s">
        <v>1646</v>
      </c>
      <c r="BS51" s="199" t="s">
        <v>1646</v>
      </c>
      <c r="BT51" s="212" t="str">
        <f>Subrates_Table_1</f>
        <v>Subrates Table 1</v>
      </c>
      <c r="BU51" s="1089"/>
      <c r="BV51" s="199" t="s">
        <v>1646</v>
      </c>
      <c r="BW51" s="199" t="s">
        <v>1646</v>
      </c>
      <c r="BX51" s="212" t="str">
        <f>Subrates_Table_2</f>
        <v>Subrates Table 2</v>
      </c>
      <c r="BY51" s="1089"/>
      <c r="BZ51" s="1089"/>
      <c r="CA51" s="1089"/>
      <c r="CB51" s="212" t="str">
        <f>Subrates_Table_5</f>
        <v>Subrates Table 5</v>
      </c>
      <c r="CC51" s="1090"/>
      <c r="CD51" s="212" t="str">
        <f>Subrates_Table_5</f>
        <v>Subrates Table 5</v>
      </c>
      <c r="CE51" s="1089"/>
      <c r="CF51" s="212" t="str">
        <f>Subrates_Table_5</f>
        <v>Subrates Table 5</v>
      </c>
      <c r="CG51" s="1089"/>
      <c r="CH51" s="1089"/>
      <c r="CI51" s="212" t="str">
        <f>Subrates_Table_6</f>
        <v>Subrates Table 6</v>
      </c>
      <c r="CJ51" s="1089"/>
      <c r="CK51" s="212" t="str">
        <f>Subrates_Table_6</f>
        <v>Subrates Table 6</v>
      </c>
      <c r="CL51" s="1089"/>
      <c r="CM51" s="221" t="str">
        <f>$O$5</f>
        <v>ODP Capping Values</v>
      </c>
      <c r="CN51" s="375" t="s">
        <v>2025</v>
      </c>
      <c r="CO51" s="1089"/>
      <c r="CP51" s="1089"/>
      <c r="CQ51" s="199" t="s">
        <v>1646</v>
      </c>
      <c r="CR51" s="199" t="s">
        <v>1646</v>
      </c>
      <c r="CS51" s="212" t="str">
        <f>Subrates_Table_1</f>
        <v>Subrates Table 1</v>
      </c>
      <c r="CT51" s="1089"/>
      <c r="CU51" s="199" t="s">
        <v>1646</v>
      </c>
      <c r="CV51" s="199" t="s">
        <v>1646</v>
      </c>
      <c r="CW51" s="212" t="str">
        <f>Subrates_Table_9</f>
        <v>Subrates Table 9</v>
      </c>
      <c r="CX51" s="212" t="str">
        <f>Subrates_Table_8</f>
        <v>Subrates Table 8</v>
      </c>
      <c r="CY51" s="833"/>
      <c r="CZ51" s="1089"/>
      <c r="DA51" s="1089"/>
      <c r="DB51" s="1089"/>
      <c r="DC51" s="199" t="s">
        <v>1646</v>
      </c>
      <c r="DD51" s="1089"/>
      <c r="DE51" s="833"/>
      <c r="DF51" s="833"/>
      <c r="DG51" s="1089"/>
      <c r="DH51" s="199" t="s">
        <v>1646</v>
      </c>
      <c r="DI51" s="1089"/>
      <c r="DJ51" s="833"/>
      <c r="DK51" s="833"/>
      <c r="DL51" s="213"/>
      <c r="DM51" s="199" t="s">
        <v>1646</v>
      </c>
      <c r="DN51" s="1089"/>
      <c r="DO51" s="214"/>
      <c r="DP51" s="833"/>
      <c r="DQ51" s="1089"/>
      <c r="DR51" s="1091"/>
      <c r="DS51" s="1089"/>
      <c r="DT51" s="1089"/>
      <c r="DU51" s="1089"/>
      <c r="DV51" s="1089"/>
      <c r="DW51" s="833"/>
      <c r="DX51" s="833"/>
      <c r="DY51" s="833"/>
      <c r="DZ51" s="833"/>
      <c r="EA51" s="1089"/>
      <c r="EB51" s="221" t="str">
        <f>$O$5</f>
        <v>ODP Capping Values</v>
      </c>
      <c r="EC51" s="375" t="s">
        <v>2025</v>
      </c>
      <c r="ED51" s="833"/>
      <c r="EE51" s="1089"/>
      <c r="EF51" s="1089"/>
      <c r="EG51" s="1089"/>
      <c r="EI51" s="748"/>
      <c r="EJ51" s="474"/>
      <c r="EK51" s="474"/>
      <c r="EL51" s="474"/>
      <c r="EM51" s="474"/>
      <c r="EN51" s="474"/>
      <c r="EO51" s="474"/>
      <c r="EP51" s="779"/>
    </row>
    <row r="52" spans="2:150" s="520" customFormat="1" ht="15">
      <c r="B52" s="312"/>
      <c r="C52" s="1092">
        <v>1</v>
      </c>
      <c r="D52" s="169"/>
      <c r="E52" s="326"/>
      <c r="F52" s="262" t="s">
        <v>1879</v>
      </c>
      <c r="G52" s="326">
        <f t="shared" ref="G52:G68" si="2">E52</f>
        <v>0</v>
      </c>
      <c r="H52" s="134"/>
      <c r="I52" s="326"/>
      <c r="J52" s="134"/>
      <c r="K52" s="326"/>
      <c r="L52" s="65" t="s">
        <v>428</v>
      </c>
      <c r="M52" s="330"/>
      <c r="N52" s="331">
        <f>IF(M52="",G52*10000*H52,M52)</f>
        <v>0</v>
      </c>
      <c r="O52" s="330"/>
      <c r="P52" s="331">
        <f t="shared" ref="P52:P68" si="3">IF(O52="",I52*10000*J52,O52)</f>
        <v>0</v>
      </c>
      <c r="Q52" s="65" t="s">
        <v>411</v>
      </c>
      <c r="R52" s="65" t="s">
        <v>3</v>
      </c>
      <c r="S52" s="201">
        <f t="shared" ref="S52:S68" si="4">INDEX(Dozer_Push_Values,MATCH(Q52,Dozer_Push_Length,0),MATCH(R52,Dozers,0))</f>
        <v>1.9221853757639424</v>
      </c>
      <c r="T52" s="202">
        <f t="shared" ref="T52:T68" si="5">INDEX(Dozer_Slope_Values,MATCH(L52,Dozer_Slope,0),MATCH(R52,Dozers,0))</f>
        <v>8904.769113128099</v>
      </c>
      <c r="U52" s="351">
        <f t="shared" ref="U52:U68" si="6">IFERROR(S52*(N52+P52),"E")</f>
        <v>0</v>
      </c>
      <c r="V52" s="351">
        <f t="shared" ref="V52:V68" si="7">IF(T52="Dozer too small",0,SUM(K52,I52)*T52)</f>
        <v>0</v>
      </c>
      <c r="W52" s="133">
        <f t="shared" ref="W52:W68" si="8">HLOOKUP(F52,ODP_Capping_values,$N$7,FALSE)</f>
        <v>1</v>
      </c>
      <c r="X52" s="136"/>
      <c r="Y52" s="200">
        <f>IF(X52&lt;&gt;"",X52,W52)</f>
        <v>1</v>
      </c>
      <c r="Z52" s="330"/>
      <c r="AA52" s="331">
        <f t="shared" ref="AA52:AA68" si="9">IF(Z52="",I52*10000*Y52,Z52)</f>
        <v>0</v>
      </c>
      <c r="AB52" s="65" t="s">
        <v>125</v>
      </c>
      <c r="AC52" s="37" t="s">
        <v>349</v>
      </c>
      <c r="AD52" s="103">
        <f t="shared" ref="AD52:AD68" si="10">INDEX(Load_and_Haul_Values,MATCH(AB52,Load_and_Haul,0),MATCH(AC52,Load_Haul_Fleet_size,0))</f>
        <v>6.2664411871606829</v>
      </c>
      <c r="AE52" s="351">
        <f t="shared" ref="AE52:AE68" si="11">IFERROR(AD52*AA52,"E")</f>
        <v>0</v>
      </c>
      <c r="AF52" s="326">
        <f t="shared" ref="AF52:AF68" si="12">$G52</f>
        <v>0</v>
      </c>
      <c r="AG52" s="1093">
        <f t="shared" ref="AG52:AG68" si="13">HLOOKUP($F52,ODP_Capping_values,$N$9,FALSE)</f>
        <v>0.6</v>
      </c>
      <c r="AH52" s="136"/>
      <c r="AI52" s="200">
        <f t="shared" ref="AI52:AI68" si="14">IF(AH52="",AG52,AH52)</f>
        <v>0.6</v>
      </c>
      <c r="AJ52" s="330"/>
      <c r="AK52" s="331">
        <f>IF(AJ52="",AF52*10000*AI52,AJ52)</f>
        <v>0</v>
      </c>
      <c r="AL52" s="103">
        <f>Subrates!$C$97</f>
        <v>4.7138306819209967</v>
      </c>
      <c r="AM52" s="157">
        <f t="shared" ref="AM52:AM68" si="15">IF(AK52=0,0,AK52*$AL52)</f>
        <v>0</v>
      </c>
      <c r="AN52" s="65" t="s">
        <v>125</v>
      </c>
      <c r="AO52" s="37" t="s">
        <v>349</v>
      </c>
      <c r="AP52" s="103">
        <f t="shared" ref="AP52:AP68" si="16">INDEX(Load_and_Haul_Values,MATCH(AN52,Load_and_Haul,0),MATCH(AO52,Load_Haul_Fleet_size,0))</f>
        <v>6.2664411871606829</v>
      </c>
      <c r="AQ52" s="157">
        <f t="shared" ref="AQ52:AQ68" si="17">IFERROR(AP52*AK52,"E")</f>
        <v>0</v>
      </c>
      <c r="AR52" s="65" t="s">
        <v>411</v>
      </c>
      <c r="AS52" s="72" t="s">
        <v>3</v>
      </c>
      <c r="AT52" s="201">
        <f t="shared" ref="AT52:AT68" si="18">INDEX(Dozer_Push_Values,MATCH(AR52,Dozer_Push_Length,0),MATCH(AS52,Dozers,0))</f>
        <v>1.9221853757639424</v>
      </c>
      <c r="AU52" s="157">
        <f t="shared" ref="AU52:AU68" si="19">IFERROR(AT52*AK52,"E")</f>
        <v>0</v>
      </c>
      <c r="AV52" s="347">
        <f>AM52+AQ52+AU52</f>
        <v>0</v>
      </c>
      <c r="AW52" s="326">
        <f t="shared" ref="AW52:AW68" si="20">G52</f>
        <v>0</v>
      </c>
      <c r="AX52" s="1093">
        <f t="shared" ref="AX52:AX68" si="21">HLOOKUP($F52,ODP_Capping_values,$N$10,FALSE)</f>
        <v>0.5</v>
      </c>
      <c r="AY52" s="136"/>
      <c r="AZ52" s="200">
        <f t="shared" ref="AZ52:AZ68" si="22">IF(AY52="",AX52,AY52)</f>
        <v>0.5</v>
      </c>
      <c r="BA52" s="330"/>
      <c r="BB52" s="331">
        <f>IF(BA52="",AW52*10000*AZ52,BA52)</f>
        <v>0</v>
      </c>
      <c r="BC52" s="103">
        <f>IF(BE52=Local,Subrates!$C$98,Subrates!$C$99)</f>
        <v>8.0873484007548591</v>
      </c>
      <c r="BD52" s="157">
        <f t="shared" ref="BD52:BD68" si="23">IF(BB52=0,0,BB52*$BC52)</f>
        <v>0</v>
      </c>
      <c r="BE52" s="204" t="s">
        <v>2026</v>
      </c>
      <c r="BF52" s="1134" t="s">
        <v>485</v>
      </c>
      <c r="BG52" s="103">
        <f>IF(BE52=Local,0,VLOOKUP(BF52,Long_distance_values_subs,Subrates!$C$5,FALSE))</f>
        <v>0</v>
      </c>
      <c r="BH52" s="103">
        <f>IF(BE52=Local,0,Subrates!$D$121)</f>
        <v>0</v>
      </c>
      <c r="BI52" s="207"/>
      <c r="BJ52" s="157">
        <f>IF(BI52="",(BG52*BB52)+(BH52*BB52),BI52*BB52)</f>
        <v>0</v>
      </c>
      <c r="BK52" s="347">
        <f>BJ52+BD52</f>
        <v>0</v>
      </c>
      <c r="BL52" s="326">
        <f t="shared" ref="BL52:BL68" si="24">G52</f>
        <v>0</v>
      </c>
      <c r="BM52" s="1093">
        <f t="shared" ref="BM52:BM68" si="25">HLOOKUP($F52,ODP_Capping_values,$N$11,FALSE)</f>
        <v>1.5</v>
      </c>
      <c r="BN52" s="136"/>
      <c r="BO52" s="200">
        <f t="shared" ref="BO52:BO68" si="26">IF(BN52="",BM52,BN52)</f>
        <v>1.5</v>
      </c>
      <c r="BP52" s="330"/>
      <c r="BQ52" s="331">
        <f t="shared" ref="BQ52:BQ68" si="27">IF(BP52="",BL52*10000*BO52,BP52)</f>
        <v>0</v>
      </c>
      <c r="BR52" s="65" t="s">
        <v>125</v>
      </c>
      <c r="BS52" s="37" t="s">
        <v>349</v>
      </c>
      <c r="BT52" s="103">
        <f t="shared" ref="BT52:BT68" si="28">INDEX(Load_and_Haul_Values,MATCH(BR52,Load_and_Haul,0),MATCH(BS52,Load_Haul_Fleet_size,0))</f>
        <v>6.2664411871606829</v>
      </c>
      <c r="BU52" s="409">
        <f t="shared" ref="BU52:BU68" si="29">IFERROR(BT52*(BQ52),"E")</f>
        <v>0</v>
      </c>
      <c r="BV52" s="65" t="s">
        <v>411</v>
      </c>
      <c r="BW52" s="65" t="s">
        <v>3</v>
      </c>
      <c r="BX52" s="201">
        <f t="shared" ref="BX52:BX68" si="30">INDEX(Dozer_Push_Values,MATCH(BV52,Dozer_Push_Length,0),MATCH(BW52,Dozers,0))</f>
        <v>1.9221853757639424</v>
      </c>
      <c r="BY52" s="409">
        <f t="shared" ref="BY52:BY68" si="31">IFERROR(BX52*BQ52,"E")</f>
        <v>0</v>
      </c>
      <c r="BZ52" s="351">
        <f t="shared" ref="BZ52:BZ68" si="32">BY52+BU52</f>
        <v>0</v>
      </c>
      <c r="CA52" s="330"/>
      <c r="CB52" s="103">
        <f>Subrates!$C$94</f>
        <v>2.2000000000000002</v>
      </c>
      <c r="CC52" s="330"/>
      <c r="CD52" s="103">
        <f>Subrates!$C$95</f>
        <v>13.200000000000001</v>
      </c>
      <c r="CE52" s="330"/>
      <c r="CF52" s="103">
        <f>Subrates!$C$96</f>
        <v>14.3</v>
      </c>
      <c r="CG52" s="351">
        <f t="shared" ref="CG52:CG68" si="33">CA52*CB52+CC52*CD52+CE52*CF52</f>
        <v>0</v>
      </c>
      <c r="CH52" s="326"/>
      <c r="CI52" s="410">
        <f>Subrates!$C$106</f>
        <v>21234.52910306484</v>
      </c>
      <c r="CJ52" s="351">
        <f t="shared" ref="CJ52:CJ68" si="34">$CH52*CI52</f>
        <v>0</v>
      </c>
      <c r="CK52" s="103">
        <f>Subrates!$C$105</f>
        <v>2885.2856380177936</v>
      </c>
      <c r="CL52" s="411">
        <f t="shared" ref="CL52:CL68" si="35">E52*$CK52</f>
        <v>0</v>
      </c>
      <c r="CM52" s="1093">
        <f t="shared" ref="CM52:CM68" si="36">HLOOKUP($F52,ODP_Capping_values,$N$12,FALSE)</f>
        <v>0.15</v>
      </c>
      <c r="CN52" s="73"/>
      <c r="CO52" s="330"/>
      <c r="CP52" s="331">
        <f t="shared" ref="CP52:CP68" si="37">IF(CO52&gt;0,CO52,E52*10000*IF(CN52&gt;0,CN52,CM52))</f>
        <v>0</v>
      </c>
      <c r="CQ52" s="65" t="s">
        <v>125</v>
      </c>
      <c r="CR52" s="383" t="s">
        <v>348</v>
      </c>
      <c r="CS52" s="103">
        <f t="shared" ref="CS52:CS68" si="38">IF(CU52=Local,INDEX(Load_and_Haul_Values,MATCH(CQ52,Load_and_Haul,0),MATCH(CR52,Load_Haul_Fleet_size,0)),0)</f>
        <v>4.8064250364478198</v>
      </c>
      <c r="CT52" s="347">
        <f t="shared" ref="CT52:CT68" si="39">CS52*CP52</f>
        <v>0</v>
      </c>
      <c r="CU52" s="204" t="s">
        <v>2026</v>
      </c>
      <c r="CV52" s="1134" t="s">
        <v>485</v>
      </c>
      <c r="CW52" s="103">
        <f>IF(CU52=Local,0,VLOOKUP(CV52,Long_distance_values_subs,Subrates!$C$5,FALSE))</f>
        <v>0</v>
      </c>
      <c r="CX52" s="103">
        <f>IF(CU52=Local,0,Subrates!$D$122)</f>
        <v>0</v>
      </c>
      <c r="CY52" s="207"/>
      <c r="CZ52" s="205">
        <f>IF(CY52="",CP52*VLOOKUP(CV52,Long_distance_values_subs,Subrates!$H$5,FALSE)*CW52+CP52*CX52,CP52*CY52)</f>
        <v>0</v>
      </c>
      <c r="DA52" s="347">
        <f t="shared" ref="DA52:DA68" si="40">CT52+CZ52</f>
        <v>0</v>
      </c>
      <c r="DB52" s="330"/>
      <c r="DC52" s="206" t="s">
        <v>48</v>
      </c>
      <c r="DD52" s="1094" t="str">
        <f>IF(DC52=Lists!$B$18,"N/A",VLOOKUP(DC52,Lists!$B$18:$D$26,Lists!$C$3,FALSE))</f>
        <v>N/A</v>
      </c>
      <c r="DE52" s="103">
        <f>IF(DC52=Lists!$B$18,0,VLOOKUP(DD52,Amend_TOV,TOV!$F$1,FALSE))</f>
        <v>0</v>
      </c>
      <c r="DF52" s="207"/>
      <c r="DG52" s="330"/>
      <c r="DH52" s="206" t="s">
        <v>48</v>
      </c>
      <c r="DI52" s="1094" t="str">
        <f>IF(DH52=Lists!$B$18,"N/A",VLOOKUP(DH52,Lists!$B$18:$D$26,Lists!$C$3,FALSE))</f>
        <v>N/A</v>
      </c>
      <c r="DJ52" s="103">
        <f>IF(DH52=Lists!$B$18,0,VLOOKUP(DI52,Amend_TOV,TOV!$F$1,FALSE))</f>
        <v>0</v>
      </c>
      <c r="DK52" s="207"/>
      <c r="DL52" s="330"/>
      <c r="DM52" s="206" t="s">
        <v>48</v>
      </c>
      <c r="DN52" s="1094" t="str">
        <f>IF(DM52=Lists!$B$18,"N/A",VLOOKUP(DM52,Lists!$B$18:$D$26,Lists!$C$3,FALSE))</f>
        <v>N/A</v>
      </c>
      <c r="DO52" s="103">
        <f>IF(DM52=Lists!$B$18,0,VLOOKUP(DN52,Amend_TOV,TOV!$F$1,FALSE))</f>
        <v>0</v>
      </c>
      <c r="DP52" s="207"/>
      <c r="DQ52" s="351">
        <f t="shared" ref="DQ52:DQ68" si="41">DB52*IF(DF52="",DE52,DF52)+DG52*IF(DK52="",DJ52,DK52)+DL52*IF(DP52="",DO52,DP52)</f>
        <v>0</v>
      </c>
      <c r="DR52" s="326">
        <f t="shared" ref="DR52:DR68" si="42">G52+I52+K52</f>
        <v>0</v>
      </c>
      <c r="DS52" s="208">
        <v>1</v>
      </c>
      <c r="DT52" s="208"/>
      <c r="DU52" s="209">
        <f t="shared" ref="DU52:DU68" si="43">100%-DT52-DS52</f>
        <v>0</v>
      </c>
      <c r="DV52" s="210" t="str">
        <f>IF(DU52&lt;0%,"Error","No Alert")</f>
        <v>No Alert</v>
      </c>
      <c r="DW52" s="351">
        <f t="shared" ref="DW52:DW68" si="44">$DR52*DS52*IF($DW$46="",$DW$45,$DW$46)</f>
        <v>0</v>
      </c>
      <c r="DX52" s="351">
        <f t="shared" ref="DX52:DX68" si="45">$DR52*DT52*IF($DX$46="",$DX$45,$DX$46)</f>
        <v>0</v>
      </c>
      <c r="DY52" s="1135">
        <f t="shared" ref="DY52:DY68" si="46">E52</f>
        <v>0</v>
      </c>
      <c r="DZ52" s="1136"/>
      <c r="EA52" s="351">
        <f>DY52*IF(DZ52&lt;&gt;"",DZ52,$DZ$48)*IF($EA$46&lt;&gt;"",$EA$46,$EA$45)</f>
        <v>0</v>
      </c>
      <c r="EB52" s="103">
        <f t="shared" ref="EB52:EB68" si="47">HLOOKUP($F52,ODP_Capping_values,$N$13,FALSE)</f>
        <v>2850</v>
      </c>
      <c r="EC52" s="117"/>
      <c r="ED52" s="351">
        <f t="shared" ref="ED52:ED68" si="48">IF(EC52="",EB52,EC52)*E52</f>
        <v>0</v>
      </c>
      <c r="EE52" s="211"/>
      <c r="EF52" s="111">
        <f>U52+V52+AE52+AV52+BK52+BZ52+CG52+CJ52+DA52+DQ52+DW52+DX52+EA52+ED52+EE52</f>
        <v>0</v>
      </c>
      <c r="EG52" s="1095">
        <f t="shared" ref="EG52:EG68" si="49">IF(E52=0,0,EF52/E52)</f>
        <v>0</v>
      </c>
      <c r="EH52" s="803">
        <f>IFERROR(EF52,"Error")</f>
        <v>0</v>
      </c>
      <c r="EI52" s="215"/>
      <c r="EJ52" s="217"/>
      <c r="EK52" s="217"/>
      <c r="EL52" s="217"/>
      <c r="EM52" s="217"/>
      <c r="EN52" s="217"/>
      <c r="EO52" s="217"/>
      <c r="EP52" s="218"/>
    </row>
    <row r="53" spans="2:150" s="520" customFormat="1" ht="15">
      <c r="B53" s="310"/>
      <c r="C53" s="989">
        <f t="shared" ref="C53:C68" si="50">C52+1</f>
        <v>2</v>
      </c>
      <c r="D53" s="168"/>
      <c r="E53" s="316"/>
      <c r="F53" s="255" t="s">
        <v>1879</v>
      </c>
      <c r="G53" s="316">
        <f t="shared" si="2"/>
        <v>0</v>
      </c>
      <c r="H53" s="77"/>
      <c r="I53" s="316"/>
      <c r="J53" s="77"/>
      <c r="K53" s="316"/>
      <c r="L53" s="37" t="s">
        <v>428</v>
      </c>
      <c r="M53" s="318"/>
      <c r="N53" s="331">
        <f t="shared" ref="N53:N68" si="51">IF(M53="",G53*10000*H53,M53)</f>
        <v>0</v>
      </c>
      <c r="O53" s="318"/>
      <c r="P53" s="319">
        <f t="shared" si="3"/>
        <v>0</v>
      </c>
      <c r="Q53" s="37" t="s">
        <v>411</v>
      </c>
      <c r="R53" s="37" t="s">
        <v>3</v>
      </c>
      <c r="S53" s="150">
        <f t="shared" si="4"/>
        <v>1.9221853757639424</v>
      </c>
      <c r="T53" s="156">
        <f t="shared" si="5"/>
        <v>8904.769113128099</v>
      </c>
      <c r="U53" s="351">
        <f t="shared" si="6"/>
        <v>0</v>
      </c>
      <c r="V53" s="351">
        <f t="shared" si="7"/>
        <v>0</v>
      </c>
      <c r="W53" s="133">
        <f t="shared" si="8"/>
        <v>1</v>
      </c>
      <c r="X53" s="203"/>
      <c r="Y53" s="200">
        <f t="shared" ref="Y53:Y68" si="52">IF(X53&lt;&gt;"",X53,W53)</f>
        <v>1</v>
      </c>
      <c r="Z53" s="318"/>
      <c r="AA53" s="319">
        <f t="shared" si="9"/>
        <v>0</v>
      </c>
      <c r="AB53" s="37" t="s">
        <v>125</v>
      </c>
      <c r="AC53" s="37" t="s">
        <v>349</v>
      </c>
      <c r="AD53" s="103">
        <f t="shared" si="10"/>
        <v>6.2664411871606829</v>
      </c>
      <c r="AE53" s="351">
        <f t="shared" si="11"/>
        <v>0</v>
      </c>
      <c r="AF53" s="316">
        <f t="shared" si="12"/>
        <v>0</v>
      </c>
      <c r="AG53" s="828">
        <f t="shared" si="13"/>
        <v>0.6</v>
      </c>
      <c r="AH53" s="136"/>
      <c r="AI53" s="139">
        <f t="shared" si="14"/>
        <v>0.6</v>
      </c>
      <c r="AJ53" s="318"/>
      <c r="AK53" s="319">
        <f>IF(AJ53="",AF53*10000*AI53,AJ53)</f>
        <v>0</v>
      </c>
      <c r="AL53" s="63">
        <f>Subrates!$C$97</f>
        <v>4.7138306819209967</v>
      </c>
      <c r="AM53" s="157">
        <f t="shared" si="15"/>
        <v>0</v>
      </c>
      <c r="AN53" s="37" t="s">
        <v>125</v>
      </c>
      <c r="AO53" s="37" t="s">
        <v>349</v>
      </c>
      <c r="AP53" s="103">
        <f t="shared" si="16"/>
        <v>6.2664411871606829</v>
      </c>
      <c r="AQ53" s="157">
        <f t="shared" si="17"/>
        <v>0</v>
      </c>
      <c r="AR53" s="37" t="s">
        <v>411</v>
      </c>
      <c r="AS53" s="47" t="s">
        <v>3</v>
      </c>
      <c r="AT53" s="150">
        <f t="shared" si="18"/>
        <v>1.9221853757639424</v>
      </c>
      <c r="AU53" s="157">
        <f t="shared" si="19"/>
        <v>0</v>
      </c>
      <c r="AV53" s="347">
        <f t="shared" ref="AV53:AV68" si="53">AM53+AQ53+AU53+BJ53</f>
        <v>0</v>
      </c>
      <c r="AW53" s="316">
        <f t="shared" si="20"/>
        <v>0</v>
      </c>
      <c r="AX53" s="828">
        <f t="shared" si="21"/>
        <v>0.5</v>
      </c>
      <c r="AY53" s="136"/>
      <c r="AZ53" s="139">
        <f t="shared" si="22"/>
        <v>0.5</v>
      </c>
      <c r="BA53" s="318"/>
      <c r="BB53" s="319">
        <f t="shared" ref="BB53:BB68" si="54">IF(BA53="",AW53*10000*AZ53,BA53)</f>
        <v>0</v>
      </c>
      <c r="BC53" s="63">
        <f>IF(BE53=Local,Subrates!$C$98,Subrates!$C$99)</f>
        <v>8.0873484007548591</v>
      </c>
      <c r="BD53" s="157">
        <f t="shared" si="23"/>
        <v>0</v>
      </c>
      <c r="BE53" s="149" t="s">
        <v>2026</v>
      </c>
      <c r="BF53" s="48" t="s">
        <v>485</v>
      </c>
      <c r="BG53" s="63">
        <f>IF(BE53=Local,0,VLOOKUP(BF53,Long_distance_values_subs,Subrates!$C$5,FALSE))</f>
        <v>0</v>
      </c>
      <c r="BH53" s="63">
        <f>IF(BE53=Local,0,Subrates!$D$121)</f>
        <v>0</v>
      </c>
      <c r="BI53" s="207"/>
      <c r="BJ53" s="157">
        <f t="shared" ref="BJ53:BJ68" si="55">IF(BI53="",BG53*BB53+BH53*BB53,BI53*BB53)</f>
        <v>0</v>
      </c>
      <c r="BK53" s="347">
        <f t="shared" ref="BK53:BK68" si="56">BJ53+BD53</f>
        <v>0</v>
      </c>
      <c r="BL53" s="316">
        <f t="shared" si="24"/>
        <v>0</v>
      </c>
      <c r="BM53" s="828">
        <f t="shared" si="25"/>
        <v>1.5</v>
      </c>
      <c r="BN53" s="136"/>
      <c r="BO53" s="139">
        <f t="shared" si="26"/>
        <v>1.5</v>
      </c>
      <c r="BP53" s="318"/>
      <c r="BQ53" s="319">
        <f t="shared" si="27"/>
        <v>0</v>
      </c>
      <c r="BR53" s="37" t="s">
        <v>125</v>
      </c>
      <c r="BS53" s="37" t="s">
        <v>349</v>
      </c>
      <c r="BT53" s="103">
        <f t="shared" si="28"/>
        <v>6.2664411871606829</v>
      </c>
      <c r="BU53" s="408">
        <f t="shared" si="29"/>
        <v>0</v>
      </c>
      <c r="BV53" s="37" t="s">
        <v>411</v>
      </c>
      <c r="BW53" s="37" t="s">
        <v>3</v>
      </c>
      <c r="BX53" s="150">
        <f t="shared" si="30"/>
        <v>1.9221853757639424</v>
      </c>
      <c r="BY53" s="408">
        <f t="shared" si="31"/>
        <v>0</v>
      </c>
      <c r="BZ53" s="351">
        <f t="shared" si="32"/>
        <v>0</v>
      </c>
      <c r="CA53" s="318"/>
      <c r="CB53" s="63">
        <f>Subrates!$C$94</f>
        <v>2.2000000000000002</v>
      </c>
      <c r="CC53" s="318"/>
      <c r="CD53" s="63">
        <f>Subrates!$C$95</f>
        <v>13.200000000000001</v>
      </c>
      <c r="CE53" s="318"/>
      <c r="CF53" s="63">
        <f>Subrates!$C$96</f>
        <v>14.3</v>
      </c>
      <c r="CG53" s="351">
        <f t="shared" si="33"/>
        <v>0</v>
      </c>
      <c r="CH53" s="316"/>
      <c r="CI53" s="406">
        <f>Subrates!$C$106</f>
        <v>21234.52910306484</v>
      </c>
      <c r="CJ53" s="351">
        <f t="shared" si="34"/>
        <v>0</v>
      </c>
      <c r="CK53" s="63">
        <f>Subrates!$C$105</f>
        <v>2885.2856380177936</v>
      </c>
      <c r="CL53" s="407">
        <f t="shared" si="35"/>
        <v>0</v>
      </c>
      <c r="CM53" s="828">
        <f t="shared" si="36"/>
        <v>0.15</v>
      </c>
      <c r="CN53" s="73"/>
      <c r="CO53" s="318"/>
      <c r="CP53" s="331">
        <f t="shared" si="37"/>
        <v>0</v>
      </c>
      <c r="CQ53" s="37" t="s">
        <v>125</v>
      </c>
      <c r="CR53" s="383" t="s">
        <v>348</v>
      </c>
      <c r="CS53" s="103">
        <f t="shared" si="38"/>
        <v>4.8064250364478198</v>
      </c>
      <c r="CT53" s="347">
        <f t="shared" si="39"/>
        <v>0</v>
      </c>
      <c r="CU53" s="149" t="s">
        <v>2026</v>
      </c>
      <c r="CV53" s="48" t="s">
        <v>485</v>
      </c>
      <c r="CW53" s="103">
        <f>IF(CU53=Local,0,VLOOKUP(CV53,Long_distance_values_subs,Subrates!$C$5,FALSE))</f>
        <v>0</v>
      </c>
      <c r="CX53" s="63">
        <f>IF(CU53=Local,0,Subrates!$D$122)</f>
        <v>0</v>
      </c>
      <c r="CY53" s="207"/>
      <c r="CZ53" s="205">
        <f>IF(CY53="",CP53*VLOOKUP(CV53,Long_distance_values_subs,Subrates!$H$5,FALSE)*CW53+CP53*CX53,CP53*CY53)</f>
        <v>0</v>
      </c>
      <c r="DA53" s="347">
        <f t="shared" si="40"/>
        <v>0</v>
      </c>
      <c r="DB53" s="318"/>
      <c r="DC53" s="195" t="s">
        <v>48</v>
      </c>
      <c r="DD53" s="1096" t="str">
        <f>IF(DC53=Lists!$B$18,"N/A",VLOOKUP(DC53,Lists!$B$18:$D$26,Lists!$C$3,FALSE))</f>
        <v>N/A</v>
      </c>
      <c r="DE53" s="63">
        <f>IF(DC53=Lists!$B$18,0,VLOOKUP(DD53,Amend_TOV,TOV!$F$1,FALSE))</f>
        <v>0</v>
      </c>
      <c r="DF53" s="117"/>
      <c r="DG53" s="318"/>
      <c r="DH53" s="195" t="s">
        <v>48</v>
      </c>
      <c r="DI53" s="1096" t="str">
        <f>IF(DH53=Lists!$B$18,"N/A",VLOOKUP(DH53,Lists!$B$18:$D$26,Lists!$C$3,FALSE))</f>
        <v>N/A</v>
      </c>
      <c r="DJ53" s="63">
        <f>IF(DH53=Lists!$B$18,0,VLOOKUP(DI53,Amend_TOV,TOV!$F$1,FALSE))</f>
        <v>0</v>
      </c>
      <c r="DK53" s="117"/>
      <c r="DL53" s="318"/>
      <c r="DM53" s="195" t="s">
        <v>48</v>
      </c>
      <c r="DN53" s="1096" t="str">
        <f>IF(DM53=Lists!$B$18,"N/A",VLOOKUP(DM53,Lists!$B$18:$D$26,Lists!$C$3,FALSE))</f>
        <v>N/A</v>
      </c>
      <c r="DO53" s="63">
        <f>IF(DM53=Lists!$B$18,0,VLOOKUP(DN53,Amend_TOV,TOV!$F$1,FALSE))</f>
        <v>0</v>
      </c>
      <c r="DP53" s="117"/>
      <c r="DQ53" s="351">
        <f t="shared" si="41"/>
        <v>0</v>
      </c>
      <c r="DR53" s="316">
        <f t="shared" si="42"/>
        <v>0</v>
      </c>
      <c r="DS53" s="208">
        <v>1</v>
      </c>
      <c r="DT53" s="208"/>
      <c r="DU53" s="67">
        <f t="shared" si="43"/>
        <v>0</v>
      </c>
      <c r="DV53" s="210" t="str">
        <f t="shared" ref="DV53:DV68" si="57">IF(DU53&lt;0%,"Error","No Alert")</f>
        <v>No Alert</v>
      </c>
      <c r="DW53" s="351">
        <f t="shared" si="44"/>
        <v>0</v>
      </c>
      <c r="DX53" s="351">
        <f t="shared" si="45"/>
        <v>0</v>
      </c>
      <c r="DY53" s="1137">
        <f t="shared" si="46"/>
        <v>0</v>
      </c>
      <c r="DZ53" s="1138"/>
      <c r="EA53" s="351">
        <f t="shared" ref="EA53:EA68" si="58">DY53*IF(DZ53&lt;&gt;"",DZ53,$DZ$48)*IF($EA$46&lt;&gt;"",$EA$46,$EA$45)</f>
        <v>0</v>
      </c>
      <c r="EB53" s="63">
        <f t="shared" si="47"/>
        <v>2850</v>
      </c>
      <c r="EC53" s="117"/>
      <c r="ED53" s="351">
        <f t="shared" si="48"/>
        <v>0</v>
      </c>
      <c r="EE53" s="159"/>
      <c r="EF53" s="111">
        <f t="shared" ref="EF53:EF68" si="59">U53+V53+AE53+AV53+BK53+BZ53+CG53+CJ53+DA53+DQ53+DW53+DX53+EA53+ED53+EE53</f>
        <v>0</v>
      </c>
      <c r="EG53" s="1097">
        <f t="shared" si="49"/>
        <v>0</v>
      </c>
      <c r="EH53" s="803">
        <f t="shared" ref="EH53:EH68" si="60">IFERROR(EF53,"Error")</f>
        <v>0</v>
      </c>
      <c r="EI53" s="215"/>
      <c r="EJ53" s="217"/>
      <c r="EK53" s="217"/>
      <c r="EL53" s="217"/>
      <c r="EM53" s="217"/>
      <c r="EN53" s="217"/>
      <c r="EO53" s="217"/>
      <c r="EP53" s="218"/>
    </row>
    <row r="54" spans="2:150" s="520" customFormat="1" ht="15">
      <c r="B54" s="310"/>
      <c r="C54" s="989">
        <f t="shared" si="50"/>
        <v>3</v>
      </c>
      <c r="D54" s="168"/>
      <c r="E54" s="316"/>
      <c r="F54" s="255" t="s">
        <v>1879</v>
      </c>
      <c r="G54" s="316">
        <f t="shared" si="2"/>
        <v>0</v>
      </c>
      <c r="H54" s="77"/>
      <c r="I54" s="316"/>
      <c r="J54" s="77"/>
      <c r="K54" s="316"/>
      <c r="L54" s="37" t="s">
        <v>428</v>
      </c>
      <c r="M54" s="318"/>
      <c r="N54" s="331">
        <f t="shared" si="51"/>
        <v>0</v>
      </c>
      <c r="O54" s="318"/>
      <c r="P54" s="319">
        <f t="shared" si="3"/>
        <v>0</v>
      </c>
      <c r="Q54" s="37" t="s">
        <v>411</v>
      </c>
      <c r="R54" s="37" t="s">
        <v>3</v>
      </c>
      <c r="S54" s="150">
        <f t="shared" si="4"/>
        <v>1.9221853757639424</v>
      </c>
      <c r="T54" s="156">
        <f t="shared" si="5"/>
        <v>8904.769113128099</v>
      </c>
      <c r="U54" s="351">
        <f t="shared" si="6"/>
        <v>0</v>
      </c>
      <c r="V54" s="351">
        <f t="shared" si="7"/>
        <v>0</v>
      </c>
      <c r="W54" s="133">
        <f t="shared" si="8"/>
        <v>1</v>
      </c>
      <c r="X54" s="203"/>
      <c r="Y54" s="200">
        <f t="shared" si="52"/>
        <v>1</v>
      </c>
      <c r="Z54" s="318"/>
      <c r="AA54" s="319">
        <f t="shared" si="9"/>
        <v>0</v>
      </c>
      <c r="AB54" s="37" t="s">
        <v>125</v>
      </c>
      <c r="AC54" s="37" t="s">
        <v>349</v>
      </c>
      <c r="AD54" s="103">
        <f t="shared" si="10"/>
        <v>6.2664411871606829</v>
      </c>
      <c r="AE54" s="351">
        <f t="shared" si="11"/>
        <v>0</v>
      </c>
      <c r="AF54" s="316">
        <f t="shared" si="12"/>
        <v>0</v>
      </c>
      <c r="AG54" s="828">
        <f t="shared" si="13"/>
        <v>0.6</v>
      </c>
      <c r="AH54" s="136"/>
      <c r="AI54" s="139">
        <f t="shared" si="14"/>
        <v>0.6</v>
      </c>
      <c r="AJ54" s="318"/>
      <c r="AK54" s="319">
        <f t="shared" ref="AK54:AK68" si="61">IF(AJ54="",AF54*10000*AI54,AJ54)</f>
        <v>0</v>
      </c>
      <c r="AL54" s="63">
        <f>Subrates!$C$97</f>
        <v>4.7138306819209967</v>
      </c>
      <c r="AM54" s="157">
        <f t="shared" si="15"/>
        <v>0</v>
      </c>
      <c r="AN54" s="37" t="s">
        <v>125</v>
      </c>
      <c r="AO54" s="37" t="s">
        <v>349</v>
      </c>
      <c r="AP54" s="103">
        <f t="shared" si="16"/>
        <v>6.2664411871606829</v>
      </c>
      <c r="AQ54" s="157">
        <f t="shared" si="17"/>
        <v>0</v>
      </c>
      <c r="AR54" s="37" t="s">
        <v>411</v>
      </c>
      <c r="AS54" s="47" t="s">
        <v>3</v>
      </c>
      <c r="AT54" s="150">
        <f t="shared" si="18"/>
        <v>1.9221853757639424</v>
      </c>
      <c r="AU54" s="157">
        <f t="shared" si="19"/>
        <v>0</v>
      </c>
      <c r="AV54" s="347">
        <f t="shared" si="53"/>
        <v>0</v>
      </c>
      <c r="AW54" s="316">
        <f t="shared" si="20"/>
        <v>0</v>
      </c>
      <c r="AX54" s="828">
        <f t="shared" si="21"/>
        <v>0.5</v>
      </c>
      <c r="AY54" s="136"/>
      <c r="AZ54" s="139">
        <f t="shared" si="22"/>
        <v>0.5</v>
      </c>
      <c r="BA54" s="318"/>
      <c r="BB54" s="319">
        <f t="shared" si="54"/>
        <v>0</v>
      </c>
      <c r="BC54" s="63">
        <f>IF(BE54=Local,Subrates!$C$98,Subrates!$C$99)</f>
        <v>8.0873484007548591</v>
      </c>
      <c r="BD54" s="157">
        <f t="shared" si="23"/>
        <v>0</v>
      </c>
      <c r="BE54" s="149" t="s">
        <v>2026</v>
      </c>
      <c r="BF54" s="48" t="s">
        <v>485</v>
      </c>
      <c r="BG54" s="63">
        <f>IF(BE54=Local,0,VLOOKUP(BF54,Long_distance_values_subs,Subrates!$C$5,FALSE))</f>
        <v>0</v>
      </c>
      <c r="BH54" s="63">
        <f>IF(BE54=Local,0,Subrates!$D$121)</f>
        <v>0</v>
      </c>
      <c r="BI54" s="207"/>
      <c r="BJ54" s="157">
        <f t="shared" si="55"/>
        <v>0</v>
      </c>
      <c r="BK54" s="347">
        <f t="shared" si="56"/>
        <v>0</v>
      </c>
      <c r="BL54" s="316">
        <f t="shared" si="24"/>
        <v>0</v>
      </c>
      <c r="BM54" s="828">
        <f t="shared" si="25"/>
        <v>1.5</v>
      </c>
      <c r="BN54" s="136"/>
      <c r="BO54" s="139">
        <f t="shared" si="26"/>
        <v>1.5</v>
      </c>
      <c r="BP54" s="318"/>
      <c r="BQ54" s="319">
        <f t="shared" si="27"/>
        <v>0</v>
      </c>
      <c r="BR54" s="37" t="s">
        <v>125</v>
      </c>
      <c r="BS54" s="37" t="s">
        <v>349</v>
      </c>
      <c r="BT54" s="103">
        <f t="shared" si="28"/>
        <v>6.2664411871606829</v>
      </c>
      <c r="BU54" s="408">
        <f t="shared" si="29"/>
        <v>0</v>
      </c>
      <c r="BV54" s="37" t="s">
        <v>411</v>
      </c>
      <c r="BW54" s="37" t="s">
        <v>3</v>
      </c>
      <c r="BX54" s="150">
        <f t="shared" si="30"/>
        <v>1.9221853757639424</v>
      </c>
      <c r="BY54" s="408">
        <f t="shared" si="31"/>
        <v>0</v>
      </c>
      <c r="BZ54" s="351">
        <f t="shared" si="32"/>
        <v>0</v>
      </c>
      <c r="CA54" s="318"/>
      <c r="CB54" s="63">
        <f>Subrates!$C$94</f>
        <v>2.2000000000000002</v>
      </c>
      <c r="CC54" s="318"/>
      <c r="CD54" s="63">
        <f>Subrates!$C$95</f>
        <v>13.200000000000001</v>
      </c>
      <c r="CE54" s="318"/>
      <c r="CF54" s="63">
        <f>Subrates!$C$96</f>
        <v>14.3</v>
      </c>
      <c r="CG54" s="351">
        <f t="shared" si="33"/>
        <v>0</v>
      </c>
      <c r="CH54" s="316"/>
      <c r="CI54" s="406">
        <f>Subrates!$C$106</f>
        <v>21234.52910306484</v>
      </c>
      <c r="CJ54" s="351">
        <f t="shared" si="34"/>
        <v>0</v>
      </c>
      <c r="CK54" s="63">
        <f>Subrates!$C$105</f>
        <v>2885.2856380177936</v>
      </c>
      <c r="CL54" s="407">
        <f t="shared" si="35"/>
        <v>0</v>
      </c>
      <c r="CM54" s="828">
        <f t="shared" si="36"/>
        <v>0.15</v>
      </c>
      <c r="CN54" s="73"/>
      <c r="CO54" s="318"/>
      <c r="CP54" s="331">
        <f t="shared" si="37"/>
        <v>0</v>
      </c>
      <c r="CQ54" s="37" t="s">
        <v>125</v>
      </c>
      <c r="CR54" s="383" t="s">
        <v>348</v>
      </c>
      <c r="CS54" s="103">
        <f t="shared" si="38"/>
        <v>4.8064250364478198</v>
      </c>
      <c r="CT54" s="347">
        <f t="shared" si="39"/>
        <v>0</v>
      </c>
      <c r="CU54" s="149" t="s">
        <v>2026</v>
      </c>
      <c r="CV54" s="48" t="s">
        <v>485</v>
      </c>
      <c r="CW54" s="103">
        <f>IF(CU54=Local,0,VLOOKUP(CV54,Long_distance_values_subs,Subrates!$C$5,FALSE))</f>
        <v>0</v>
      </c>
      <c r="CX54" s="63">
        <f>IF(CU54=Local,0,Subrates!$D$122)</f>
        <v>0</v>
      </c>
      <c r="CY54" s="207"/>
      <c r="CZ54" s="205">
        <f>IF(CY54="",CP54*VLOOKUP(CV54,Long_distance_values_subs,Subrates!$H$5,FALSE)*CW54+CP54*CX54,CP54*CY54)</f>
        <v>0</v>
      </c>
      <c r="DA54" s="347">
        <f t="shared" si="40"/>
        <v>0</v>
      </c>
      <c r="DB54" s="318"/>
      <c r="DC54" s="195" t="s">
        <v>48</v>
      </c>
      <c r="DD54" s="1096" t="str">
        <f>IF(DC54=Lists!$B$18,"N/A",VLOOKUP(DC54,Lists!$B$18:$D$26,Lists!$C$3,FALSE))</f>
        <v>N/A</v>
      </c>
      <c r="DE54" s="63">
        <f>IF(DC54=Lists!$B$18,0,VLOOKUP(DD54,Amend_TOV,TOV!$F$1,FALSE))</f>
        <v>0</v>
      </c>
      <c r="DF54" s="117"/>
      <c r="DG54" s="318"/>
      <c r="DH54" s="195" t="s">
        <v>48</v>
      </c>
      <c r="DI54" s="1096" t="str">
        <f>IF(DH54=Lists!$B$18,"N/A",VLOOKUP(DH54,Lists!$B$18:$D$26,Lists!$C$3,FALSE))</f>
        <v>N/A</v>
      </c>
      <c r="DJ54" s="63">
        <f>IF(DH54=Lists!$B$18,0,VLOOKUP(DI54,Amend_TOV,TOV!$F$1,FALSE))</f>
        <v>0</v>
      </c>
      <c r="DK54" s="117"/>
      <c r="DL54" s="318"/>
      <c r="DM54" s="195" t="s">
        <v>48</v>
      </c>
      <c r="DN54" s="1096" t="str">
        <f>IF(DM54=Lists!$B$18,"N/A",VLOOKUP(DM54,Lists!$B$18:$D$26,Lists!$C$3,FALSE))</f>
        <v>N/A</v>
      </c>
      <c r="DO54" s="63">
        <f>IF(DM54=Lists!$B$18,0,VLOOKUP(DN54,Amend_TOV,TOV!$F$1,FALSE))</f>
        <v>0</v>
      </c>
      <c r="DP54" s="117"/>
      <c r="DQ54" s="351">
        <f t="shared" si="41"/>
        <v>0</v>
      </c>
      <c r="DR54" s="316">
        <f t="shared" si="42"/>
        <v>0</v>
      </c>
      <c r="DS54" s="208">
        <v>1</v>
      </c>
      <c r="DT54" s="208"/>
      <c r="DU54" s="67">
        <f t="shared" si="43"/>
        <v>0</v>
      </c>
      <c r="DV54" s="210" t="str">
        <f t="shared" si="57"/>
        <v>No Alert</v>
      </c>
      <c r="DW54" s="351">
        <f t="shared" si="44"/>
        <v>0</v>
      </c>
      <c r="DX54" s="351">
        <f t="shared" si="45"/>
        <v>0</v>
      </c>
      <c r="DY54" s="1137">
        <f t="shared" si="46"/>
        <v>0</v>
      </c>
      <c r="DZ54" s="1138"/>
      <c r="EA54" s="351">
        <f t="shared" si="58"/>
        <v>0</v>
      </c>
      <c r="EB54" s="63">
        <f t="shared" si="47"/>
        <v>2850</v>
      </c>
      <c r="EC54" s="117"/>
      <c r="ED54" s="351">
        <f t="shared" si="48"/>
        <v>0</v>
      </c>
      <c r="EE54" s="159"/>
      <c r="EF54" s="111">
        <f t="shared" si="59"/>
        <v>0</v>
      </c>
      <c r="EG54" s="1097">
        <f t="shared" si="49"/>
        <v>0</v>
      </c>
      <c r="EH54" s="803">
        <f t="shared" si="60"/>
        <v>0</v>
      </c>
      <c r="EI54" s="215"/>
      <c r="EJ54" s="217"/>
      <c r="EK54" s="217"/>
      <c r="EL54" s="217"/>
      <c r="EM54" s="217"/>
      <c r="EN54" s="217"/>
      <c r="EO54" s="217"/>
      <c r="EP54" s="218"/>
    </row>
    <row r="55" spans="2:150" s="520" customFormat="1" ht="15">
      <c r="B55" s="310"/>
      <c r="C55" s="989">
        <f t="shared" si="50"/>
        <v>4</v>
      </c>
      <c r="D55" s="168"/>
      <c r="E55" s="316"/>
      <c r="F55" s="255" t="s">
        <v>1879</v>
      </c>
      <c r="G55" s="316">
        <f t="shared" si="2"/>
        <v>0</v>
      </c>
      <c r="H55" s="77"/>
      <c r="I55" s="316"/>
      <c r="J55" s="77"/>
      <c r="K55" s="316"/>
      <c r="L55" s="37" t="s">
        <v>428</v>
      </c>
      <c r="M55" s="318"/>
      <c r="N55" s="331">
        <f t="shared" si="51"/>
        <v>0</v>
      </c>
      <c r="O55" s="318"/>
      <c r="P55" s="319">
        <f t="shared" si="3"/>
        <v>0</v>
      </c>
      <c r="Q55" s="37" t="s">
        <v>411</v>
      </c>
      <c r="R55" s="37" t="s">
        <v>3</v>
      </c>
      <c r="S55" s="150">
        <f t="shared" si="4"/>
        <v>1.9221853757639424</v>
      </c>
      <c r="T55" s="156">
        <f t="shared" si="5"/>
        <v>8904.769113128099</v>
      </c>
      <c r="U55" s="351">
        <f t="shared" si="6"/>
        <v>0</v>
      </c>
      <c r="V55" s="351">
        <f t="shared" si="7"/>
        <v>0</v>
      </c>
      <c r="W55" s="133">
        <f t="shared" si="8"/>
        <v>1</v>
      </c>
      <c r="X55" s="203"/>
      <c r="Y55" s="200">
        <f t="shared" si="52"/>
        <v>1</v>
      </c>
      <c r="Z55" s="318"/>
      <c r="AA55" s="319">
        <f t="shared" si="9"/>
        <v>0</v>
      </c>
      <c r="AB55" s="37" t="s">
        <v>125</v>
      </c>
      <c r="AC55" s="37" t="s">
        <v>349</v>
      </c>
      <c r="AD55" s="103">
        <f t="shared" si="10"/>
        <v>6.2664411871606829</v>
      </c>
      <c r="AE55" s="351">
        <f t="shared" si="11"/>
        <v>0</v>
      </c>
      <c r="AF55" s="316">
        <f t="shared" si="12"/>
        <v>0</v>
      </c>
      <c r="AG55" s="828">
        <f t="shared" si="13"/>
        <v>0.6</v>
      </c>
      <c r="AH55" s="136"/>
      <c r="AI55" s="139">
        <f t="shared" si="14"/>
        <v>0.6</v>
      </c>
      <c r="AJ55" s="318"/>
      <c r="AK55" s="319">
        <f t="shared" si="61"/>
        <v>0</v>
      </c>
      <c r="AL55" s="63">
        <f>Subrates!$C$97</f>
        <v>4.7138306819209967</v>
      </c>
      <c r="AM55" s="157">
        <f t="shared" si="15"/>
        <v>0</v>
      </c>
      <c r="AN55" s="37" t="s">
        <v>125</v>
      </c>
      <c r="AO55" s="37" t="s">
        <v>349</v>
      </c>
      <c r="AP55" s="103">
        <f t="shared" si="16"/>
        <v>6.2664411871606829</v>
      </c>
      <c r="AQ55" s="157">
        <f t="shared" si="17"/>
        <v>0</v>
      </c>
      <c r="AR55" s="37" t="s">
        <v>411</v>
      </c>
      <c r="AS55" s="47" t="s">
        <v>3</v>
      </c>
      <c r="AT55" s="150">
        <f t="shared" si="18"/>
        <v>1.9221853757639424</v>
      </c>
      <c r="AU55" s="157">
        <f t="shared" si="19"/>
        <v>0</v>
      </c>
      <c r="AV55" s="347">
        <f t="shared" si="53"/>
        <v>0</v>
      </c>
      <c r="AW55" s="316">
        <f t="shared" si="20"/>
        <v>0</v>
      </c>
      <c r="AX55" s="828">
        <f t="shared" si="21"/>
        <v>0.5</v>
      </c>
      <c r="AY55" s="136"/>
      <c r="AZ55" s="139">
        <f t="shared" si="22"/>
        <v>0.5</v>
      </c>
      <c r="BA55" s="318"/>
      <c r="BB55" s="319">
        <f t="shared" si="54"/>
        <v>0</v>
      </c>
      <c r="BC55" s="63">
        <f>IF(BE55=Local,Subrates!$C$98,Subrates!$C$99)</f>
        <v>8.0873484007548591</v>
      </c>
      <c r="BD55" s="157">
        <f t="shared" si="23"/>
        <v>0</v>
      </c>
      <c r="BE55" s="149" t="s">
        <v>2026</v>
      </c>
      <c r="BF55" s="48" t="s">
        <v>485</v>
      </c>
      <c r="BG55" s="63">
        <f>IF(BE55=Local,0,VLOOKUP(BF55,Long_distance_values_subs,Subrates!$C$5,FALSE))</f>
        <v>0</v>
      </c>
      <c r="BH55" s="63">
        <f>IF(BE55=Local,0,Subrates!$D$121)</f>
        <v>0</v>
      </c>
      <c r="BI55" s="207"/>
      <c r="BJ55" s="157">
        <f t="shared" si="55"/>
        <v>0</v>
      </c>
      <c r="BK55" s="347">
        <f t="shared" si="56"/>
        <v>0</v>
      </c>
      <c r="BL55" s="316">
        <f t="shared" si="24"/>
        <v>0</v>
      </c>
      <c r="BM55" s="828">
        <f t="shared" si="25"/>
        <v>1.5</v>
      </c>
      <c r="BN55" s="136"/>
      <c r="BO55" s="139">
        <f t="shared" si="26"/>
        <v>1.5</v>
      </c>
      <c r="BP55" s="318"/>
      <c r="BQ55" s="319">
        <f t="shared" si="27"/>
        <v>0</v>
      </c>
      <c r="BR55" s="37" t="s">
        <v>125</v>
      </c>
      <c r="BS55" s="37" t="s">
        <v>349</v>
      </c>
      <c r="BT55" s="103">
        <f t="shared" si="28"/>
        <v>6.2664411871606829</v>
      </c>
      <c r="BU55" s="408">
        <f t="shared" si="29"/>
        <v>0</v>
      </c>
      <c r="BV55" s="37" t="s">
        <v>411</v>
      </c>
      <c r="BW55" s="37" t="s">
        <v>3</v>
      </c>
      <c r="BX55" s="150">
        <f t="shared" si="30"/>
        <v>1.9221853757639424</v>
      </c>
      <c r="BY55" s="408">
        <f t="shared" si="31"/>
        <v>0</v>
      </c>
      <c r="BZ55" s="351">
        <f t="shared" si="32"/>
        <v>0</v>
      </c>
      <c r="CA55" s="318"/>
      <c r="CB55" s="63">
        <f>Subrates!$C$94</f>
        <v>2.2000000000000002</v>
      </c>
      <c r="CC55" s="318"/>
      <c r="CD55" s="63">
        <f>Subrates!$C$95</f>
        <v>13.200000000000001</v>
      </c>
      <c r="CE55" s="318"/>
      <c r="CF55" s="63">
        <f>Subrates!$C$96</f>
        <v>14.3</v>
      </c>
      <c r="CG55" s="351">
        <f t="shared" si="33"/>
        <v>0</v>
      </c>
      <c r="CH55" s="316"/>
      <c r="CI55" s="406">
        <f>Subrates!$C$106</f>
        <v>21234.52910306484</v>
      </c>
      <c r="CJ55" s="351">
        <f t="shared" si="34"/>
        <v>0</v>
      </c>
      <c r="CK55" s="63">
        <f>Subrates!$C$105</f>
        <v>2885.2856380177936</v>
      </c>
      <c r="CL55" s="407">
        <f t="shared" si="35"/>
        <v>0</v>
      </c>
      <c r="CM55" s="828">
        <f t="shared" si="36"/>
        <v>0.15</v>
      </c>
      <c r="CN55" s="73"/>
      <c r="CO55" s="318"/>
      <c r="CP55" s="331">
        <f t="shared" si="37"/>
        <v>0</v>
      </c>
      <c r="CQ55" s="37" t="s">
        <v>125</v>
      </c>
      <c r="CR55" s="383" t="s">
        <v>348</v>
      </c>
      <c r="CS55" s="103">
        <f t="shared" si="38"/>
        <v>4.8064250364478198</v>
      </c>
      <c r="CT55" s="347">
        <f t="shared" si="39"/>
        <v>0</v>
      </c>
      <c r="CU55" s="149" t="s">
        <v>2026</v>
      </c>
      <c r="CV55" s="48" t="s">
        <v>485</v>
      </c>
      <c r="CW55" s="103">
        <f>IF(CU55=Local,0,VLOOKUP(CV55,Long_distance_values_subs,Subrates!$C$5,FALSE))</f>
        <v>0</v>
      </c>
      <c r="CX55" s="63">
        <f>IF(CU55=Local,0,Subrates!$D$122)</f>
        <v>0</v>
      </c>
      <c r="CY55" s="207"/>
      <c r="CZ55" s="205">
        <f>IF(CY55="",CP55*VLOOKUP(CV55,Long_distance_values_subs,Subrates!$H$5,FALSE)*CW55+CP55*CX55,CP55*CY55)</f>
        <v>0</v>
      </c>
      <c r="DA55" s="347">
        <f t="shared" si="40"/>
        <v>0</v>
      </c>
      <c r="DB55" s="318"/>
      <c r="DC55" s="195" t="s">
        <v>48</v>
      </c>
      <c r="DD55" s="1096" t="str">
        <f>IF(DC55=Lists!$B$18,"N/A",VLOOKUP(DC55,Lists!$B$18:$D$26,Lists!$C$3,FALSE))</f>
        <v>N/A</v>
      </c>
      <c r="DE55" s="63">
        <f>IF(DC55=Lists!$B$18,0,VLOOKUP(DD55,Amend_TOV,TOV!$F$1,FALSE))</f>
        <v>0</v>
      </c>
      <c r="DF55" s="117"/>
      <c r="DG55" s="318"/>
      <c r="DH55" s="195" t="s">
        <v>48</v>
      </c>
      <c r="DI55" s="1096" t="str">
        <f>IF(DH55=Lists!$B$18,"N/A",VLOOKUP(DH55,Lists!$B$18:$D$26,Lists!$C$3,FALSE))</f>
        <v>N/A</v>
      </c>
      <c r="DJ55" s="63">
        <f>IF(DH55=Lists!$B$18,0,VLOOKUP(DI55,Amend_TOV,TOV!$F$1,FALSE))</f>
        <v>0</v>
      </c>
      <c r="DK55" s="117"/>
      <c r="DL55" s="318"/>
      <c r="DM55" s="195" t="s">
        <v>48</v>
      </c>
      <c r="DN55" s="1096" t="str">
        <f>IF(DM55=Lists!$B$18,"N/A",VLOOKUP(DM55,Lists!$B$18:$D$26,Lists!$C$3,FALSE))</f>
        <v>N/A</v>
      </c>
      <c r="DO55" s="63">
        <f>IF(DM55=Lists!$B$18,0,VLOOKUP(DN55,Amend_TOV,TOV!$F$1,FALSE))</f>
        <v>0</v>
      </c>
      <c r="DP55" s="117"/>
      <c r="DQ55" s="351">
        <f t="shared" si="41"/>
        <v>0</v>
      </c>
      <c r="DR55" s="316">
        <f t="shared" si="42"/>
        <v>0</v>
      </c>
      <c r="DS55" s="208">
        <v>1</v>
      </c>
      <c r="DT55" s="208"/>
      <c r="DU55" s="67">
        <f t="shared" si="43"/>
        <v>0</v>
      </c>
      <c r="DV55" s="210" t="str">
        <f t="shared" si="57"/>
        <v>No Alert</v>
      </c>
      <c r="DW55" s="351">
        <f t="shared" si="44"/>
        <v>0</v>
      </c>
      <c r="DX55" s="351">
        <f t="shared" si="45"/>
        <v>0</v>
      </c>
      <c r="DY55" s="1137">
        <f t="shared" si="46"/>
        <v>0</v>
      </c>
      <c r="DZ55" s="1138"/>
      <c r="EA55" s="351">
        <f t="shared" si="58"/>
        <v>0</v>
      </c>
      <c r="EB55" s="63">
        <f t="shared" si="47"/>
        <v>2850</v>
      </c>
      <c r="EC55" s="117"/>
      <c r="ED55" s="351">
        <f t="shared" si="48"/>
        <v>0</v>
      </c>
      <c r="EE55" s="159"/>
      <c r="EF55" s="111">
        <f t="shared" si="59"/>
        <v>0</v>
      </c>
      <c r="EG55" s="1097">
        <f t="shared" si="49"/>
        <v>0</v>
      </c>
      <c r="EH55" s="803">
        <f t="shared" si="60"/>
        <v>0</v>
      </c>
      <c r="EI55" s="215"/>
      <c r="EJ55" s="217"/>
      <c r="EK55" s="217"/>
      <c r="EL55" s="217"/>
      <c r="EM55" s="217"/>
      <c r="EN55" s="217"/>
      <c r="EO55" s="217"/>
      <c r="EP55" s="218"/>
    </row>
    <row r="56" spans="2:150" s="520" customFormat="1" ht="15">
      <c r="B56" s="310"/>
      <c r="C56" s="989">
        <f t="shared" si="50"/>
        <v>5</v>
      </c>
      <c r="D56" s="168"/>
      <c r="E56" s="316"/>
      <c r="F56" s="255" t="s">
        <v>1879</v>
      </c>
      <c r="G56" s="316">
        <f t="shared" si="2"/>
        <v>0</v>
      </c>
      <c r="H56" s="77"/>
      <c r="I56" s="316"/>
      <c r="J56" s="77"/>
      <c r="K56" s="316"/>
      <c r="L56" s="37" t="s">
        <v>428</v>
      </c>
      <c r="M56" s="318"/>
      <c r="N56" s="331">
        <f t="shared" si="51"/>
        <v>0</v>
      </c>
      <c r="O56" s="318"/>
      <c r="P56" s="319">
        <f t="shared" si="3"/>
        <v>0</v>
      </c>
      <c r="Q56" s="37" t="s">
        <v>411</v>
      </c>
      <c r="R56" s="37" t="s">
        <v>3</v>
      </c>
      <c r="S56" s="150">
        <f t="shared" si="4"/>
        <v>1.9221853757639424</v>
      </c>
      <c r="T56" s="156">
        <f t="shared" si="5"/>
        <v>8904.769113128099</v>
      </c>
      <c r="U56" s="351">
        <f t="shared" si="6"/>
        <v>0</v>
      </c>
      <c r="V56" s="351">
        <f t="shared" si="7"/>
        <v>0</v>
      </c>
      <c r="W56" s="133">
        <f t="shared" si="8"/>
        <v>1</v>
      </c>
      <c r="X56" s="203"/>
      <c r="Y56" s="200">
        <f t="shared" si="52"/>
        <v>1</v>
      </c>
      <c r="Z56" s="318"/>
      <c r="AA56" s="319">
        <f t="shared" si="9"/>
        <v>0</v>
      </c>
      <c r="AB56" s="37" t="s">
        <v>125</v>
      </c>
      <c r="AC56" s="37" t="s">
        <v>349</v>
      </c>
      <c r="AD56" s="103">
        <f t="shared" si="10"/>
        <v>6.2664411871606829</v>
      </c>
      <c r="AE56" s="351">
        <f t="shared" si="11"/>
        <v>0</v>
      </c>
      <c r="AF56" s="316">
        <f t="shared" si="12"/>
        <v>0</v>
      </c>
      <c r="AG56" s="828">
        <f t="shared" si="13"/>
        <v>0.6</v>
      </c>
      <c r="AH56" s="136"/>
      <c r="AI56" s="139">
        <f t="shared" si="14"/>
        <v>0.6</v>
      </c>
      <c r="AJ56" s="318"/>
      <c r="AK56" s="319">
        <f t="shared" si="61"/>
        <v>0</v>
      </c>
      <c r="AL56" s="63">
        <f>Subrates!$C$97</f>
        <v>4.7138306819209967</v>
      </c>
      <c r="AM56" s="157">
        <f t="shared" si="15"/>
        <v>0</v>
      </c>
      <c r="AN56" s="37" t="s">
        <v>125</v>
      </c>
      <c r="AO56" s="37" t="s">
        <v>349</v>
      </c>
      <c r="AP56" s="103">
        <f t="shared" si="16"/>
        <v>6.2664411871606829</v>
      </c>
      <c r="AQ56" s="157">
        <f t="shared" si="17"/>
        <v>0</v>
      </c>
      <c r="AR56" s="37" t="s">
        <v>411</v>
      </c>
      <c r="AS56" s="47" t="s">
        <v>3</v>
      </c>
      <c r="AT56" s="150">
        <f t="shared" si="18"/>
        <v>1.9221853757639424</v>
      </c>
      <c r="AU56" s="157">
        <f t="shared" si="19"/>
        <v>0</v>
      </c>
      <c r="AV56" s="347">
        <f t="shared" si="53"/>
        <v>0</v>
      </c>
      <c r="AW56" s="316">
        <f t="shared" si="20"/>
        <v>0</v>
      </c>
      <c r="AX56" s="828">
        <f t="shared" si="21"/>
        <v>0.5</v>
      </c>
      <c r="AY56" s="136"/>
      <c r="AZ56" s="139">
        <f t="shared" si="22"/>
        <v>0.5</v>
      </c>
      <c r="BA56" s="318"/>
      <c r="BB56" s="319">
        <f t="shared" si="54"/>
        <v>0</v>
      </c>
      <c r="BC56" s="63">
        <f>IF(BE56=Local,Subrates!$C$98,Subrates!$C$99)</f>
        <v>8.0873484007548591</v>
      </c>
      <c r="BD56" s="157">
        <f t="shared" si="23"/>
        <v>0</v>
      </c>
      <c r="BE56" s="149" t="s">
        <v>2026</v>
      </c>
      <c r="BF56" s="48" t="s">
        <v>485</v>
      </c>
      <c r="BG56" s="63">
        <f>IF(BE56=Local,0,VLOOKUP(BF56,Long_distance_values_subs,Subrates!$C$5,FALSE))</f>
        <v>0</v>
      </c>
      <c r="BH56" s="63">
        <f>IF(BE56=Local,0,Subrates!$D$121)</f>
        <v>0</v>
      </c>
      <c r="BI56" s="207"/>
      <c r="BJ56" s="157">
        <f t="shared" si="55"/>
        <v>0</v>
      </c>
      <c r="BK56" s="347">
        <f t="shared" si="56"/>
        <v>0</v>
      </c>
      <c r="BL56" s="316">
        <f t="shared" si="24"/>
        <v>0</v>
      </c>
      <c r="BM56" s="828">
        <f t="shared" si="25"/>
        <v>1.5</v>
      </c>
      <c r="BN56" s="136"/>
      <c r="BO56" s="139">
        <f t="shared" si="26"/>
        <v>1.5</v>
      </c>
      <c r="BP56" s="318"/>
      <c r="BQ56" s="319">
        <f t="shared" si="27"/>
        <v>0</v>
      </c>
      <c r="BR56" s="37" t="s">
        <v>125</v>
      </c>
      <c r="BS56" s="37" t="s">
        <v>349</v>
      </c>
      <c r="BT56" s="103">
        <f t="shared" si="28"/>
        <v>6.2664411871606829</v>
      </c>
      <c r="BU56" s="408">
        <f t="shared" si="29"/>
        <v>0</v>
      </c>
      <c r="BV56" s="37" t="s">
        <v>411</v>
      </c>
      <c r="BW56" s="37" t="s">
        <v>3</v>
      </c>
      <c r="BX56" s="150">
        <f t="shared" si="30"/>
        <v>1.9221853757639424</v>
      </c>
      <c r="BY56" s="408">
        <f t="shared" si="31"/>
        <v>0</v>
      </c>
      <c r="BZ56" s="351">
        <f t="shared" si="32"/>
        <v>0</v>
      </c>
      <c r="CA56" s="318"/>
      <c r="CB56" s="63">
        <f>Subrates!$C$94</f>
        <v>2.2000000000000002</v>
      </c>
      <c r="CC56" s="318"/>
      <c r="CD56" s="63">
        <f>Subrates!$C$95</f>
        <v>13.200000000000001</v>
      </c>
      <c r="CE56" s="318"/>
      <c r="CF56" s="63">
        <f>Subrates!$C$96</f>
        <v>14.3</v>
      </c>
      <c r="CG56" s="351">
        <f t="shared" si="33"/>
        <v>0</v>
      </c>
      <c r="CH56" s="316"/>
      <c r="CI56" s="406">
        <f>Subrates!$C$106</f>
        <v>21234.52910306484</v>
      </c>
      <c r="CJ56" s="351">
        <f t="shared" si="34"/>
        <v>0</v>
      </c>
      <c r="CK56" s="63">
        <f>Subrates!$C$105</f>
        <v>2885.2856380177936</v>
      </c>
      <c r="CL56" s="407">
        <f t="shared" si="35"/>
        <v>0</v>
      </c>
      <c r="CM56" s="828">
        <f t="shared" si="36"/>
        <v>0.15</v>
      </c>
      <c r="CN56" s="73"/>
      <c r="CO56" s="318"/>
      <c r="CP56" s="331">
        <f t="shared" si="37"/>
        <v>0</v>
      </c>
      <c r="CQ56" s="37" t="s">
        <v>125</v>
      </c>
      <c r="CR56" s="383" t="s">
        <v>348</v>
      </c>
      <c r="CS56" s="103">
        <f t="shared" si="38"/>
        <v>4.8064250364478198</v>
      </c>
      <c r="CT56" s="347">
        <f t="shared" si="39"/>
        <v>0</v>
      </c>
      <c r="CU56" s="149" t="s">
        <v>2026</v>
      </c>
      <c r="CV56" s="48" t="s">
        <v>485</v>
      </c>
      <c r="CW56" s="103">
        <f>IF(CU56=Local,0,VLOOKUP(CV56,Long_distance_values_subs,Subrates!$C$5,FALSE))</f>
        <v>0</v>
      </c>
      <c r="CX56" s="63">
        <f>IF(CU56=Local,0,Subrates!$D$122)</f>
        <v>0</v>
      </c>
      <c r="CY56" s="207"/>
      <c r="CZ56" s="205">
        <f>IF(CY56="",CP56*VLOOKUP(CV56,Long_distance_values_subs,Subrates!$H$5,FALSE)*CW56+CP56*CX56,CP56*CY56)</f>
        <v>0</v>
      </c>
      <c r="DA56" s="347">
        <f t="shared" si="40"/>
        <v>0</v>
      </c>
      <c r="DB56" s="318"/>
      <c r="DC56" s="195" t="s">
        <v>48</v>
      </c>
      <c r="DD56" s="1096" t="str">
        <f>IF(DC56=Lists!$B$18,"N/A",VLOOKUP(DC56,Lists!$B$18:$D$26,Lists!$C$3,FALSE))</f>
        <v>N/A</v>
      </c>
      <c r="DE56" s="63">
        <f>IF(DC56=Lists!$B$18,0,VLOOKUP(DD56,Amend_TOV,TOV!$F$1,FALSE))</f>
        <v>0</v>
      </c>
      <c r="DF56" s="117"/>
      <c r="DG56" s="318"/>
      <c r="DH56" s="195" t="s">
        <v>48</v>
      </c>
      <c r="DI56" s="1096" t="str">
        <f>IF(DH56=Lists!$B$18,"N/A",VLOOKUP(DH56,Lists!$B$18:$D$26,Lists!$C$3,FALSE))</f>
        <v>N/A</v>
      </c>
      <c r="DJ56" s="63">
        <f>IF(DH56=Lists!$B$18,0,VLOOKUP(DI56,Amend_TOV,TOV!$F$1,FALSE))</f>
        <v>0</v>
      </c>
      <c r="DK56" s="117"/>
      <c r="DL56" s="318"/>
      <c r="DM56" s="195" t="s">
        <v>48</v>
      </c>
      <c r="DN56" s="1096" t="str">
        <f>IF(DM56=Lists!$B$18,"N/A",VLOOKUP(DM56,Lists!$B$18:$D$26,Lists!$C$3,FALSE))</f>
        <v>N/A</v>
      </c>
      <c r="DO56" s="63">
        <f>IF(DM56=Lists!$B$18,0,VLOOKUP(DN56,Amend_TOV,TOV!$F$1,FALSE))</f>
        <v>0</v>
      </c>
      <c r="DP56" s="117"/>
      <c r="DQ56" s="351">
        <f t="shared" si="41"/>
        <v>0</v>
      </c>
      <c r="DR56" s="316">
        <f t="shared" si="42"/>
        <v>0</v>
      </c>
      <c r="DS56" s="208">
        <v>1</v>
      </c>
      <c r="DT56" s="208"/>
      <c r="DU56" s="67">
        <f t="shared" si="43"/>
        <v>0</v>
      </c>
      <c r="DV56" s="210" t="str">
        <f t="shared" si="57"/>
        <v>No Alert</v>
      </c>
      <c r="DW56" s="351">
        <f t="shared" si="44"/>
        <v>0</v>
      </c>
      <c r="DX56" s="351">
        <f t="shared" si="45"/>
        <v>0</v>
      </c>
      <c r="DY56" s="1137">
        <f t="shared" si="46"/>
        <v>0</v>
      </c>
      <c r="DZ56" s="1138"/>
      <c r="EA56" s="351">
        <f t="shared" si="58"/>
        <v>0</v>
      </c>
      <c r="EB56" s="63">
        <f t="shared" si="47"/>
        <v>2850</v>
      </c>
      <c r="EC56" s="117"/>
      <c r="ED56" s="351">
        <f t="shared" si="48"/>
        <v>0</v>
      </c>
      <c r="EE56" s="159"/>
      <c r="EF56" s="111">
        <f t="shared" si="59"/>
        <v>0</v>
      </c>
      <c r="EG56" s="1097">
        <f t="shared" si="49"/>
        <v>0</v>
      </c>
      <c r="EH56" s="803">
        <f t="shared" si="60"/>
        <v>0</v>
      </c>
      <c r="EI56" s="215"/>
      <c r="EJ56" s="217"/>
      <c r="EK56" s="217"/>
      <c r="EL56" s="217"/>
      <c r="EM56" s="217"/>
      <c r="EN56" s="217"/>
      <c r="EO56" s="217"/>
      <c r="EP56" s="218"/>
    </row>
    <row r="57" spans="2:150" s="520" customFormat="1" ht="15">
      <c r="B57" s="310"/>
      <c r="C57" s="989">
        <f t="shared" si="50"/>
        <v>6</v>
      </c>
      <c r="D57" s="168"/>
      <c r="E57" s="316"/>
      <c r="F57" s="255" t="s">
        <v>1879</v>
      </c>
      <c r="G57" s="316">
        <f t="shared" si="2"/>
        <v>0</v>
      </c>
      <c r="H57" s="77"/>
      <c r="I57" s="316"/>
      <c r="J57" s="77"/>
      <c r="K57" s="316"/>
      <c r="L57" s="37" t="s">
        <v>428</v>
      </c>
      <c r="M57" s="318"/>
      <c r="N57" s="331">
        <f t="shared" si="51"/>
        <v>0</v>
      </c>
      <c r="O57" s="318"/>
      <c r="P57" s="319">
        <f t="shared" si="3"/>
        <v>0</v>
      </c>
      <c r="Q57" s="37" t="s">
        <v>411</v>
      </c>
      <c r="R57" s="37" t="s">
        <v>3</v>
      </c>
      <c r="S57" s="150">
        <f t="shared" si="4"/>
        <v>1.9221853757639424</v>
      </c>
      <c r="T57" s="156">
        <f t="shared" si="5"/>
        <v>8904.769113128099</v>
      </c>
      <c r="U57" s="351">
        <f t="shared" si="6"/>
        <v>0</v>
      </c>
      <c r="V57" s="351">
        <f t="shared" si="7"/>
        <v>0</v>
      </c>
      <c r="W57" s="133">
        <f t="shared" si="8"/>
        <v>1</v>
      </c>
      <c r="X57" s="203"/>
      <c r="Y57" s="200">
        <f t="shared" si="52"/>
        <v>1</v>
      </c>
      <c r="Z57" s="318"/>
      <c r="AA57" s="319">
        <f t="shared" si="9"/>
        <v>0</v>
      </c>
      <c r="AB57" s="37" t="s">
        <v>125</v>
      </c>
      <c r="AC57" s="37" t="s">
        <v>349</v>
      </c>
      <c r="AD57" s="103">
        <f t="shared" si="10"/>
        <v>6.2664411871606829</v>
      </c>
      <c r="AE57" s="351">
        <f t="shared" si="11"/>
        <v>0</v>
      </c>
      <c r="AF57" s="316">
        <f t="shared" si="12"/>
        <v>0</v>
      </c>
      <c r="AG57" s="828">
        <f t="shared" si="13"/>
        <v>0.6</v>
      </c>
      <c r="AH57" s="136"/>
      <c r="AI57" s="139">
        <f t="shared" si="14"/>
        <v>0.6</v>
      </c>
      <c r="AJ57" s="318"/>
      <c r="AK57" s="319">
        <f t="shared" si="61"/>
        <v>0</v>
      </c>
      <c r="AL57" s="63">
        <f>Subrates!$C$97</f>
        <v>4.7138306819209967</v>
      </c>
      <c r="AM57" s="157">
        <f t="shared" si="15"/>
        <v>0</v>
      </c>
      <c r="AN57" s="37" t="s">
        <v>125</v>
      </c>
      <c r="AO57" s="37" t="s">
        <v>349</v>
      </c>
      <c r="AP57" s="103">
        <f t="shared" si="16"/>
        <v>6.2664411871606829</v>
      </c>
      <c r="AQ57" s="157">
        <f t="shared" si="17"/>
        <v>0</v>
      </c>
      <c r="AR57" s="37" t="s">
        <v>411</v>
      </c>
      <c r="AS57" s="47" t="s">
        <v>3</v>
      </c>
      <c r="AT57" s="150">
        <f t="shared" si="18"/>
        <v>1.9221853757639424</v>
      </c>
      <c r="AU57" s="157">
        <f t="shared" si="19"/>
        <v>0</v>
      </c>
      <c r="AV57" s="347">
        <f t="shared" si="53"/>
        <v>0</v>
      </c>
      <c r="AW57" s="316">
        <f t="shared" si="20"/>
        <v>0</v>
      </c>
      <c r="AX57" s="828">
        <f t="shared" si="21"/>
        <v>0.5</v>
      </c>
      <c r="AY57" s="136"/>
      <c r="AZ57" s="139">
        <f t="shared" si="22"/>
        <v>0.5</v>
      </c>
      <c r="BA57" s="318"/>
      <c r="BB57" s="319">
        <f t="shared" si="54"/>
        <v>0</v>
      </c>
      <c r="BC57" s="63">
        <f>IF(BE57=Local,Subrates!$C$98,Subrates!$C$99)</f>
        <v>8.0873484007548591</v>
      </c>
      <c r="BD57" s="157">
        <f t="shared" si="23"/>
        <v>0</v>
      </c>
      <c r="BE57" s="149" t="s">
        <v>2026</v>
      </c>
      <c r="BF57" s="48" t="s">
        <v>485</v>
      </c>
      <c r="BG57" s="63">
        <f>IF(BE57=Local,0,VLOOKUP(BF57,Long_distance_values_subs,Subrates!$C$5,FALSE))</f>
        <v>0</v>
      </c>
      <c r="BH57" s="63">
        <f>IF(BE57=Local,0,Subrates!$D$121)</f>
        <v>0</v>
      </c>
      <c r="BI57" s="207"/>
      <c r="BJ57" s="157">
        <f t="shared" si="55"/>
        <v>0</v>
      </c>
      <c r="BK57" s="347">
        <f t="shared" si="56"/>
        <v>0</v>
      </c>
      <c r="BL57" s="316">
        <f t="shared" si="24"/>
        <v>0</v>
      </c>
      <c r="BM57" s="828">
        <f t="shared" si="25"/>
        <v>1.5</v>
      </c>
      <c r="BN57" s="136"/>
      <c r="BO57" s="139">
        <f t="shared" si="26"/>
        <v>1.5</v>
      </c>
      <c r="BP57" s="318"/>
      <c r="BQ57" s="319">
        <f t="shared" si="27"/>
        <v>0</v>
      </c>
      <c r="BR57" s="37" t="s">
        <v>125</v>
      </c>
      <c r="BS57" s="37" t="s">
        <v>349</v>
      </c>
      <c r="BT57" s="103">
        <f t="shared" si="28"/>
        <v>6.2664411871606829</v>
      </c>
      <c r="BU57" s="408">
        <f t="shared" si="29"/>
        <v>0</v>
      </c>
      <c r="BV57" s="37" t="s">
        <v>411</v>
      </c>
      <c r="BW57" s="37" t="s">
        <v>3</v>
      </c>
      <c r="BX57" s="150">
        <f t="shared" si="30"/>
        <v>1.9221853757639424</v>
      </c>
      <c r="BY57" s="408">
        <f t="shared" si="31"/>
        <v>0</v>
      </c>
      <c r="BZ57" s="351">
        <f t="shared" si="32"/>
        <v>0</v>
      </c>
      <c r="CA57" s="318"/>
      <c r="CB57" s="63">
        <f>Subrates!$C$94</f>
        <v>2.2000000000000002</v>
      </c>
      <c r="CC57" s="318"/>
      <c r="CD57" s="63">
        <f>Subrates!$C$95</f>
        <v>13.200000000000001</v>
      </c>
      <c r="CE57" s="318"/>
      <c r="CF57" s="63">
        <f>Subrates!$C$96</f>
        <v>14.3</v>
      </c>
      <c r="CG57" s="351">
        <f t="shared" si="33"/>
        <v>0</v>
      </c>
      <c r="CH57" s="316"/>
      <c r="CI57" s="406">
        <f>Subrates!$C$106</f>
        <v>21234.52910306484</v>
      </c>
      <c r="CJ57" s="351">
        <f t="shared" si="34"/>
        <v>0</v>
      </c>
      <c r="CK57" s="63">
        <f>Subrates!$C$105</f>
        <v>2885.2856380177936</v>
      </c>
      <c r="CL57" s="407">
        <f t="shared" si="35"/>
        <v>0</v>
      </c>
      <c r="CM57" s="828">
        <f t="shared" si="36"/>
        <v>0.15</v>
      </c>
      <c r="CN57" s="73"/>
      <c r="CO57" s="318"/>
      <c r="CP57" s="331">
        <f t="shared" si="37"/>
        <v>0</v>
      </c>
      <c r="CQ57" s="37" t="s">
        <v>125</v>
      </c>
      <c r="CR57" s="383" t="s">
        <v>348</v>
      </c>
      <c r="CS57" s="103">
        <f t="shared" si="38"/>
        <v>4.8064250364478198</v>
      </c>
      <c r="CT57" s="347">
        <f t="shared" si="39"/>
        <v>0</v>
      </c>
      <c r="CU57" s="149" t="s">
        <v>2026</v>
      </c>
      <c r="CV57" s="48" t="s">
        <v>485</v>
      </c>
      <c r="CW57" s="103">
        <f>IF(CU57=Local,0,VLOOKUP(CV57,Long_distance_values_subs,Subrates!$C$5,FALSE))</f>
        <v>0</v>
      </c>
      <c r="CX57" s="63">
        <f>IF(CU57=Local,0,Subrates!$D$122)</f>
        <v>0</v>
      </c>
      <c r="CY57" s="207"/>
      <c r="CZ57" s="205">
        <f>IF(CY57="",CP57*VLOOKUP(CV57,Long_distance_values_subs,Subrates!$H$5,FALSE)*CW57+CP57*CX57,CP57*CY57)</f>
        <v>0</v>
      </c>
      <c r="DA57" s="347">
        <f t="shared" si="40"/>
        <v>0</v>
      </c>
      <c r="DB57" s="318"/>
      <c r="DC57" s="195" t="s">
        <v>48</v>
      </c>
      <c r="DD57" s="1096" t="str">
        <f>IF(DC57=Lists!$B$18,"N/A",VLOOKUP(DC57,Lists!$B$18:$D$26,Lists!$C$3,FALSE))</f>
        <v>N/A</v>
      </c>
      <c r="DE57" s="63">
        <f>IF(DC57=Lists!$B$18,0,VLOOKUP(DD57,Amend_TOV,TOV!$F$1,FALSE))</f>
        <v>0</v>
      </c>
      <c r="DF57" s="117"/>
      <c r="DG57" s="318"/>
      <c r="DH57" s="195" t="s">
        <v>48</v>
      </c>
      <c r="DI57" s="1096" t="str">
        <f>IF(DH57=Lists!$B$18,"N/A",VLOOKUP(DH57,Lists!$B$18:$D$26,Lists!$C$3,FALSE))</f>
        <v>N/A</v>
      </c>
      <c r="DJ57" s="63">
        <f>IF(DH57=Lists!$B$18,0,VLOOKUP(DI57,Amend_TOV,TOV!$F$1,FALSE))</f>
        <v>0</v>
      </c>
      <c r="DK57" s="117"/>
      <c r="DL57" s="318"/>
      <c r="DM57" s="195" t="s">
        <v>48</v>
      </c>
      <c r="DN57" s="1096" t="str">
        <f>IF(DM57=Lists!$B$18,"N/A",VLOOKUP(DM57,Lists!$B$18:$D$26,Lists!$C$3,FALSE))</f>
        <v>N/A</v>
      </c>
      <c r="DO57" s="63">
        <f>IF(DM57=Lists!$B$18,0,VLOOKUP(DN57,Amend_TOV,TOV!$F$1,FALSE))</f>
        <v>0</v>
      </c>
      <c r="DP57" s="117"/>
      <c r="DQ57" s="351">
        <f t="shared" si="41"/>
        <v>0</v>
      </c>
      <c r="DR57" s="316">
        <f t="shared" si="42"/>
        <v>0</v>
      </c>
      <c r="DS57" s="208">
        <v>1</v>
      </c>
      <c r="DT57" s="208"/>
      <c r="DU57" s="67">
        <f t="shared" si="43"/>
        <v>0</v>
      </c>
      <c r="DV57" s="210" t="str">
        <f t="shared" si="57"/>
        <v>No Alert</v>
      </c>
      <c r="DW57" s="351">
        <f t="shared" si="44"/>
        <v>0</v>
      </c>
      <c r="DX57" s="351">
        <f t="shared" si="45"/>
        <v>0</v>
      </c>
      <c r="DY57" s="1137">
        <f t="shared" si="46"/>
        <v>0</v>
      </c>
      <c r="DZ57" s="1138"/>
      <c r="EA57" s="351">
        <f t="shared" si="58"/>
        <v>0</v>
      </c>
      <c r="EB57" s="63">
        <f t="shared" si="47"/>
        <v>2850</v>
      </c>
      <c r="EC57" s="117"/>
      <c r="ED57" s="351">
        <f t="shared" si="48"/>
        <v>0</v>
      </c>
      <c r="EE57" s="159"/>
      <c r="EF57" s="111">
        <f t="shared" si="59"/>
        <v>0</v>
      </c>
      <c r="EG57" s="1097">
        <f t="shared" si="49"/>
        <v>0</v>
      </c>
      <c r="EH57" s="803">
        <f t="shared" si="60"/>
        <v>0</v>
      </c>
      <c r="EI57" s="215"/>
      <c r="EJ57" s="217"/>
      <c r="EK57" s="217"/>
      <c r="EL57" s="217"/>
      <c r="EM57" s="217"/>
      <c r="EN57" s="217"/>
      <c r="EO57" s="217"/>
      <c r="EP57" s="218"/>
    </row>
    <row r="58" spans="2:150" s="520" customFormat="1" ht="15">
      <c r="B58" s="310"/>
      <c r="C58" s="989">
        <f t="shared" si="50"/>
        <v>7</v>
      </c>
      <c r="D58" s="168"/>
      <c r="E58" s="316"/>
      <c r="F58" s="255" t="s">
        <v>1879</v>
      </c>
      <c r="G58" s="316">
        <f t="shared" si="2"/>
        <v>0</v>
      </c>
      <c r="H58" s="77"/>
      <c r="I58" s="316"/>
      <c r="J58" s="77"/>
      <c r="K58" s="316"/>
      <c r="L58" s="37" t="s">
        <v>428</v>
      </c>
      <c r="M58" s="318"/>
      <c r="N58" s="331">
        <f t="shared" si="51"/>
        <v>0</v>
      </c>
      <c r="O58" s="318"/>
      <c r="P58" s="319">
        <f t="shared" si="3"/>
        <v>0</v>
      </c>
      <c r="Q58" s="37" t="s">
        <v>411</v>
      </c>
      <c r="R58" s="37" t="s">
        <v>3</v>
      </c>
      <c r="S58" s="150">
        <f t="shared" si="4"/>
        <v>1.9221853757639424</v>
      </c>
      <c r="T58" s="156">
        <f t="shared" si="5"/>
        <v>8904.769113128099</v>
      </c>
      <c r="U58" s="351">
        <f t="shared" si="6"/>
        <v>0</v>
      </c>
      <c r="V58" s="351">
        <f t="shared" si="7"/>
        <v>0</v>
      </c>
      <c r="W58" s="133">
        <f t="shared" si="8"/>
        <v>1</v>
      </c>
      <c r="X58" s="203"/>
      <c r="Y58" s="200">
        <f t="shared" si="52"/>
        <v>1</v>
      </c>
      <c r="Z58" s="318"/>
      <c r="AA58" s="319">
        <f t="shared" si="9"/>
        <v>0</v>
      </c>
      <c r="AB58" s="37" t="s">
        <v>125</v>
      </c>
      <c r="AC58" s="37" t="s">
        <v>349</v>
      </c>
      <c r="AD58" s="103">
        <f t="shared" si="10"/>
        <v>6.2664411871606829</v>
      </c>
      <c r="AE58" s="351">
        <f t="shared" si="11"/>
        <v>0</v>
      </c>
      <c r="AF58" s="316">
        <f t="shared" si="12"/>
        <v>0</v>
      </c>
      <c r="AG58" s="828">
        <f t="shared" si="13"/>
        <v>0.6</v>
      </c>
      <c r="AH58" s="136"/>
      <c r="AI58" s="139">
        <f t="shared" si="14"/>
        <v>0.6</v>
      </c>
      <c r="AJ58" s="318"/>
      <c r="AK58" s="319">
        <f t="shared" si="61"/>
        <v>0</v>
      </c>
      <c r="AL58" s="63">
        <f>Subrates!$C$97</f>
        <v>4.7138306819209967</v>
      </c>
      <c r="AM58" s="157">
        <f t="shared" si="15"/>
        <v>0</v>
      </c>
      <c r="AN58" s="37" t="s">
        <v>125</v>
      </c>
      <c r="AO58" s="37" t="s">
        <v>349</v>
      </c>
      <c r="AP58" s="103">
        <f t="shared" si="16"/>
        <v>6.2664411871606829</v>
      </c>
      <c r="AQ58" s="157">
        <f t="shared" si="17"/>
        <v>0</v>
      </c>
      <c r="AR58" s="37" t="s">
        <v>411</v>
      </c>
      <c r="AS58" s="47" t="s">
        <v>3</v>
      </c>
      <c r="AT58" s="150">
        <f t="shared" si="18"/>
        <v>1.9221853757639424</v>
      </c>
      <c r="AU58" s="157">
        <f t="shared" si="19"/>
        <v>0</v>
      </c>
      <c r="AV58" s="347">
        <f t="shared" si="53"/>
        <v>0</v>
      </c>
      <c r="AW58" s="316">
        <f t="shared" si="20"/>
        <v>0</v>
      </c>
      <c r="AX58" s="828">
        <f t="shared" si="21"/>
        <v>0.5</v>
      </c>
      <c r="AY58" s="136"/>
      <c r="AZ58" s="139">
        <f t="shared" si="22"/>
        <v>0.5</v>
      </c>
      <c r="BA58" s="318"/>
      <c r="BB58" s="319">
        <f t="shared" si="54"/>
        <v>0</v>
      </c>
      <c r="BC58" s="63">
        <f>IF(BE58=Local,Subrates!$C$98,Subrates!$C$99)</f>
        <v>8.0873484007548591</v>
      </c>
      <c r="BD58" s="157">
        <f t="shared" si="23"/>
        <v>0</v>
      </c>
      <c r="BE58" s="149" t="s">
        <v>2026</v>
      </c>
      <c r="BF58" s="48" t="s">
        <v>485</v>
      </c>
      <c r="BG58" s="63">
        <f>IF(BE58=Local,0,VLOOKUP(BF58,Long_distance_values_subs,Subrates!$C$5,FALSE))</f>
        <v>0</v>
      </c>
      <c r="BH58" s="63">
        <f>IF(BE58=Local,0,Subrates!$D$121)</f>
        <v>0</v>
      </c>
      <c r="BI58" s="207"/>
      <c r="BJ58" s="157">
        <f t="shared" si="55"/>
        <v>0</v>
      </c>
      <c r="BK58" s="347">
        <f t="shared" si="56"/>
        <v>0</v>
      </c>
      <c r="BL58" s="316">
        <f t="shared" si="24"/>
        <v>0</v>
      </c>
      <c r="BM58" s="828">
        <f t="shared" si="25"/>
        <v>1.5</v>
      </c>
      <c r="BN58" s="136"/>
      <c r="BO58" s="139">
        <f t="shared" si="26"/>
        <v>1.5</v>
      </c>
      <c r="BP58" s="318"/>
      <c r="BQ58" s="319">
        <f t="shared" si="27"/>
        <v>0</v>
      </c>
      <c r="BR58" s="37" t="s">
        <v>125</v>
      </c>
      <c r="BS58" s="37" t="s">
        <v>349</v>
      </c>
      <c r="BT58" s="103">
        <f t="shared" si="28"/>
        <v>6.2664411871606829</v>
      </c>
      <c r="BU58" s="408">
        <f t="shared" si="29"/>
        <v>0</v>
      </c>
      <c r="BV58" s="37" t="s">
        <v>411</v>
      </c>
      <c r="BW58" s="37" t="s">
        <v>3</v>
      </c>
      <c r="BX58" s="150">
        <f t="shared" si="30"/>
        <v>1.9221853757639424</v>
      </c>
      <c r="BY58" s="408">
        <f t="shared" si="31"/>
        <v>0</v>
      </c>
      <c r="BZ58" s="351">
        <f t="shared" si="32"/>
        <v>0</v>
      </c>
      <c r="CA58" s="318"/>
      <c r="CB58" s="63">
        <f>Subrates!$C$94</f>
        <v>2.2000000000000002</v>
      </c>
      <c r="CC58" s="318"/>
      <c r="CD58" s="63">
        <f>Subrates!$C$95</f>
        <v>13.200000000000001</v>
      </c>
      <c r="CE58" s="318"/>
      <c r="CF58" s="63">
        <f>Subrates!$C$96</f>
        <v>14.3</v>
      </c>
      <c r="CG58" s="351">
        <f t="shared" si="33"/>
        <v>0</v>
      </c>
      <c r="CH58" s="316"/>
      <c r="CI58" s="406">
        <f>Subrates!$C$106</f>
        <v>21234.52910306484</v>
      </c>
      <c r="CJ58" s="351">
        <f t="shared" si="34"/>
        <v>0</v>
      </c>
      <c r="CK58" s="63">
        <f>Subrates!$C$105</f>
        <v>2885.2856380177936</v>
      </c>
      <c r="CL58" s="407">
        <f t="shared" si="35"/>
        <v>0</v>
      </c>
      <c r="CM58" s="828">
        <f t="shared" si="36"/>
        <v>0.15</v>
      </c>
      <c r="CN58" s="73"/>
      <c r="CO58" s="318"/>
      <c r="CP58" s="331">
        <f t="shared" si="37"/>
        <v>0</v>
      </c>
      <c r="CQ58" s="37" t="s">
        <v>125</v>
      </c>
      <c r="CR58" s="383" t="s">
        <v>348</v>
      </c>
      <c r="CS58" s="103">
        <f t="shared" si="38"/>
        <v>4.8064250364478198</v>
      </c>
      <c r="CT58" s="347">
        <f t="shared" si="39"/>
        <v>0</v>
      </c>
      <c r="CU58" s="149" t="s">
        <v>2026</v>
      </c>
      <c r="CV58" s="48" t="s">
        <v>485</v>
      </c>
      <c r="CW58" s="103">
        <f>IF(CU58=Local,0,VLOOKUP(CV58,Long_distance_values_subs,Subrates!$C$5,FALSE))</f>
        <v>0</v>
      </c>
      <c r="CX58" s="63">
        <f>IF(CU58=Local,0,Subrates!$D$122)</f>
        <v>0</v>
      </c>
      <c r="CY58" s="207"/>
      <c r="CZ58" s="205">
        <f>IF(CY58="",CP58*VLOOKUP(CV58,Long_distance_values_subs,Subrates!$H$5,FALSE)*CW58+CP58*CX58,CP58*CY58)</f>
        <v>0</v>
      </c>
      <c r="DA58" s="347">
        <f t="shared" si="40"/>
        <v>0</v>
      </c>
      <c r="DB58" s="318"/>
      <c r="DC58" s="195" t="s">
        <v>48</v>
      </c>
      <c r="DD58" s="1096" t="str">
        <f>IF(DC58=Lists!$B$18,"N/A",VLOOKUP(DC58,Lists!$B$18:$D$26,Lists!$C$3,FALSE))</f>
        <v>N/A</v>
      </c>
      <c r="DE58" s="63">
        <f>IF(DC58=Lists!$B$18,0,VLOOKUP(DD58,Amend_TOV,TOV!$F$1,FALSE))</f>
        <v>0</v>
      </c>
      <c r="DF58" s="117"/>
      <c r="DG58" s="318"/>
      <c r="DH58" s="195" t="s">
        <v>48</v>
      </c>
      <c r="DI58" s="1096" t="str">
        <f>IF(DH58=Lists!$B$18,"N/A",VLOOKUP(DH58,Lists!$B$18:$D$26,Lists!$C$3,FALSE))</f>
        <v>N/A</v>
      </c>
      <c r="DJ58" s="63">
        <f>IF(DH58=Lists!$B$18,0,VLOOKUP(DI58,Amend_TOV,TOV!$F$1,FALSE))</f>
        <v>0</v>
      </c>
      <c r="DK58" s="117"/>
      <c r="DL58" s="318"/>
      <c r="DM58" s="195" t="s">
        <v>48</v>
      </c>
      <c r="DN58" s="1096" t="str">
        <f>IF(DM58=Lists!$B$18,"N/A",VLOOKUP(DM58,Lists!$B$18:$D$26,Lists!$C$3,FALSE))</f>
        <v>N/A</v>
      </c>
      <c r="DO58" s="63">
        <f>IF(DM58=Lists!$B$18,0,VLOOKUP(DN58,Amend_TOV,TOV!$F$1,FALSE))</f>
        <v>0</v>
      </c>
      <c r="DP58" s="117"/>
      <c r="DQ58" s="351">
        <f t="shared" si="41"/>
        <v>0</v>
      </c>
      <c r="DR58" s="316">
        <f t="shared" si="42"/>
        <v>0</v>
      </c>
      <c r="DS58" s="208">
        <v>1</v>
      </c>
      <c r="DT58" s="208"/>
      <c r="DU58" s="67">
        <f t="shared" si="43"/>
        <v>0</v>
      </c>
      <c r="DV58" s="210" t="str">
        <f t="shared" si="57"/>
        <v>No Alert</v>
      </c>
      <c r="DW58" s="351">
        <f t="shared" si="44"/>
        <v>0</v>
      </c>
      <c r="DX58" s="351">
        <f t="shared" si="45"/>
        <v>0</v>
      </c>
      <c r="DY58" s="1137">
        <f t="shared" si="46"/>
        <v>0</v>
      </c>
      <c r="DZ58" s="1138"/>
      <c r="EA58" s="351">
        <f t="shared" si="58"/>
        <v>0</v>
      </c>
      <c r="EB58" s="63">
        <f t="shared" si="47"/>
        <v>2850</v>
      </c>
      <c r="EC58" s="117"/>
      <c r="ED58" s="351">
        <f t="shared" si="48"/>
        <v>0</v>
      </c>
      <c r="EE58" s="159"/>
      <c r="EF58" s="111">
        <f t="shared" si="59"/>
        <v>0</v>
      </c>
      <c r="EG58" s="1097">
        <f t="shared" si="49"/>
        <v>0</v>
      </c>
      <c r="EH58" s="803">
        <f t="shared" si="60"/>
        <v>0</v>
      </c>
      <c r="EI58" s="215"/>
      <c r="EJ58" s="217"/>
      <c r="EK58" s="217"/>
      <c r="EL58" s="217"/>
      <c r="EM58" s="217"/>
      <c r="EN58" s="217"/>
      <c r="EO58" s="217"/>
      <c r="EP58" s="218"/>
    </row>
    <row r="59" spans="2:150" s="520" customFormat="1" ht="15">
      <c r="B59" s="310"/>
      <c r="C59" s="989">
        <f t="shared" si="50"/>
        <v>8</v>
      </c>
      <c r="D59" s="168"/>
      <c r="E59" s="316"/>
      <c r="F59" s="255" t="s">
        <v>1879</v>
      </c>
      <c r="G59" s="316">
        <f t="shared" si="2"/>
        <v>0</v>
      </c>
      <c r="H59" s="77"/>
      <c r="I59" s="316"/>
      <c r="J59" s="77"/>
      <c r="K59" s="316"/>
      <c r="L59" s="37" t="s">
        <v>428</v>
      </c>
      <c r="M59" s="318"/>
      <c r="N59" s="331">
        <f t="shared" si="51"/>
        <v>0</v>
      </c>
      <c r="O59" s="318"/>
      <c r="P59" s="319">
        <f t="shared" si="3"/>
        <v>0</v>
      </c>
      <c r="Q59" s="37" t="s">
        <v>411</v>
      </c>
      <c r="R59" s="37" t="s">
        <v>3</v>
      </c>
      <c r="S59" s="150">
        <f t="shared" si="4"/>
        <v>1.9221853757639424</v>
      </c>
      <c r="T59" s="156">
        <f t="shared" si="5"/>
        <v>8904.769113128099</v>
      </c>
      <c r="U59" s="351">
        <f t="shared" si="6"/>
        <v>0</v>
      </c>
      <c r="V59" s="351">
        <f t="shared" si="7"/>
        <v>0</v>
      </c>
      <c r="W59" s="133">
        <f t="shared" si="8"/>
        <v>1</v>
      </c>
      <c r="X59" s="203"/>
      <c r="Y59" s="200">
        <f t="shared" si="52"/>
        <v>1</v>
      </c>
      <c r="Z59" s="318"/>
      <c r="AA59" s="319">
        <f t="shared" si="9"/>
        <v>0</v>
      </c>
      <c r="AB59" s="37" t="s">
        <v>125</v>
      </c>
      <c r="AC59" s="37" t="s">
        <v>349</v>
      </c>
      <c r="AD59" s="103">
        <f t="shared" si="10"/>
        <v>6.2664411871606829</v>
      </c>
      <c r="AE59" s="351">
        <f t="shared" si="11"/>
        <v>0</v>
      </c>
      <c r="AF59" s="316">
        <f t="shared" si="12"/>
        <v>0</v>
      </c>
      <c r="AG59" s="828">
        <f t="shared" si="13"/>
        <v>0.6</v>
      </c>
      <c r="AH59" s="136"/>
      <c r="AI59" s="139">
        <f t="shared" si="14"/>
        <v>0.6</v>
      </c>
      <c r="AJ59" s="318"/>
      <c r="AK59" s="319">
        <f t="shared" si="61"/>
        <v>0</v>
      </c>
      <c r="AL59" s="63">
        <f>Subrates!$C$97</f>
        <v>4.7138306819209967</v>
      </c>
      <c r="AM59" s="157">
        <f t="shared" si="15"/>
        <v>0</v>
      </c>
      <c r="AN59" s="37" t="s">
        <v>125</v>
      </c>
      <c r="AO59" s="37" t="s">
        <v>349</v>
      </c>
      <c r="AP59" s="103">
        <f t="shared" si="16"/>
        <v>6.2664411871606829</v>
      </c>
      <c r="AQ59" s="157">
        <f t="shared" si="17"/>
        <v>0</v>
      </c>
      <c r="AR59" s="37" t="s">
        <v>411</v>
      </c>
      <c r="AS59" s="47" t="s">
        <v>3</v>
      </c>
      <c r="AT59" s="150">
        <f t="shared" si="18"/>
        <v>1.9221853757639424</v>
      </c>
      <c r="AU59" s="157">
        <f t="shared" si="19"/>
        <v>0</v>
      </c>
      <c r="AV59" s="347">
        <f t="shared" si="53"/>
        <v>0</v>
      </c>
      <c r="AW59" s="316">
        <f t="shared" si="20"/>
        <v>0</v>
      </c>
      <c r="AX59" s="828">
        <f t="shared" si="21"/>
        <v>0.5</v>
      </c>
      <c r="AY59" s="136"/>
      <c r="AZ59" s="139">
        <f t="shared" si="22"/>
        <v>0.5</v>
      </c>
      <c r="BA59" s="318"/>
      <c r="BB59" s="319">
        <f t="shared" si="54"/>
        <v>0</v>
      </c>
      <c r="BC59" s="63">
        <f>IF(BE59=Local,Subrates!$C$98,Subrates!$C$99)</f>
        <v>8.0873484007548591</v>
      </c>
      <c r="BD59" s="157">
        <f t="shared" si="23"/>
        <v>0</v>
      </c>
      <c r="BE59" s="149" t="s">
        <v>2026</v>
      </c>
      <c r="BF59" s="48" t="s">
        <v>485</v>
      </c>
      <c r="BG59" s="63">
        <f>IF(BE59=Local,0,VLOOKUP(BF59,Long_distance_values_subs,Subrates!$C$5,FALSE))</f>
        <v>0</v>
      </c>
      <c r="BH59" s="63">
        <f>IF(BE59=Local,0,Subrates!$D$121)</f>
        <v>0</v>
      </c>
      <c r="BI59" s="207"/>
      <c r="BJ59" s="157">
        <f t="shared" si="55"/>
        <v>0</v>
      </c>
      <c r="BK59" s="347">
        <f t="shared" si="56"/>
        <v>0</v>
      </c>
      <c r="BL59" s="316">
        <f t="shared" si="24"/>
        <v>0</v>
      </c>
      <c r="BM59" s="828">
        <f t="shared" si="25"/>
        <v>1.5</v>
      </c>
      <c r="BN59" s="136"/>
      <c r="BO59" s="139">
        <f t="shared" si="26"/>
        <v>1.5</v>
      </c>
      <c r="BP59" s="318"/>
      <c r="BQ59" s="319">
        <f t="shared" si="27"/>
        <v>0</v>
      </c>
      <c r="BR59" s="37" t="s">
        <v>125</v>
      </c>
      <c r="BS59" s="37" t="s">
        <v>349</v>
      </c>
      <c r="BT59" s="103">
        <f t="shared" si="28"/>
        <v>6.2664411871606829</v>
      </c>
      <c r="BU59" s="408">
        <f t="shared" si="29"/>
        <v>0</v>
      </c>
      <c r="BV59" s="37" t="s">
        <v>411</v>
      </c>
      <c r="BW59" s="37" t="s">
        <v>3</v>
      </c>
      <c r="BX59" s="150">
        <f t="shared" si="30"/>
        <v>1.9221853757639424</v>
      </c>
      <c r="BY59" s="408">
        <f t="shared" si="31"/>
        <v>0</v>
      </c>
      <c r="BZ59" s="351">
        <f t="shared" si="32"/>
        <v>0</v>
      </c>
      <c r="CA59" s="318"/>
      <c r="CB59" s="63">
        <f>Subrates!$C$94</f>
        <v>2.2000000000000002</v>
      </c>
      <c r="CC59" s="318"/>
      <c r="CD59" s="63">
        <f>Subrates!$C$95</f>
        <v>13.200000000000001</v>
      </c>
      <c r="CE59" s="318"/>
      <c r="CF59" s="63">
        <f>Subrates!$C$96</f>
        <v>14.3</v>
      </c>
      <c r="CG59" s="351">
        <f t="shared" si="33"/>
        <v>0</v>
      </c>
      <c r="CH59" s="316"/>
      <c r="CI59" s="406">
        <f>Subrates!$C$106</f>
        <v>21234.52910306484</v>
      </c>
      <c r="CJ59" s="351">
        <f t="shared" si="34"/>
        <v>0</v>
      </c>
      <c r="CK59" s="63">
        <f>Subrates!$C$105</f>
        <v>2885.2856380177936</v>
      </c>
      <c r="CL59" s="407">
        <f t="shared" si="35"/>
        <v>0</v>
      </c>
      <c r="CM59" s="828">
        <f t="shared" si="36"/>
        <v>0.15</v>
      </c>
      <c r="CN59" s="73"/>
      <c r="CO59" s="318"/>
      <c r="CP59" s="331">
        <f t="shared" si="37"/>
        <v>0</v>
      </c>
      <c r="CQ59" s="37" t="s">
        <v>125</v>
      </c>
      <c r="CR59" s="383" t="s">
        <v>348</v>
      </c>
      <c r="CS59" s="103">
        <f t="shared" si="38"/>
        <v>4.8064250364478198</v>
      </c>
      <c r="CT59" s="347">
        <f t="shared" si="39"/>
        <v>0</v>
      </c>
      <c r="CU59" s="149" t="s">
        <v>2026</v>
      </c>
      <c r="CV59" s="48" t="s">
        <v>485</v>
      </c>
      <c r="CW59" s="103">
        <f>IF(CU59=Local,0,VLOOKUP(CV59,Long_distance_values_subs,Subrates!$C$5,FALSE))</f>
        <v>0</v>
      </c>
      <c r="CX59" s="63">
        <f>IF(CU59=Local,0,Subrates!$D$122)</f>
        <v>0</v>
      </c>
      <c r="CY59" s="207"/>
      <c r="CZ59" s="205">
        <f>IF(CY59="",CP59*VLOOKUP(CV59,Long_distance_values_subs,Subrates!$H$5,FALSE)*CW59+CP59*CX59,CP59*CY59)</f>
        <v>0</v>
      </c>
      <c r="DA59" s="347">
        <f t="shared" si="40"/>
        <v>0</v>
      </c>
      <c r="DB59" s="318"/>
      <c r="DC59" s="195" t="s">
        <v>48</v>
      </c>
      <c r="DD59" s="1096" t="str">
        <f>IF(DC59=Lists!$B$18,"N/A",VLOOKUP(DC59,Lists!$B$18:$D$26,Lists!$C$3,FALSE))</f>
        <v>N/A</v>
      </c>
      <c r="DE59" s="63">
        <f>IF(DC59=Lists!$B$18,0,VLOOKUP(DD59,Amend_TOV,TOV!$F$1,FALSE))</f>
        <v>0</v>
      </c>
      <c r="DF59" s="117"/>
      <c r="DG59" s="318"/>
      <c r="DH59" s="195" t="s">
        <v>48</v>
      </c>
      <c r="DI59" s="1096" t="str">
        <f>IF(DH59=Lists!$B$18,"N/A",VLOOKUP(DH59,Lists!$B$18:$D$26,Lists!$C$3,FALSE))</f>
        <v>N/A</v>
      </c>
      <c r="DJ59" s="63">
        <f>IF(DH59=Lists!$B$18,0,VLOOKUP(DI59,Amend_TOV,TOV!$F$1,FALSE))</f>
        <v>0</v>
      </c>
      <c r="DK59" s="117"/>
      <c r="DL59" s="318"/>
      <c r="DM59" s="195" t="s">
        <v>48</v>
      </c>
      <c r="DN59" s="1096" t="str">
        <f>IF(DM59=Lists!$B$18,"N/A",VLOOKUP(DM59,Lists!$B$18:$D$26,Lists!$C$3,FALSE))</f>
        <v>N/A</v>
      </c>
      <c r="DO59" s="63">
        <f>IF(DM59=Lists!$B$18,0,VLOOKUP(DN59,Amend_TOV,TOV!$F$1,FALSE))</f>
        <v>0</v>
      </c>
      <c r="DP59" s="117"/>
      <c r="DQ59" s="351">
        <f t="shared" si="41"/>
        <v>0</v>
      </c>
      <c r="DR59" s="316">
        <f t="shared" si="42"/>
        <v>0</v>
      </c>
      <c r="DS59" s="208">
        <v>1</v>
      </c>
      <c r="DT59" s="208"/>
      <c r="DU59" s="67">
        <f t="shared" si="43"/>
        <v>0</v>
      </c>
      <c r="DV59" s="210" t="str">
        <f t="shared" si="57"/>
        <v>No Alert</v>
      </c>
      <c r="DW59" s="351">
        <f t="shared" si="44"/>
        <v>0</v>
      </c>
      <c r="DX59" s="351">
        <f t="shared" si="45"/>
        <v>0</v>
      </c>
      <c r="DY59" s="1137">
        <f t="shared" si="46"/>
        <v>0</v>
      </c>
      <c r="DZ59" s="1138"/>
      <c r="EA59" s="351">
        <f t="shared" si="58"/>
        <v>0</v>
      </c>
      <c r="EB59" s="63">
        <f t="shared" si="47"/>
        <v>2850</v>
      </c>
      <c r="EC59" s="117"/>
      <c r="ED59" s="351">
        <f t="shared" si="48"/>
        <v>0</v>
      </c>
      <c r="EE59" s="159"/>
      <c r="EF59" s="111">
        <f t="shared" si="59"/>
        <v>0</v>
      </c>
      <c r="EG59" s="1097">
        <f t="shared" si="49"/>
        <v>0</v>
      </c>
      <c r="EH59" s="803">
        <f t="shared" si="60"/>
        <v>0</v>
      </c>
      <c r="EI59" s="215"/>
      <c r="EJ59" s="217"/>
      <c r="EK59" s="217"/>
      <c r="EL59" s="217"/>
      <c r="EM59" s="217"/>
      <c r="EN59" s="217"/>
      <c r="EO59" s="217"/>
      <c r="EP59" s="218"/>
    </row>
    <row r="60" spans="2:150" s="520" customFormat="1" ht="15">
      <c r="B60" s="310"/>
      <c r="C60" s="989">
        <f t="shared" si="50"/>
        <v>9</v>
      </c>
      <c r="D60" s="168"/>
      <c r="E60" s="316"/>
      <c r="F60" s="255" t="s">
        <v>1879</v>
      </c>
      <c r="G60" s="316">
        <f t="shared" si="2"/>
        <v>0</v>
      </c>
      <c r="H60" s="77"/>
      <c r="I60" s="316"/>
      <c r="J60" s="77"/>
      <c r="K60" s="316"/>
      <c r="L60" s="37" t="s">
        <v>428</v>
      </c>
      <c r="M60" s="318"/>
      <c r="N60" s="331">
        <f t="shared" si="51"/>
        <v>0</v>
      </c>
      <c r="O60" s="318"/>
      <c r="P60" s="319">
        <f t="shared" si="3"/>
        <v>0</v>
      </c>
      <c r="Q60" s="37" t="s">
        <v>411</v>
      </c>
      <c r="R60" s="37" t="s">
        <v>3</v>
      </c>
      <c r="S60" s="150">
        <f t="shared" si="4"/>
        <v>1.9221853757639424</v>
      </c>
      <c r="T60" s="156">
        <f t="shared" si="5"/>
        <v>8904.769113128099</v>
      </c>
      <c r="U60" s="351">
        <f t="shared" si="6"/>
        <v>0</v>
      </c>
      <c r="V60" s="351">
        <f t="shared" si="7"/>
        <v>0</v>
      </c>
      <c r="W60" s="133">
        <f t="shared" si="8"/>
        <v>1</v>
      </c>
      <c r="X60" s="203"/>
      <c r="Y60" s="200">
        <f t="shared" si="52"/>
        <v>1</v>
      </c>
      <c r="Z60" s="318"/>
      <c r="AA60" s="319">
        <f t="shared" si="9"/>
        <v>0</v>
      </c>
      <c r="AB60" s="37" t="s">
        <v>125</v>
      </c>
      <c r="AC60" s="37" t="s">
        <v>349</v>
      </c>
      <c r="AD60" s="103">
        <f t="shared" si="10"/>
        <v>6.2664411871606829</v>
      </c>
      <c r="AE60" s="351">
        <f t="shared" si="11"/>
        <v>0</v>
      </c>
      <c r="AF60" s="316">
        <f t="shared" si="12"/>
        <v>0</v>
      </c>
      <c r="AG60" s="828">
        <f t="shared" si="13"/>
        <v>0.6</v>
      </c>
      <c r="AH60" s="136"/>
      <c r="AI60" s="139">
        <f t="shared" si="14"/>
        <v>0.6</v>
      </c>
      <c r="AJ60" s="318"/>
      <c r="AK60" s="319">
        <f t="shared" si="61"/>
        <v>0</v>
      </c>
      <c r="AL60" s="63">
        <f>Subrates!$C$97</f>
        <v>4.7138306819209967</v>
      </c>
      <c r="AM60" s="157">
        <f t="shared" si="15"/>
        <v>0</v>
      </c>
      <c r="AN60" s="37" t="s">
        <v>125</v>
      </c>
      <c r="AO60" s="37" t="s">
        <v>349</v>
      </c>
      <c r="AP60" s="103">
        <f t="shared" si="16"/>
        <v>6.2664411871606829</v>
      </c>
      <c r="AQ60" s="157">
        <f t="shared" si="17"/>
        <v>0</v>
      </c>
      <c r="AR60" s="37" t="s">
        <v>411</v>
      </c>
      <c r="AS60" s="47" t="s">
        <v>3</v>
      </c>
      <c r="AT60" s="150">
        <f t="shared" si="18"/>
        <v>1.9221853757639424</v>
      </c>
      <c r="AU60" s="157">
        <f t="shared" si="19"/>
        <v>0</v>
      </c>
      <c r="AV60" s="347">
        <f t="shared" si="53"/>
        <v>0</v>
      </c>
      <c r="AW60" s="316">
        <f t="shared" si="20"/>
        <v>0</v>
      </c>
      <c r="AX60" s="828">
        <f t="shared" si="21"/>
        <v>0.5</v>
      </c>
      <c r="AY60" s="136"/>
      <c r="AZ60" s="139">
        <f t="shared" si="22"/>
        <v>0.5</v>
      </c>
      <c r="BA60" s="318"/>
      <c r="BB60" s="319">
        <f t="shared" si="54"/>
        <v>0</v>
      </c>
      <c r="BC60" s="63">
        <f>IF(BE60=Local,Subrates!$C$98,Subrates!$C$99)</f>
        <v>8.0873484007548591</v>
      </c>
      <c r="BD60" s="157">
        <f t="shared" si="23"/>
        <v>0</v>
      </c>
      <c r="BE60" s="149" t="s">
        <v>2026</v>
      </c>
      <c r="BF60" s="48" t="s">
        <v>485</v>
      </c>
      <c r="BG60" s="63">
        <f>IF(BE60=Local,0,VLOOKUP(BF60,Long_distance_values_subs,Subrates!$C$5,FALSE))</f>
        <v>0</v>
      </c>
      <c r="BH60" s="63">
        <f>IF(BE60=Local,0,Subrates!$D$121)</f>
        <v>0</v>
      </c>
      <c r="BI60" s="207"/>
      <c r="BJ60" s="157">
        <f t="shared" si="55"/>
        <v>0</v>
      </c>
      <c r="BK60" s="347">
        <f t="shared" si="56"/>
        <v>0</v>
      </c>
      <c r="BL60" s="316">
        <f t="shared" si="24"/>
        <v>0</v>
      </c>
      <c r="BM60" s="828">
        <f t="shared" si="25"/>
        <v>1.5</v>
      </c>
      <c r="BN60" s="136"/>
      <c r="BO60" s="139">
        <f t="shared" si="26"/>
        <v>1.5</v>
      </c>
      <c r="BP60" s="318"/>
      <c r="BQ60" s="319">
        <f t="shared" si="27"/>
        <v>0</v>
      </c>
      <c r="BR60" s="37" t="s">
        <v>125</v>
      </c>
      <c r="BS60" s="37" t="s">
        <v>349</v>
      </c>
      <c r="BT60" s="103">
        <f t="shared" si="28"/>
        <v>6.2664411871606829</v>
      </c>
      <c r="BU60" s="408">
        <f t="shared" si="29"/>
        <v>0</v>
      </c>
      <c r="BV60" s="37" t="s">
        <v>411</v>
      </c>
      <c r="BW60" s="37" t="s">
        <v>3</v>
      </c>
      <c r="BX60" s="150">
        <f t="shared" si="30"/>
        <v>1.9221853757639424</v>
      </c>
      <c r="BY60" s="408">
        <f t="shared" si="31"/>
        <v>0</v>
      </c>
      <c r="BZ60" s="351">
        <f t="shared" si="32"/>
        <v>0</v>
      </c>
      <c r="CA60" s="318"/>
      <c r="CB60" s="63">
        <f>Subrates!$C$94</f>
        <v>2.2000000000000002</v>
      </c>
      <c r="CC60" s="318"/>
      <c r="CD60" s="63">
        <f>Subrates!$C$95</f>
        <v>13.200000000000001</v>
      </c>
      <c r="CE60" s="318"/>
      <c r="CF60" s="63">
        <f>Subrates!$C$96</f>
        <v>14.3</v>
      </c>
      <c r="CG60" s="351">
        <f t="shared" si="33"/>
        <v>0</v>
      </c>
      <c r="CH60" s="316"/>
      <c r="CI60" s="406">
        <f>Subrates!$C$106</f>
        <v>21234.52910306484</v>
      </c>
      <c r="CJ60" s="351">
        <f t="shared" si="34"/>
        <v>0</v>
      </c>
      <c r="CK60" s="63">
        <f>Subrates!$C$105</f>
        <v>2885.2856380177936</v>
      </c>
      <c r="CL60" s="407">
        <f t="shared" si="35"/>
        <v>0</v>
      </c>
      <c r="CM60" s="828">
        <f t="shared" si="36"/>
        <v>0.15</v>
      </c>
      <c r="CN60" s="73"/>
      <c r="CO60" s="318"/>
      <c r="CP60" s="331">
        <f t="shared" si="37"/>
        <v>0</v>
      </c>
      <c r="CQ60" s="37" t="s">
        <v>125</v>
      </c>
      <c r="CR60" s="383" t="s">
        <v>348</v>
      </c>
      <c r="CS60" s="103">
        <f t="shared" si="38"/>
        <v>4.8064250364478198</v>
      </c>
      <c r="CT60" s="347">
        <f t="shared" si="39"/>
        <v>0</v>
      </c>
      <c r="CU60" s="149" t="s">
        <v>2026</v>
      </c>
      <c r="CV60" s="48" t="s">
        <v>485</v>
      </c>
      <c r="CW60" s="103">
        <f>IF(CU60=Local,0,VLOOKUP(CV60,Long_distance_values_subs,Subrates!$C$5,FALSE))</f>
        <v>0</v>
      </c>
      <c r="CX60" s="63">
        <f>IF(CU60=Local,0,Subrates!$D$122)</f>
        <v>0</v>
      </c>
      <c r="CY60" s="207"/>
      <c r="CZ60" s="205">
        <f>IF(CY60="",CP60*VLOOKUP(CV60,Long_distance_values_subs,Subrates!$H$5,FALSE)*CW60+CP60*CX60,CP60*CY60)</f>
        <v>0</v>
      </c>
      <c r="DA60" s="347">
        <f t="shared" si="40"/>
        <v>0</v>
      </c>
      <c r="DB60" s="318"/>
      <c r="DC60" s="195" t="s">
        <v>48</v>
      </c>
      <c r="DD60" s="1096" t="str">
        <f>IF(DC60=Lists!$B$18,"N/A",VLOOKUP(DC60,Lists!$B$18:$D$26,Lists!$C$3,FALSE))</f>
        <v>N/A</v>
      </c>
      <c r="DE60" s="63">
        <f>IF(DC60=Lists!$B$18,0,VLOOKUP(DD60,Amend_TOV,TOV!$F$1,FALSE))</f>
        <v>0</v>
      </c>
      <c r="DF60" s="117"/>
      <c r="DG60" s="318"/>
      <c r="DH60" s="195" t="s">
        <v>48</v>
      </c>
      <c r="DI60" s="1096" t="str">
        <f>IF(DH60=Lists!$B$18,"N/A",VLOOKUP(DH60,Lists!$B$18:$D$26,Lists!$C$3,FALSE))</f>
        <v>N/A</v>
      </c>
      <c r="DJ60" s="63">
        <f>IF(DH60=Lists!$B$18,0,VLOOKUP(DI60,Amend_TOV,TOV!$F$1,FALSE))</f>
        <v>0</v>
      </c>
      <c r="DK60" s="117"/>
      <c r="DL60" s="318"/>
      <c r="DM60" s="195" t="s">
        <v>48</v>
      </c>
      <c r="DN60" s="1096" t="str">
        <f>IF(DM60=Lists!$B$18,"N/A",VLOOKUP(DM60,Lists!$B$18:$D$26,Lists!$C$3,FALSE))</f>
        <v>N/A</v>
      </c>
      <c r="DO60" s="63">
        <f>IF(DM60=Lists!$B$18,0,VLOOKUP(DN60,Amend_TOV,TOV!$F$1,FALSE))</f>
        <v>0</v>
      </c>
      <c r="DP60" s="117"/>
      <c r="DQ60" s="351">
        <f t="shared" si="41"/>
        <v>0</v>
      </c>
      <c r="DR60" s="316">
        <f t="shared" si="42"/>
        <v>0</v>
      </c>
      <c r="DS60" s="208">
        <v>1</v>
      </c>
      <c r="DT60" s="208"/>
      <c r="DU60" s="67">
        <f t="shared" si="43"/>
        <v>0</v>
      </c>
      <c r="DV60" s="210" t="str">
        <f t="shared" si="57"/>
        <v>No Alert</v>
      </c>
      <c r="DW60" s="351">
        <f t="shared" si="44"/>
        <v>0</v>
      </c>
      <c r="DX60" s="351">
        <f t="shared" si="45"/>
        <v>0</v>
      </c>
      <c r="DY60" s="1137">
        <f t="shared" si="46"/>
        <v>0</v>
      </c>
      <c r="DZ60" s="1138"/>
      <c r="EA60" s="351">
        <f t="shared" si="58"/>
        <v>0</v>
      </c>
      <c r="EB60" s="63">
        <f t="shared" si="47"/>
        <v>2850</v>
      </c>
      <c r="EC60" s="117"/>
      <c r="ED60" s="351">
        <f t="shared" si="48"/>
        <v>0</v>
      </c>
      <c r="EE60" s="159"/>
      <c r="EF60" s="111">
        <f t="shared" si="59"/>
        <v>0</v>
      </c>
      <c r="EG60" s="1097">
        <f t="shared" si="49"/>
        <v>0</v>
      </c>
      <c r="EH60" s="803">
        <f t="shared" si="60"/>
        <v>0</v>
      </c>
      <c r="EI60" s="215"/>
      <c r="EJ60" s="217"/>
      <c r="EK60" s="217"/>
      <c r="EL60" s="217"/>
      <c r="EM60" s="217"/>
      <c r="EN60" s="217"/>
      <c r="EO60" s="217"/>
      <c r="EP60" s="218"/>
    </row>
    <row r="61" spans="2:150" s="520" customFormat="1" ht="15">
      <c r="B61" s="310"/>
      <c r="C61" s="989">
        <f t="shared" si="50"/>
        <v>10</v>
      </c>
      <c r="D61" s="168"/>
      <c r="E61" s="316"/>
      <c r="F61" s="255" t="s">
        <v>1879</v>
      </c>
      <c r="G61" s="316">
        <f t="shared" si="2"/>
        <v>0</v>
      </c>
      <c r="H61" s="77"/>
      <c r="I61" s="316"/>
      <c r="J61" s="77"/>
      <c r="K61" s="316"/>
      <c r="L61" s="37" t="s">
        <v>428</v>
      </c>
      <c r="M61" s="318"/>
      <c r="N61" s="331">
        <f t="shared" si="51"/>
        <v>0</v>
      </c>
      <c r="O61" s="318"/>
      <c r="P61" s="319">
        <f t="shared" si="3"/>
        <v>0</v>
      </c>
      <c r="Q61" s="37" t="s">
        <v>411</v>
      </c>
      <c r="R61" s="37" t="s">
        <v>3</v>
      </c>
      <c r="S61" s="150">
        <f t="shared" si="4"/>
        <v>1.9221853757639424</v>
      </c>
      <c r="T61" s="156">
        <f t="shared" si="5"/>
        <v>8904.769113128099</v>
      </c>
      <c r="U61" s="351">
        <f t="shared" si="6"/>
        <v>0</v>
      </c>
      <c r="V61" s="351">
        <f t="shared" si="7"/>
        <v>0</v>
      </c>
      <c r="W61" s="133">
        <f t="shared" si="8"/>
        <v>1</v>
      </c>
      <c r="X61" s="203"/>
      <c r="Y61" s="200">
        <f t="shared" si="52"/>
        <v>1</v>
      </c>
      <c r="Z61" s="318"/>
      <c r="AA61" s="319">
        <f t="shared" si="9"/>
        <v>0</v>
      </c>
      <c r="AB61" s="37" t="s">
        <v>125</v>
      </c>
      <c r="AC61" s="37" t="s">
        <v>349</v>
      </c>
      <c r="AD61" s="103">
        <f t="shared" si="10"/>
        <v>6.2664411871606829</v>
      </c>
      <c r="AE61" s="351">
        <f t="shared" si="11"/>
        <v>0</v>
      </c>
      <c r="AF61" s="316">
        <f t="shared" si="12"/>
        <v>0</v>
      </c>
      <c r="AG61" s="828">
        <f t="shared" si="13"/>
        <v>0.6</v>
      </c>
      <c r="AH61" s="136"/>
      <c r="AI61" s="139">
        <f t="shared" si="14"/>
        <v>0.6</v>
      </c>
      <c r="AJ61" s="318"/>
      <c r="AK61" s="319">
        <f t="shared" si="61"/>
        <v>0</v>
      </c>
      <c r="AL61" s="63">
        <f>Subrates!$C$97</f>
        <v>4.7138306819209967</v>
      </c>
      <c r="AM61" s="157">
        <f t="shared" si="15"/>
        <v>0</v>
      </c>
      <c r="AN61" s="37" t="s">
        <v>125</v>
      </c>
      <c r="AO61" s="37" t="s">
        <v>349</v>
      </c>
      <c r="AP61" s="103">
        <f t="shared" si="16"/>
        <v>6.2664411871606829</v>
      </c>
      <c r="AQ61" s="157">
        <f t="shared" si="17"/>
        <v>0</v>
      </c>
      <c r="AR61" s="37" t="s">
        <v>411</v>
      </c>
      <c r="AS61" s="47" t="s">
        <v>3</v>
      </c>
      <c r="AT61" s="150">
        <f t="shared" si="18"/>
        <v>1.9221853757639424</v>
      </c>
      <c r="AU61" s="157">
        <f t="shared" si="19"/>
        <v>0</v>
      </c>
      <c r="AV61" s="347">
        <f t="shared" si="53"/>
        <v>0</v>
      </c>
      <c r="AW61" s="316">
        <f t="shared" si="20"/>
        <v>0</v>
      </c>
      <c r="AX61" s="828">
        <f t="shared" si="21"/>
        <v>0.5</v>
      </c>
      <c r="AY61" s="136"/>
      <c r="AZ61" s="139">
        <f t="shared" si="22"/>
        <v>0.5</v>
      </c>
      <c r="BA61" s="318"/>
      <c r="BB61" s="319">
        <f t="shared" si="54"/>
        <v>0</v>
      </c>
      <c r="BC61" s="63">
        <f>IF(BE61=Local,Subrates!$C$98,Subrates!$C$99)</f>
        <v>8.0873484007548591</v>
      </c>
      <c r="BD61" s="157">
        <f t="shared" si="23"/>
        <v>0</v>
      </c>
      <c r="BE61" s="149" t="s">
        <v>2026</v>
      </c>
      <c r="BF61" s="48" t="s">
        <v>485</v>
      </c>
      <c r="BG61" s="63">
        <f>IF(BE61=Local,0,VLOOKUP(BF61,Long_distance_values_subs,Subrates!$C$5,FALSE))</f>
        <v>0</v>
      </c>
      <c r="BH61" s="63">
        <f>IF(BE61=Local,0,Subrates!$D$121)</f>
        <v>0</v>
      </c>
      <c r="BI61" s="207"/>
      <c r="BJ61" s="157">
        <f t="shared" si="55"/>
        <v>0</v>
      </c>
      <c r="BK61" s="347">
        <f t="shared" si="56"/>
        <v>0</v>
      </c>
      <c r="BL61" s="316">
        <f t="shared" si="24"/>
        <v>0</v>
      </c>
      <c r="BM61" s="828">
        <f t="shared" si="25"/>
        <v>1.5</v>
      </c>
      <c r="BN61" s="136"/>
      <c r="BO61" s="139">
        <f t="shared" si="26"/>
        <v>1.5</v>
      </c>
      <c r="BP61" s="318"/>
      <c r="BQ61" s="319">
        <f t="shared" si="27"/>
        <v>0</v>
      </c>
      <c r="BR61" s="37" t="s">
        <v>125</v>
      </c>
      <c r="BS61" s="37" t="s">
        <v>349</v>
      </c>
      <c r="BT61" s="103">
        <f t="shared" si="28"/>
        <v>6.2664411871606829</v>
      </c>
      <c r="BU61" s="408">
        <f t="shared" si="29"/>
        <v>0</v>
      </c>
      <c r="BV61" s="37" t="s">
        <v>411</v>
      </c>
      <c r="BW61" s="37" t="s">
        <v>3</v>
      </c>
      <c r="BX61" s="150">
        <f t="shared" si="30"/>
        <v>1.9221853757639424</v>
      </c>
      <c r="BY61" s="408">
        <f t="shared" si="31"/>
        <v>0</v>
      </c>
      <c r="BZ61" s="351">
        <f t="shared" si="32"/>
        <v>0</v>
      </c>
      <c r="CA61" s="318"/>
      <c r="CB61" s="63">
        <f>Subrates!$C$94</f>
        <v>2.2000000000000002</v>
      </c>
      <c r="CC61" s="318"/>
      <c r="CD61" s="63">
        <f>Subrates!$C$95</f>
        <v>13.200000000000001</v>
      </c>
      <c r="CE61" s="318"/>
      <c r="CF61" s="63">
        <f>Subrates!$C$96</f>
        <v>14.3</v>
      </c>
      <c r="CG61" s="351">
        <f t="shared" si="33"/>
        <v>0</v>
      </c>
      <c r="CH61" s="316"/>
      <c r="CI61" s="406">
        <f>Subrates!$C$106</f>
        <v>21234.52910306484</v>
      </c>
      <c r="CJ61" s="351">
        <f t="shared" si="34"/>
        <v>0</v>
      </c>
      <c r="CK61" s="63">
        <f>Subrates!$C$105</f>
        <v>2885.2856380177936</v>
      </c>
      <c r="CL61" s="407">
        <f t="shared" si="35"/>
        <v>0</v>
      </c>
      <c r="CM61" s="828">
        <f t="shared" si="36"/>
        <v>0.15</v>
      </c>
      <c r="CN61" s="73"/>
      <c r="CO61" s="318"/>
      <c r="CP61" s="331">
        <f t="shared" si="37"/>
        <v>0</v>
      </c>
      <c r="CQ61" s="37" t="s">
        <v>125</v>
      </c>
      <c r="CR61" s="383" t="s">
        <v>348</v>
      </c>
      <c r="CS61" s="103">
        <f t="shared" si="38"/>
        <v>4.8064250364478198</v>
      </c>
      <c r="CT61" s="347">
        <f t="shared" si="39"/>
        <v>0</v>
      </c>
      <c r="CU61" s="149" t="s">
        <v>2026</v>
      </c>
      <c r="CV61" s="48" t="s">
        <v>485</v>
      </c>
      <c r="CW61" s="103">
        <f>IF(CU61=Local,0,VLOOKUP(CV61,Long_distance_values_subs,Subrates!$C$5,FALSE))</f>
        <v>0</v>
      </c>
      <c r="CX61" s="63">
        <f>IF(CU61=Local,0,Subrates!$D$122)</f>
        <v>0</v>
      </c>
      <c r="CY61" s="207"/>
      <c r="CZ61" s="205">
        <f>IF(CY61="",CP61*VLOOKUP(CV61,Long_distance_values_subs,Subrates!$H$5,FALSE)*CW61+CP61*CX61,CP61*CY61)</f>
        <v>0</v>
      </c>
      <c r="DA61" s="347">
        <f t="shared" si="40"/>
        <v>0</v>
      </c>
      <c r="DB61" s="318"/>
      <c r="DC61" s="195" t="s">
        <v>48</v>
      </c>
      <c r="DD61" s="1096" t="str">
        <f>IF(DC61=Lists!$B$18,"N/A",VLOOKUP(DC61,Lists!$B$18:$D$26,Lists!$C$3,FALSE))</f>
        <v>N/A</v>
      </c>
      <c r="DE61" s="63">
        <f>IF(DC61=Lists!$B$18,0,VLOOKUP(DD61,Amend_TOV,TOV!$F$1,FALSE))</f>
        <v>0</v>
      </c>
      <c r="DF61" s="117"/>
      <c r="DG61" s="318"/>
      <c r="DH61" s="195" t="s">
        <v>48</v>
      </c>
      <c r="DI61" s="1096" t="str">
        <f>IF(DH61=Lists!$B$18,"N/A",VLOOKUP(DH61,Lists!$B$18:$D$26,Lists!$C$3,FALSE))</f>
        <v>N/A</v>
      </c>
      <c r="DJ61" s="63">
        <f>IF(DH61=Lists!$B$18,0,VLOOKUP(DI61,Amend_TOV,TOV!$F$1,FALSE))</f>
        <v>0</v>
      </c>
      <c r="DK61" s="117"/>
      <c r="DL61" s="318"/>
      <c r="DM61" s="195" t="s">
        <v>48</v>
      </c>
      <c r="DN61" s="1096" t="str">
        <f>IF(DM61=Lists!$B$18,"N/A",VLOOKUP(DM61,Lists!$B$18:$D$26,Lists!$C$3,FALSE))</f>
        <v>N/A</v>
      </c>
      <c r="DO61" s="63">
        <f>IF(DM61=Lists!$B$18,0,VLOOKUP(DN61,Amend_TOV,TOV!$F$1,FALSE))</f>
        <v>0</v>
      </c>
      <c r="DP61" s="117"/>
      <c r="DQ61" s="351">
        <f t="shared" si="41"/>
        <v>0</v>
      </c>
      <c r="DR61" s="316">
        <f t="shared" si="42"/>
        <v>0</v>
      </c>
      <c r="DS61" s="208">
        <v>1</v>
      </c>
      <c r="DT61" s="208"/>
      <c r="DU61" s="67">
        <f t="shared" si="43"/>
        <v>0</v>
      </c>
      <c r="DV61" s="210" t="str">
        <f t="shared" si="57"/>
        <v>No Alert</v>
      </c>
      <c r="DW61" s="351">
        <f t="shared" si="44"/>
        <v>0</v>
      </c>
      <c r="DX61" s="351">
        <f t="shared" si="45"/>
        <v>0</v>
      </c>
      <c r="DY61" s="1137">
        <f t="shared" si="46"/>
        <v>0</v>
      </c>
      <c r="DZ61" s="1138"/>
      <c r="EA61" s="351">
        <f t="shared" si="58"/>
        <v>0</v>
      </c>
      <c r="EB61" s="63">
        <f t="shared" si="47"/>
        <v>2850</v>
      </c>
      <c r="EC61" s="117"/>
      <c r="ED61" s="351">
        <f t="shared" si="48"/>
        <v>0</v>
      </c>
      <c r="EE61" s="159"/>
      <c r="EF61" s="111">
        <f t="shared" si="59"/>
        <v>0</v>
      </c>
      <c r="EG61" s="1097">
        <f t="shared" si="49"/>
        <v>0</v>
      </c>
      <c r="EH61" s="803">
        <f t="shared" si="60"/>
        <v>0</v>
      </c>
      <c r="EI61" s="215"/>
      <c r="EJ61" s="217"/>
      <c r="EK61" s="217"/>
      <c r="EL61" s="217"/>
      <c r="EM61" s="217"/>
      <c r="EN61" s="217"/>
      <c r="EO61" s="217"/>
      <c r="EP61" s="218"/>
    </row>
    <row r="62" spans="2:150" s="520" customFormat="1" ht="15">
      <c r="B62" s="310"/>
      <c r="C62" s="989">
        <f t="shared" si="50"/>
        <v>11</v>
      </c>
      <c r="D62" s="168"/>
      <c r="E62" s="316"/>
      <c r="F62" s="255" t="s">
        <v>1879</v>
      </c>
      <c r="G62" s="316">
        <f t="shared" si="2"/>
        <v>0</v>
      </c>
      <c r="H62" s="77"/>
      <c r="I62" s="316"/>
      <c r="J62" s="77"/>
      <c r="K62" s="316"/>
      <c r="L62" s="37" t="s">
        <v>428</v>
      </c>
      <c r="M62" s="318"/>
      <c r="N62" s="331">
        <f t="shared" si="51"/>
        <v>0</v>
      </c>
      <c r="O62" s="318"/>
      <c r="P62" s="319">
        <f t="shared" si="3"/>
        <v>0</v>
      </c>
      <c r="Q62" s="37" t="s">
        <v>411</v>
      </c>
      <c r="R62" s="37" t="s">
        <v>3</v>
      </c>
      <c r="S62" s="150">
        <f t="shared" si="4"/>
        <v>1.9221853757639424</v>
      </c>
      <c r="T62" s="156">
        <f t="shared" si="5"/>
        <v>8904.769113128099</v>
      </c>
      <c r="U62" s="351">
        <f t="shared" si="6"/>
        <v>0</v>
      </c>
      <c r="V62" s="351">
        <f t="shared" si="7"/>
        <v>0</v>
      </c>
      <c r="W62" s="133">
        <f t="shared" si="8"/>
        <v>1</v>
      </c>
      <c r="X62" s="203"/>
      <c r="Y62" s="200">
        <f t="shared" si="52"/>
        <v>1</v>
      </c>
      <c r="Z62" s="318"/>
      <c r="AA62" s="319">
        <f t="shared" si="9"/>
        <v>0</v>
      </c>
      <c r="AB62" s="37" t="s">
        <v>125</v>
      </c>
      <c r="AC62" s="37" t="s">
        <v>349</v>
      </c>
      <c r="AD62" s="103">
        <f t="shared" si="10"/>
        <v>6.2664411871606829</v>
      </c>
      <c r="AE62" s="351">
        <f t="shared" si="11"/>
        <v>0</v>
      </c>
      <c r="AF62" s="316">
        <f t="shared" si="12"/>
        <v>0</v>
      </c>
      <c r="AG62" s="828">
        <f t="shared" si="13"/>
        <v>0.6</v>
      </c>
      <c r="AH62" s="136"/>
      <c r="AI62" s="139">
        <f t="shared" si="14"/>
        <v>0.6</v>
      </c>
      <c r="AJ62" s="318"/>
      <c r="AK62" s="319">
        <f t="shared" si="61"/>
        <v>0</v>
      </c>
      <c r="AL62" s="63">
        <f>Subrates!$C$97</f>
        <v>4.7138306819209967</v>
      </c>
      <c r="AM62" s="157">
        <f t="shared" si="15"/>
        <v>0</v>
      </c>
      <c r="AN62" s="37" t="s">
        <v>125</v>
      </c>
      <c r="AO62" s="37" t="s">
        <v>349</v>
      </c>
      <c r="AP62" s="103">
        <f t="shared" si="16"/>
        <v>6.2664411871606829</v>
      </c>
      <c r="AQ62" s="157">
        <f t="shared" si="17"/>
        <v>0</v>
      </c>
      <c r="AR62" s="37" t="s">
        <v>411</v>
      </c>
      <c r="AS62" s="47" t="s">
        <v>3</v>
      </c>
      <c r="AT62" s="150">
        <f t="shared" si="18"/>
        <v>1.9221853757639424</v>
      </c>
      <c r="AU62" s="157">
        <f t="shared" si="19"/>
        <v>0</v>
      </c>
      <c r="AV62" s="347">
        <f t="shared" si="53"/>
        <v>0</v>
      </c>
      <c r="AW62" s="316">
        <f t="shared" si="20"/>
        <v>0</v>
      </c>
      <c r="AX62" s="828">
        <f t="shared" si="21"/>
        <v>0.5</v>
      </c>
      <c r="AY62" s="136"/>
      <c r="AZ62" s="139">
        <f t="shared" si="22"/>
        <v>0.5</v>
      </c>
      <c r="BA62" s="318"/>
      <c r="BB62" s="319">
        <f t="shared" si="54"/>
        <v>0</v>
      </c>
      <c r="BC62" s="63">
        <f>IF(BE62=Local,Subrates!$C$98,Subrates!$C$99)</f>
        <v>8.0873484007548591</v>
      </c>
      <c r="BD62" s="157">
        <f t="shared" si="23"/>
        <v>0</v>
      </c>
      <c r="BE62" s="149" t="s">
        <v>2026</v>
      </c>
      <c r="BF62" s="48" t="s">
        <v>485</v>
      </c>
      <c r="BG62" s="63">
        <f>IF(BE62=Local,0,VLOOKUP(BF62,Long_distance_values_subs,Subrates!$C$5,FALSE))</f>
        <v>0</v>
      </c>
      <c r="BH62" s="63">
        <f>IF(BE62=Local,0,Subrates!$D$121)</f>
        <v>0</v>
      </c>
      <c r="BI62" s="207"/>
      <c r="BJ62" s="157">
        <f t="shared" si="55"/>
        <v>0</v>
      </c>
      <c r="BK62" s="347">
        <f t="shared" si="56"/>
        <v>0</v>
      </c>
      <c r="BL62" s="316">
        <f t="shared" si="24"/>
        <v>0</v>
      </c>
      <c r="BM62" s="828">
        <f t="shared" si="25"/>
        <v>1.5</v>
      </c>
      <c r="BN62" s="136"/>
      <c r="BO62" s="139">
        <f t="shared" si="26"/>
        <v>1.5</v>
      </c>
      <c r="BP62" s="318"/>
      <c r="BQ62" s="319">
        <f t="shared" si="27"/>
        <v>0</v>
      </c>
      <c r="BR62" s="37" t="s">
        <v>125</v>
      </c>
      <c r="BS62" s="37" t="s">
        <v>349</v>
      </c>
      <c r="BT62" s="103">
        <f t="shared" si="28"/>
        <v>6.2664411871606829</v>
      </c>
      <c r="BU62" s="408">
        <f t="shared" si="29"/>
        <v>0</v>
      </c>
      <c r="BV62" s="37" t="s">
        <v>411</v>
      </c>
      <c r="BW62" s="37" t="s">
        <v>3</v>
      </c>
      <c r="BX62" s="150">
        <f t="shared" si="30"/>
        <v>1.9221853757639424</v>
      </c>
      <c r="BY62" s="408">
        <f t="shared" si="31"/>
        <v>0</v>
      </c>
      <c r="BZ62" s="351">
        <f t="shared" si="32"/>
        <v>0</v>
      </c>
      <c r="CA62" s="318"/>
      <c r="CB62" s="63">
        <f>Subrates!$C$94</f>
        <v>2.2000000000000002</v>
      </c>
      <c r="CC62" s="318"/>
      <c r="CD62" s="63">
        <f>Subrates!$C$95</f>
        <v>13.200000000000001</v>
      </c>
      <c r="CE62" s="318"/>
      <c r="CF62" s="63">
        <f>Subrates!$C$96</f>
        <v>14.3</v>
      </c>
      <c r="CG62" s="351">
        <f t="shared" si="33"/>
        <v>0</v>
      </c>
      <c r="CH62" s="316"/>
      <c r="CI62" s="406">
        <f>Subrates!$C$106</f>
        <v>21234.52910306484</v>
      </c>
      <c r="CJ62" s="351">
        <f t="shared" si="34"/>
        <v>0</v>
      </c>
      <c r="CK62" s="63">
        <f>Subrates!$C$105</f>
        <v>2885.2856380177936</v>
      </c>
      <c r="CL62" s="407">
        <f t="shared" si="35"/>
        <v>0</v>
      </c>
      <c r="CM62" s="828">
        <f t="shared" si="36"/>
        <v>0.15</v>
      </c>
      <c r="CN62" s="73"/>
      <c r="CO62" s="318"/>
      <c r="CP62" s="331">
        <f t="shared" si="37"/>
        <v>0</v>
      </c>
      <c r="CQ62" s="37" t="s">
        <v>125</v>
      </c>
      <c r="CR62" s="383" t="s">
        <v>348</v>
      </c>
      <c r="CS62" s="103">
        <f t="shared" si="38"/>
        <v>4.8064250364478198</v>
      </c>
      <c r="CT62" s="347">
        <f t="shared" si="39"/>
        <v>0</v>
      </c>
      <c r="CU62" s="149" t="s">
        <v>2026</v>
      </c>
      <c r="CV62" s="48" t="s">
        <v>485</v>
      </c>
      <c r="CW62" s="103">
        <f>IF(CU62=Local,0,VLOOKUP(CV62,Long_distance_values_subs,Subrates!$C$5,FALSE))</f>
        <v>0</v>
      </c>
      <c r="CX62" s="63">
        <f>IF(CU62=Local,0,Subrates!$D$122)</f>
        <v>0</v>
      </c>
      <c r="CY62" s="207"/>
      <c r="CZ62" s="205">
        <f>IF(CY62="",CP62*VLOOKUP(CV62,Long_distance_values_subs,Subrates!$H$5,FALSE)*CW62+CP62*CX62,CP62*CY62)</f>
        <v>0</v>
      </c>
      <c r="DA62" s="347">
        <f t="shared" si="40"/>
        <v>0</v>
      </c>
      <c r="DB62" s="318"/>
      <c r="DC62" s="195" t="s">
        <v>48</v>
      </c>
      <c r="DD62" s="1096" t="str">
        <f>IF(DC62=Lists!$B$18,"N/A",VLOOKUP(DC62,Lists!$B$18:$D$26,Lists!$C$3,FALSE))</f>
        <v>N/A</v>
      </c>
      <c r="DE62" s="63">
        <f>IF(DC62=Lists!$B$18,0,VLOOKUP(DD62,Amend_TOV,TOV!$F$1,FALSE))</f>
        <v>0</v>
      </c>
      <c r="DF62" s="117"/>
      <c r="DG62" s="318"/>
      <c r="DH62" s="195" t="s">
        <v>48</v>
      </c>
      <c r="DI62" s="1096" t="str">
        <f>IF(DH62=Lists!$B$18,"N/A",VLOOKUP(DH62,Lists!$B$18:$D$26,Lists!$C$3,FALSE))</f>
        <v>N/A</v>
      </c>
      <c r="DJ62" s="63">
        <f>IF(DH62=Lists!$B$18,0,VLOOKUP(DI62,Amend_TOV,TOV!$F$1,FALSE))</f>
        <v>0</v>
      </c>
      <c r="DK62" s="117"/>
      <c r="DL62" s="318"/>
      <c r="DM62" s="195" t="s">
        <v>48</v>
      </c>
      <c r="DN62" s="1096" t="str">
        <f>IF(DM62=Lists!$B$18,"N/A",VLOOKUP(DM62,Lists!$B$18:$D$26,Lists!$C$3,FALSE))</f>
        <v>N/A</v>
      </c>
      <c r="DO62" s="63">
        <f>IF(DM62=Lists!$B$18,0,VLOOKUP(DN62,Amend_TOV,TOV!$F$1,FALSE))</f>
        <v>0</v>
      </c>
      <c r="DP62" s="117"/>
      <c r="DQ62" s="351">
        <f t="shared" si="41"/>
        <v>0</v>
      </c>
      <c r="DR62" s="316">
        <f t="shared" si="42"/>
        <v>0</v>
      </c>
      <c r="DS62" s="208">
        <v>1</v>
      </c>
      <c r="DT62" s="208"/>
      <c r="DU62" s="67">
        <f t="shared" si="43"/>
        <v>0</v>
      </c>
      <c r="DV62" s="210" t="str">
        <f t="shared" si="57"/>
        <v>No Alert</v>
      </c>
      <c r="DW62" s="351">
        <f t="shared" si="44"/>
        <v>0</v>
      </c>
      <c r="DX62" s="351">
        <f t="shared" si="45"/>
        <v>0</v>
      </c>
      <c r="DY62" s="1137">
        <f t="shared" si="46"/>
        <v>0</v>
      </c>
      <c r="DZ62" s="1138"/>
      <c r="EA62" s="351">
        <f t="shared" si="58"/>
        <v>0</v>
      </c>
      <c r="EB62" s="63">
        <f t="shared" si="47"/>
        <v>2850</v>
      </c>
      <c r="EC62" s="117"/>
      <c r="ED62" s="351">
        <f t="shared" si="48"/>
        <v>0</v>
      </c>
      <c r="EE62" s="159"/>
      <c r="EF62" s="111">
        <f t="shared" si="59"/>
        <v>0</v>
      </c>
      <c r="EG62" s="1097">
        <f t="shared" si="49"/>
        <v>0</v>
      </c>
      <c r="EH62" s="803">
        <f t="shared" si="60"/>
        <v>0</v>
      </c>
      <c r="EI62" s="215"/>
      <c r="EJ62" s="217"/>
      <c r="EK62" s="217"/>
      <c r="EL62" s="217"/>
      <c r="EM62" s="217"/>
      <c r="EN62" s="217"/>
      <c r="EO62" s="217"/>
      <c r="EP62" s="218"/>
    </row>
    <row r="63" spans="2:150" s="520" customFormat="1" ht="15">
      <c r="B63" s="310"/>
      <c r="C63" s="989">
        <f t="shared" si="50"/>
        <v>12</v>
      </c>
      <c r="D63" s="168"/>
      <c r="E63" s="316"/>
      <c r="F63" s="255" t="s">
        <v>1879</v>
      </c>
      <c r="G63" s="316">
        <f t="shared" si="2"/>
        <v>0</v>
      </c>
      <c r="H63" s="77"/>
      <c r="I63" s="316"/>
      <c r="J63" s="77"/>
      <c r="K63" s="316"/>
      <c r="L63" s="37" t="s">
        <v>428</v>
      </c>
      <c r="M63" s="318"/>
      <c r="N63" s="331">
        <f t="shared" si="51"/>
        <v>0</v>
      </c>
      <c r="O63" s="318"/>
      <c r="P63" s="319">
        <f t="shared" si="3"/>
        <v>0</v>
      </c>
      <c r="Q63" s="37" t="s">
        <v>411</v>
      </c>
      <c r="R63" s="37" t="s">
        <v>3</v>
      </c>
      <c r="S63" s="150">
        <f t="shared" si="4"/>
        <v>1.9221853757639424</v>
      </c>
      <c r="T63" s="156">
        <f t="shared" si="5"/>
        <v>8904.769113128099</v>
      </c>
      <c r="U63" s="351">
        <f t="shared" si="6"/>
        <v>0</v>
      </c>
      <c r="V63" s="351">
        <f t="shared" si="7"/>
        <v>0</v>
      </c>
      <c r="W63" s="133">
        <f t="shared" si="8"/>
        <v>1</v>
      </c>
      <c r="X63" s="203"/>
      <c r="Y63" s="200">
        <f t="shared" si="52"/>
        <v>1</v>
      </c>
      <c r="Z63" s="318"/>
      <c r="AA63" s="319">
        <f t="shared" si="9"/>
        <v>0</v>
      </c>
      <c r="AB63" s="37" t="s">
        <v>125</v>
      </c>
      <c r="AC63" s="37" t="s">
        <v>349</v>
      </c>
      <c r="AD63" s="103">
        <f t="shared" si="10"/>
        <v>6.2664411871606829</v>
      </c>
      <c r="AE63" s="351">
        <f t="shared" si="11"/>
        <v>0</v>
      </c>
      <c r="AF63" s="316">
        <f t="shared" si="12"/>
        <v>0</v>
      </c>
      <c r="AG63" s="828">
        <f t="shared" si="13"/>
        <v>0.6</v>
      </c>
      <c r="AH63" s="136"/>
      <c r="AI63" s="139">
        <f t="shared" si="14"/>
        <v>0.6</v>
      </c>
      <c r="AJ63" s="318"/>
      <c r="AK63" s="319">
        <f t="shared" si="61"/>
        <v>0</v>
      </c>
      <c r="AL63" s="63">
        <f>Subrates!$C$97</f>
        <v>4.7138306819209967</v>
      </c>
      <c r="AM63" s="157">
        <f t="shared" si="15"/>
        <v>0</v>
      </c>
      <c r="AN63" s="37" t="s">
        <v>125</v>
      </c>
      <c r="AO63" s="37" t="s">
        <v>349</v>
      </c>
      <c r="AP63" s="103">
        <f t="shared" si="16"/>
        <v>6.2664411871606829</v>
      </c>
      <c r="AQ63" s="157">
        <f t="shared" si="17"/>
        <v>0</v>
      </c>
      <c r="AR63" s="37" t="s">
        <v>411</v>
      </c>
      <c r="AS63" s="47" t="s">
        <v>3</v>
      </c>
      <c r="AT63" s="150">
        <f t="shared" si="18"/>
        <v>1.9221853757639424</v>
      </c>
      <c r="AU63" s="157">
        <f t="shared" si="19"/>
        <v>0</v>
      </c>
      <c r="AV63" s="347">
        <f t="shared" si="53"/>
        <v>0</v>
      </c>
      <c r="AW63" s="316">
        <f t="shared" si="20"/>
        <v>0</v>
      </c>
      <c r="AX63" s="828">
        <f t="shared" si="21"/>
        <v>0.5</v>
      </c>
      <c r="AY63" s="136"/>
      <c r="AZ63" s="139">
        <f t="shared" si="22"/>
        <v>0.5</v>
      </c>
      <c r="BA63" s="318"/>
      <c r="BB63" s="319">
        <f t="shared" si="54"/>
        <v>0</v>
      </c>
      <c r="BC63" s="63">
        <f>IF(BE63=Local,Subrates!$C$98,Subrates!$C$99)</f>
        <v>8.0873484007548591</v>
      </c>
      <c r="BD63" s="157">
        <f t="shared" si="23"/>
        <v>0</v>
      </c>
      <c r="BE63" s="149" t="s">
        <v>2026</v>
      </c>
      <c r="BF63" s="48" t="s">
        <v>485</v>
      </c>
      <c r="BG63" s="63">
        <f>IF(BE63=Local,0,VLOOKUP(BF63,Long_distance_values_subs,Subrates!$C$5,FALSE))</f>
        <v>0</v>
      </c>
      <c r="BH63" s="63">
        <f>IF(BE63=Local,0,Subrates!$D$121)</f>
        <v>0</v>
      </c>
      <c r="BI63" s="207"/>
      <c r="BJ63" s="157">
        <f t="shared" si="55"/>
        <v>0</v>
      </c>
      <c r="BK63" s="347">
        <f t="shared" si="56"/>
        <v>0</v>
      </c>
      <c r="BL63" s="316">
        <f t="shared" si="24"/>
        <v>0</v>
      </c>
      <c r="BM63" s="828">
        <f t="shared" si="25"/>
        <v>1.5</v>
      </c>
      <c r="BN63" s="136"/>
      <c r="BO63" s="139">
        <f t="shared" si="26"/>
        <v>1.5</v>
      </c>
      <c r="BP63" s="318"/>
      <c r="BQ63" s="319">
        <f t="shared" si="27"/>
        <v>0</v>
      </c>
      <c r="BR63" s="37" t="s">
        <v>125</v>
      </c>
      <c r="BS63" s="37" t="s">
        <v>349</v>
      </c>
      <c r="BT63" s="103">
        <f t="shared" si="28"/>
        <v>6.2664411871606829</v>
      </c>
      <c r="BU63" s="408">
        <f t="shared" si="29"/>
        <v>0</v>
      </c>
      <c r="BV63" s="37" t="s">
        <v>411</v>
      </c>
      <c r="BW63" s="37" t="s">
        <v>3</v>
      </c>
      <c r="BX63" s="150">
        <f t="shared" si="30"/>
        <v>1.9221853757639424</v>
      </c>
      <c r="BY63" s="408">
        <f t="shared" si="31"/>
        <v>0</v>
      </c>
      <c r="BZ63" s="351">
        <f t="shared" si="32"/>
        <v>0</v>
      </c>
      <c r="CA63" s="318"/>
      <c r="CB63" s="63">
        <f>Subrates!$C$94</f>
        <v>2.2000000000000002</v>
      </c>
      <c r="CC63" s="318"/>
      <c r="CD63" s="63">
        <f>Subrates!$C$95</f>
        <v>13.200000000000001</v>
      </c>
      <c r="CE63" s="318"/>
      <c r="CF63" s="63">
        <f>Subrates!$C$96</f>
        <v>14.3</v>
      </c>
      <c r="CG63" s="351">
        <f t="shared" si="33"/>
        <v>0</v>
      </c>
      <c r="CH63" s="316"/>
      <c r="CI63" s="406">
        <f>Subrates!$C$106</f>
        <v>21234.52910306484</v>
      </c>
      <c r="CJ63" s="351">
        <f t="shared" si="34"/>
        <v>0</v>
      </c>
      <c r="CK63" s="63">
        <f>Subrates!$C$105</f>
        <v>2885.2856380177936</v>
      </c>
      <c r="CL63" s="407">
        <f t="shared" si="35"/>
        <v>0</v>
      </c>
      <c r="CM63" s="828">
        <f t="shared" si="36"/>
        <v>0.15</v>
      </c>
      <c r="CN63" s="73"/>
      <c r="CO63" s="318"/>
      <c r="CP63" s="331">
        <f t="shared" si="37"/>
        <v>0</v>
      </c>
      <c r="CQ63" s="37" t="s">
        <v>125</v>
      </c>
      <c r="CR63" s="383" t="s">
        <v>348</v>
      </c>
      <c r="CS63" s="103">
        <f t="shared" si="38"/>
        <v>4.8064250364478198</v>
      </c>
      <c r="CT63" s="347">
        <f t="shared" si="39"/>
        <v>0</v>
      </c>
      <c r="CU63" s="149" t="s">
        <v>2026</v>
      </c>
      <c r="CV63" s="48" t="s">
        <v>485</v>
      </c>
      <c r="CW63" s="103">
        <f>IF(CU63=Local,0,VLOOKUP(CV63,Long_distance_values_subs,Subrates!$C$5,FALSE))</f>
        <v>0</v>
      </c>
      <c r="CX63" s="63">
        <f>IF(CU63=Local,0,Subrates!$D$122)</f>
        <v>0</v>
      </c>
      <c r="CY63" s="207"/>
      <c r="CZ63" s="205">
        <f>IF(CY63="",CP63*VLOOKUP(CV63,Long_distance_values_subs,Subrates!$H$5,FALSE)*CW63+CP63*CX63,CP63*CY63)</f>
        <v>0</v>
      </c>
      <c r="DA63" s="347">
        <f t="shared" si="40"/>
        <v>0</v>
      </c>
      <c r="DB63" s="318"/>
      <c r="DC63" s="195" t="s">
        <v>48</v>
      </c>
      <c r="DD63" s="1096" t="str">
        <f>IF(DC63=Lists!$B$18,"N/A",VLOOKUP(DC63,Lists!$B$18:$D$26,Lists!$C$3,FALSE))</f>
        <v>N/A</v>
      </c>
      <c r="DE63" s="63">
        <f>IF(DC63=Lists!$B$18,0,VLOOKUP(DD63,Amend_TOV,TOV!$F$1,FALSE))</f>
        <v>0</v>
      </c>
      <c r="DF63" s="117"/>
      <c r="DG63" s="318"/>
      <c r="DH63" s="195" t="s">
        <v>48</v>
      </c>
      <c r="DI63" s="1096" t="str">
        <f>IF(DH63=Lists!$B$18,"N/A",VLOOKUP(DH63,Lists!$B$18:$D$26,Lists!$C$3,FALSE))</f>
        <v>N/A</v>
      </c>
      <c r="DJ63" s="63">
        <f>IF(DH63=Lists!$B$18,0,VLOOKUP(DI63,Amend_TOV,TOV!$F$1,FALSE))</f>
        <v>0</v>
      </c>
      <c r="DK63" s="117"/>
      <c r="DL63" s="318"/>
      <c r="DM63" s="195" t="s">
        <v>48</v>
      </c>
      <c r="DN63" s="1096" t="str">
        <f>IF(DM63=Lists!$B$18,"N/A",VLOOKUP(DM63,Lists!$B$18:$D$26,Lists!$C$3,FALSE))</f>
        <v>N/A</v>
      </c>
      <c r="DO63" s="63">
        <f>IF(DM63=Lists!$B$18,0,VLOOKUP(DN63,Amend_TOV,TOV!$F$1,FALSE))</f>
        <v>0</v>
      </c>
      <c r="DP63" s="117"/>
      <c r="DQ63" s="351">
        <f t="shared" si="41"/>
        <v>0</v>
      </c>
      <c r="DR63" s="316">
        <f t="shared" si="42"/>
        <v>0</v>
      </c>
      <c r="DS63" s="208">
        <v>1</v>
      </c>
      <c r="DT63" s="208"/>
      <c r="DU63" s="67">
        <f t="shared" si="43"/>
        <v>0</v>
      </c>
      <c r="DV63" s="210" t="str">
        <f t="shared" si="57"/>
        <v>No Alert</v>
      </c>
      <c r="DW63" s="351">
        <f t="shared" si="44"/>
        <v>0</v>
      </c>
      <c r="DX63" s="351">
        <f t="shared" si="45"/>
        <v>0</v>
      </c>
      <c r="DY63" s="1137">
        <f t="shared" si="46"/>
        <v>0</v>
      </c>
      <c r="DZ63" s="1138"/>
      <c r="EA63" s="351">
        <f t="shared" si="58"/>
        <v>0</v>
      </c>
      <c r="EB63" s="63">
        <f t="shared" si="47"/>
        <v>2850</v>
      </c>
      <c r="EC63" s="117"/>
      <c r="ED63" s="351">
        <f t="shared" si="48"/>
        <v>0</v>
      </c>
      <c r="EE63" s="159"/>
      <c r="EF63" s="111">
        <f t="shared" si="59"/>
        <v>0</v>
      </c>
      <c r="EG63" s="1097">
        <f t="shared" si="49"/>
        <v>0</v>
      </c>
      <c r="EH63" s="803">
        <f t="shared" si="60"/>
        <v>0</v>
      </c>
      <c r="EI63" s="215"/>
      <c r="EJ63" s="217"/>
      <c r="EK63" s="217"/>
      <c r="EL63" s="217"/>
      <c r="EM63" s="217"/>
      <c r="EN63" s="217"/>
      <c r="EO63" s="217"/>
      <c r="EP63" s="218"/>
    </row>
    <row r="64" spans="2:150" s="520" customFormat="1" ht="15">
      <c r="B64" s="310"/>
      <c r="C64" s="989">
        <f t="shared" si="50"/>
        <v>13</v>
      </c>
      <c r="D64" s="168"/>
      <c r="E64" s="316"/>
      <c r="F64" s="255" t="s">
        <v>1879</v>
      </c>
      <c r="G64" s="316">
        <f t="shared" si="2"/>
        <v>0</v>
      </c>
      <c r="H64" s="77"/>
      <c r="I64" s="316"/>
      <c r="J64" s="77"/>
      <c r="K64" s="316"/>
      <c r="L64" s="37" t="s">
        <v>428</v>
      </c>
      <c r="M64" s="318"/>
      <c r="N64" s="331">
        <f t="shared" si="51"/>
        <v>0</v>
      </c>
      <c r="O64" s="318"/>
      <c r="P64" s="319">
        <f t="shared" si="3"/>
        <v>0</v>
      </c>
      <c r="Q64" s="37" t="s">
        <v>411</v>
      </c>
      <c r="R64" s="37" t="s">
        <v>3</v>
      </c>
      <c r="S64" s="150">
        <f t="shared" si="4"/>
        <v>1.9221853757639424</v>
      </c>
      <c r="T64" s="156">
        <f t="shared" si="5"/>
        <v>8904.769113128099</v>
      </c>
      <c r="U64" s="351">
        <f t="shared" si="6"/>
        <v>0</v>
      </c>
      <c r="V64" s="351">
        <f t="shared" si="7"/>
        <v>0</v>
      </c>
      <c r="W64" s="133">
        <f t="shared" si="8"/>
        <v>1</v>
      </c>
      <c r="X64" s="203"/>
      <c r="Y64" s="200">
        <f t="shared" si="52"/>
        <v>1</v>
      </c>
      <c r="Z64" s="318"/>
      <c r="AA64" s="319">
        <f t="shared" si="9"/>
        <v>0</v>
      </c>
      <c r="AB64" s="37" t="s">
        <v>125</v>
      </c>
      <c r="AC64" s="37" t="s">
        <v>349</v>
      </c>
      <c r="AD64" s="103">
        <f t="shared" si="10"/>
        <v>6.2664411871606829</v>
      </c>
      <c r="AE64" s="351">
        <f t="shared" si="11"/>
        <v>0</v>
      </c>
      <c r="AF64" s="316">
        <f t="shared" si="12"/>
        <v>0</v>
      </c>
      <c r="AG64" s="828">
        <f t="shared" si="13"/>
        <v>0.6</v>
      </c>
      <c r="AH64" s="136"/>
      <c r="AI64" s="139">
        <f t="shared" si="14"/>
        <v>0.6</v>
      </c>
      <c r="AJ64" s="318"/>
      <c r="AK64" s="319">
        <f t="shared" si="61"/>
        <v>0</v>
      </c>
      <c r="AL64" s="63">
        <f>Subrates!$C$97</f>
        <v>4.7138306819209967</v>
      </c>
      <c r="AM64" s="157">
        <f t="shared" si="15"/>
        <v>0</v>
      </c>
      <c r="AN64" s="37" t="s">
        <v>125</v>
      </c>
      <c r="AO64" s="37" t="s">
        <v>349</v>
      </c>
      <c r="AP64" s="103">
        <f t="shared" si="16"/>
        <v>6.2664411871606829</v>
      </c>
      <c r="AQ64" s="157">
        <f t="shared" si="17"/>
        <v>0</v>
      </c>
      <c r="AR64" s="37" t="s">
        <v>411</v>
      </c>
      <c r="AS64" s="47" t="s">
        <v>3</v>
      </c>
      <c r="AT64" s="150">
        <f t="shared" si="18"/>
        <v>1.9221853757639424</v>
      </c>
      <c r="AU64" s="157">
        <f t="shared" si="19"/>
        <v>0</v>
      </c>
      <c r="AV64" s="347">
        <f t="shared" si="53"/>
        <v>0</v>
      </c>
      <c r="AW64" s="316">
        <f t="shared" si="20"/>
        <v>0</v>
      </c>
      <c r="AX64" s="828">
        <f t="shared" si="21"/>
        <v>0.5</v>
      </c>
      <c r="AY64" s="136"/>
      <c r="AZ64" s="139">
        <f t="shared" si="22"/>
        <v>0.5</v>
      </c>
      <c r="BA64" s="318"/>
      <c r="BB64" s="319">
        <f t="shared" si="54"/>
        <v>0</v>
      </c>
      <c r="BC64" s="63">
        <f>IF(BE64=Local,Subrates!$C$98,Subrates!$C$99)</f>
        <v>8.0873484007548591</v>
      </c>
      <c r="BD64" s="157">
        <f t="shared" si="23"/>
        <v>0</v>
      </c>
      <c r="BE64" s="149" t="s">
        <v>2026</v>
      </c>
      <c r="BF64" s="48" t="s">
        <v>485</v>
      </c>
      <c r="BG64" s="63">
        <f>IF(BE64=Local,0,VLOOKUP(BF64,Long_distance_values_subs,Subrates!$C$5,FALSE))</f>
        <v>0</v>
      </c>
      <c r="BH64" s="63">
        <f>IF(BE64=Local,0,Subrates!$D$121)</f>
        <v>0</v>
      </c>
      <c r="BI64" s="207"/>
      <c r="BJ64" s="157">
        <f t="shared" si="55"/>
        <v>0</v>
      </c>
      <c r="BK64" s="347">
        <f t="shared" si="56"/>
        <v>0</v>
      </c>
      <c r="BL64" s="316">
        <f t="shared" si="24"/>
        <v>0</v>
      </c>
      <c r="BM64" s="828">
        <f t="shared" si="25"/>
        <v>1.5</v>
      </c>
      <c r="BN64" s="136"/>
      <c r="BO64" s="139">
        <f t="shared" si="26"/>
        <v>1.5</v>
      </c>
      <c r="BP64" s="318"/>
      <c r="BQ64" s="319">
        <f t="shared" si="27"/>
        <v>0</v>
      </c>
      <c r="BR64" s="37" t="s">
        <v>125</v>
      </c>
      <c r="BS64" s="37" t="s">
        <v>349</v>
      </c>
      <c r="BT64" s="103">
        <f t="shared" si="28"/>
        <v>6.2664411871606829</v>
      </c>
      <c r="BU64" s="408">
        <f t="shared" si="29"/>
        <v>0</v>
      </c>
      <c r="BV64" s="37" t="s">
        <v>411</v>
      </c>
      <c r="BW64" s="37" t="s">
        <v>3</v>
      </c>
      <c r="BX64" s="150">
        <f t="shared" si="30"/>
        <v>1.9221853757639424</v>
      </c>
      <c r="BY64" s="408">
        <f t="shared" si="31"/>
        <v>0</v>
      </c>
      <c r="BZ64" s="351">
        <f t="shared" si="32"/>
        <v>0</v>
      </c>
      <c r="CA64" s="318"/>
      <c r="CB64" s="63">
        <f>Subrates!$C$94</f>
        <v>2.2000000000000002</v>
      </c>
      <c r="CC64" s="318"/>
      <c r="CD64" s="63">
        <f>Subrates!$C$95</f>
        <v>13.200000000000001</v>
      </c>
      <c r="CE64" s="318"/>
      <c r="CF64" s="63">
        <f>Subrates!$C$96</f>
        <v>14.3</v>
      </c>
      <c r="CG64" s="351">
        <f t="shared" si="33"/>
        <v>0</v>
      </c>
      <c r="CH64" s="316"/>
      <c r="CI64" s="406">
        <f>Subrates!$C$106</f>
        <v>21234.52910306484</v>
      </c>
      <c r="CJ64" s="351">
        <f t="shared" si="34"/>
        <v>0</v>
      </c>
      <c r="CK64" s="63">
        <f>Subrates!$C$105</f>
        <v>2885.2856380177936</v>
      </c>
      <c r="CL64" s="407">
        <f t="shared" si="35"/>
        <v>0</v>
      </c>
      <c r="CM64" s="828">
        <f t="shared" si="36"/>
        <v>0.15</v>
      </c>
      <c r="CN64" s="73"/>
      <c r="CO64" s="318"/>
      <c r="CP64" s="331">
        <f t="shared" si="37"/>
        <v>0</v>
      </c>
      <c r="CQ64" s="37" t="s">
        <v>125</v>
      </c>
      <c r="CR64" s="383" t="s">
        <v>348</v>
      </c>
      <c r="CS64" s="103">
        <f t="shared" si="38"/>
        <v>4.8064250364478198</v>
      </c>
      <c r="CT64" s="347">
        <f t="shared" si="39"/>
        <v>0</v>
      </c>
      <c r="CU64" s="149" t="s">
        <v>2026</v>
      </c>
      <c r="CV64" s="48" t="s">
        <v>485</v>
      </c>
      <c r="CW64" s="103">
        <f>IF(CU64=Local,0,VLOOKUP(CV64,Long_distance_values_subs,Subrates!$C$5,FALSE))</f>
        <v>0</v>
      </c>
      <c r="CX64" s="63">
        <f>IF(CU64=Local,0,Subrates!$D$122)</f>
        <v>0</v>
      </c>
      <c r="CY64" s="207"/>
      <c r="CZ64" s="205">
        <f>IF(CY64="",CP64*VLOOKUP(CV64,Long_distance_values_subs,Subrates!$H$5,FALSE)*CW64+CP64*CX64,CP64*CY64)</f>
        <v>0</v>
      </c>
      <c r="DA64" s="347">
        <f t="shared" si="40"/>
        <v>0</v>
      </c>
      <c r="DB64" s="318"/>
      <c r="DC64" s="195" t="s">
        <v>48</v>
      </c>
      <c r="DD64" s="1096" t="str">
        <f>IF(DC64=Lists!$B$18,"N/A",VLOOKUP(DC64,Lists!$B$18:$D$26,Lists!$C$3,FALSE))</f>
        <v>N/A</v>
      </c>
      <c r="DE64" s="63">
        <f>IF(DC64=Lists!$B$18,0,VLOOKUP(DD64,Amend_TOV,TOV!$F$1,FALSE))</f>
        <v>0</v>
      </c>
      <c r="DF64" s="117"/>
      <c r="DG64" s="318"/>
      <c r="DH64" s="195" t="s">
        <v>48</v>
      </c>
      <c r="DI64" s="1096" t="str">
        <f>IF(DH64=Lists!$B$18,"N/A",VLOOKUP(DH64,Lists!$B$18:$D$26,Lists!$C$3,FALSE))</f>
        <v>N/A</v>
      </c>
      <c r="DJ64" s="63">
        <f>IF(DH64=Lists!$B$18,0,VLOOKUP(DI64,Amend_TOV,TOV!$F$1,FALSE))</f>
        <v>0</v>
      </c>
      <c r="DK64" s="117"/>
      <c r="DL64" s="318"/>
      <c r="DM64" s="195" t="s">
        <v>48</v>
      </c>
      <c r="DN64" s="1096" t="str">
        <f>IF(DM64=Lists!$B$18,"N/A",VLOOKUP(DM64,Lists!$B$18:$D$26,Lists!$C$3,FALSE))</f>
        <v>N/A</v>
      </c>
      <c r="DO64" s="63">
        <f>IF(DM64=Lists!$B$18,0,VLOOKUP(DN64,Amend_TOV,TOV!$F$1,FALSE))</f>
        <v>0</v>
      </c>
      <c r="DP64" s="117"/>
      <c r="DQ64" s="351">
        <f t="shared" si="41"/>
        <v>0</v>
      </c>
      <c r="DR64" s="316">
        <f t="shared" si="42"/>
        <v>0</v>
      </c>
      <c r="DS64" s="208">
        <v>1</v>
      </c>
      <c r="DT64" s="208"/>
      <c r="DU64" s="67">
        <f t="shared" si="43"/>
        <v>0</v>
      </c>
      <c r="DV64" s="210" t="str">
        <f t="shared" si="57"/>
        <v>No Alert</v>
      </c>
      <c r="DW64" s="351">
        <f t="shared" si="44"/>
        <v>0</v>
      </c>
      <c r="DX64" s="351">
        <f t="shared" si="45"/>
        <v>0</v>
      </c>
      <c r="DY64" s="1137">
        <f t="shared" si="46"/>
        <v>0</v>
      </c>
      <c r="DZ64" s="1138"/>
      <c r="EA64" s="351">
        <f t="shared" si="58"/>
        <v>0</v>
      </c>
      <c r="EB64" s="63">
        <f t="shared" si="47"/>
        <v>2850</v>
      </c>
      <c r="EC64" s="117"/>
      <c r="ED64" s="351">
        <f t="shared" si="48"/>
        <v>0</v>
      </c>
      <c r="EE64" s="159"/>
      <c r="EF64" s="111">
        <f t="shared" si="59"/>
        <v>0</v>
      </c>
      <c r="EG64" s="1097">
        <f t="shared" si="49"/>
        <v>0</v>
      </c>
      <c r="EH64" s="803">
        <f t="shared" si="60"/>
        <v>0</v>
      </c>
      <c r="EI64" s="215"/>
      <c r="EJ64" s="217"/>
      <c r="EK64" s="217"/>
      <c r="EL64" s="217"/>
      <c r="EM64" s="217"/>
      <c r="EN64" s="217"/>
      <c r="EO64" s="217"/>
      <c r="EP64" s="218"/>
    </row>
    <row r="65" spans="2:150" s="520" customFormat="1" ht="15">
      <c r="B65" s="310"/>
      <c r="C65" s="989">
        <f t="shared" si="50"/>
        <v>14</v>
      </c>
      <c r="D65" s="168"/>
      <c r="E65" s="316"/>
      <c r="F65" s="255" t="s">
        <v>1879</v>
      </c>
      <c r="G65" s="316">
        <f t="shared" si="2"/>
        <v>0</v>
      </c>
      <c r="H65" s="77"/>
      <c r="I65" s="316"/>
      <c r="J65" s="77"/>
      <c r="K65" s="316"/>
      <c r="L65" s="37" t="s">
        <v>428</v>
      </c>
      <c r="M65" s="318"/>
      <c r="N65" s="331">
        <f t="shared" si="51"/>
        <v>0</v>
      </c>
      <c r="O65" s="318"/>
      <c r="P65" s="319">
        <f t="shared" si="3"/>
        <v>0</v>
      </c>
      <c r="Q65" s="37" t="s">
        <v>411</v>
      </c>
      <c r="R65" s="37" t="s">
        <v>3</v>
      </c>
      <c r="S65" s="150">
        <f t="shared" si="4"/>
        <v>1.9221853757639424</v>
      </c>
      <c r="T65" s="156">
        <f t="shared" si="5"/>
        <v>8904.769113128099</v>
      </c>
      <c r="U65" s="351">
        <f t="shared" si="6"/>
        <v>0</v>
      </c>
      <c r="V65" s="351">
        <f t="shared" si="7"/>
        <v>0</v>
      </c>
      <c r="W65" s="133">
        <f t="shared" si="8"/>
        <v>1</v>
      </c>
      <c r="X65" s="203"/>
      <c r="Y65" s="200">
        <f t="shared" si="52"/>
        <v>1</v>
      </c>
      <c r="Z65" s="318"/>
      <c r="AA65" s="319">
        <f t="shared" si="9"/>
        <v>0</v>
      </c>
      <c r="AB65" s="37" t="s">
        <v>125</v>
      </c>
      <c r="AC65" s="37" t="s">
        <v>349</v>
      </c>
      <c r="AD65" s="103">
        <f t="shared" si="10"/>
        <v>6.2664411871606829</v>
      </c>
      <c r="AE65" s="351">
        <f t="shared" si="11"/>
        <v>0</v>
      </c>
      <c r="AF65" s="316">
        <f t="shared" si="12"/>
        <v>0</v>
      </c>
      <c r="AG65" s="828">
        <f t="shared" si="13"/>
        <v>0.6</v>
      </c>
      <c r="AH65" s="136"/>
      <c r="AI65" s="139">
        <f t="shared" si="14"/>
        <v>0.6</v>
      </c>
      <c r="AJ65" s="318"/>
      <c r="AK65" s="319">
        <f t="shared" si="61"/>
        <v>0</v>
      </c>
      <c r="AL65" s="63">
        <f>Subrates!$C$97</f>
        <v>4.7138306819209967</v>
      </c>
      <c r="AM65" s="157">
        <f t="shared" si="15"/>
        <v>0</v>
      </c>
      <c r="AN65" s="37" t="s">
        <v>125</v>
      </c>
      <c r="AO65" s="37" t="s">
        <v>349</v>
      </c>
      <c r="AP65" s="103">
        <f t="shared" si="16"/>
        <v>6.2664411871606829</v>
      </c>
      <c r="AQ65" s="157">
        <f t="shared" si="17"/>
        <v>0</v>
      </c>
      <c r="AR65" s="37" t="s">
        <v>411</v>
      </c>
      <c r="AS65" s="47" t="s">
        <v>3</v>
      </c>
      <c r="AT65" s="150">
        <f t="shared" si="18"/>
        <v>1.9221853757639424</v>
      </c>
      <c r="AU65" s="157">
        <f t="shared" si="19"/>
        <v>0</v>
      </c>
      <c r="AV65" s="347">
        <f t="shared" si="53"/>
        <v>0</v>
      </c>
      <c r="AW65" s="316">
        <f t="shared" si="20"/>
        <v>0</v>
      </c>
      <c r="AX65" s="828">
        <f t="shared" si="21"/>
        <v>0.5</v>
      </c>
      <c r="AY65" s="136"/>
      <c r="AZ65" s="139">
        <f t="shared" si="22"/>
        <v>0.5</v>
      </c>
      <c r="BA65" s="318"/>
      <c r="BB65" s="319">
        <f t="shared" si="54"/>
        <v>0</v>
      </c>
      <c r="BC65" s="63">
        <f>IF(BE65=Local,Subrates!$C$98,Subrates!$C$99)</f>
        <v>8.0873484007548591</v>
      </c>
      <c r="BD65" s="157">
        <f t="shared" si="23"/>
        <v>0</v>
      </c>
      <c r="BE65" s="149" t="s">
        <v>2026</v>
      </c>
      <c r="BF65" s="48" t="s">
        <v>485</v>
      </c>
      <c r="BG65" s="63">
        <f>IF(BE65=Local,0,VLOOKUP(BF65,Long_distance_values_subs,Subrates!$C$5,FALSE))</f>
        <v>0</v>
      </c>
      <c r="BH65" s="63">
        <f>IF(BE65=Local,0,Subrates!$D$121)</f>
        <v>0</v>
      </c>
      <c r="BI65" s="207"/>
      <c r="BJ65" s="157">
        <f t="shared" si="55"/>
        <v>0</v>
      </c>
      <c r="BK65" s="347">
        <f t="shared" si="56"/>
        <v>0</v>
      </c>
      <c r="BL65" s="316">
        <f t="shared" si="24"/>
        <v>0</v>
      </c>
      <c r="BM65" s="828">
        <f t="shared" si="25"/>
        <v>1.5</v>
      </c>
      <c r="BN65" s="136"/>
      <c r="BO65" s="139">
        <f t="shared" si="26"/>
        <v>1.5</v>
      </c>
      <c r="BP65" s="318"/>
      <c r="BQ65" s="319">
        <f t="shared" si="27"/>
        <v>0</v>
      </c>
      <c r="BR65" s="37" t="s">
        <v>125</v>
      </c>
      <c r="BS65" s="37" t="s">
        <v>349</v>
      </c>
      <c r="BT65" s="103">
        <f t="shared" si="28"/>
        <v>6.2664411871606829</v>
      </c>
      <c r="BU65" s="408">
        <f t="shared" si="29"/>
        <v>0</v>
      </c>
      <c r="BV65" s="37" t="s">
        <v>411</v>
      </c>
      <c r="BW65" s="37" t="s">
        <v>3</v>
      </c>
      <c r="BX65" s="150">
        <f t="shared" si="30"/>
        <v>1.9221853757639424</v>
      </c>
      <c r="BY65" s="408">
        <f t="shared" si="31"/>
        <v>0</v>
      </c>
      <c r="BZ65" s="351">
        <f t="shared" si="32"/>
        <v>0</v>
      </c>
      <c r="CA65" s="318"/>
      <c r="CB65" s="63">
        <f>Subrates!$C$94</f>
        <v>2.2000000000000002</v>
      </c>
      <c r="CC65" s="318"/>
      <c r="CD65" s="63">
        <f>Subrates!$C$95</f>
        <v>13.200000000000001</v>
      </c>
      <c r="CE65" s="318"/>
      <c r="CF65" s="63">
        <f>Subrates!$C$96</f>
        <v>14.3</v>
      </c>
      <c r="CG65" s="351">
        <f t="shared" si="33"/>
        <v>0</v>
      </c>
      <c r="CH65" s="316"/>
      <c r="CI65" s="406">
        <f>Subrates!$C$106</f>
        <v>21234.52910306484</v>
      </c>
      <c r="CJ65" s="351">
        <f t="shared" si="34"/>
        <v>0</v>
      </c>
      <c r="CK65" s="63">
        <f>Subrates!$C$105</f>
        <v>2885.2856380177936</v>
      </c>
      <c r="CL65" s="407">
        <f t="shared" si="35"/>
        <v>0</v>
      </c>
      <c r="CM65" s="828">
        <f t="shared" si="36"/>
        <v>0.15</v>
      </c>
      <c r="CN65" s="73"/>
      <c r="CO65" s="318"/>
      <c r="CP65" s="331">
        <f t="shared" si="37"/>
        <v>0</v>
      </c>
      <c r="CQ65" s="37" t="s">
        <v>125</v>
      </c>
      <c r="CR65" s="383" t="s">
        <v>348</v>
      </c>
      <c r="CS65" s="103">
        <f t="shared" si="38"/>
        <v>4.8064250364478198</v>
      </c>
      <c r="CT65" s="347">
        <f t="shared" si="39"/>
        <v>0</v>
      </c>
      <c r="CU65" s="149" t="s">
        <v>2026</v>
      </c>
      <c r="CV65" s="48" t="s">
        <v>485</v>
      </c>
      <c r="CW65" s="103">
        <f>IF(CU65=Local,0,VLOOKUP(CV65,Long_distance_values_subs,Subrates!$C$5,FALSE))</f>
        <v>0</v>
      </c>
      <c r="CX65" s="63">
        <f>IF(CU65=Local,0,Subrates!$D$122)</f>
        <v>0</v>
      </c>
      <c r="CY65" s="207"/>
      <c r="CZ65" s="205">
        <f>IF(CY65="",CP65*VLOOKUP(CV65,Long_distance_values_subs,Subrates!$H$5,FALSE)*CW65+CP65*CX65,CP65*CY65)</f>
        <v>0</v>
      </c>
      <c r="DA65" s="347">
        <f t="shared" si="40"/>
        <v>0</v>
      </c>
      <c r="DB65" s="318"/>
      <c r="DC65" s="195" t="s">
        <v>48</v>
      </c>
      <c r="DD65" s="1096" t="str">
        <f>IF(DC65=Lists!$B$18,"N/A",VLOOKUP(DC65,Lists!$B$18:$D$26,Lists!$C$3,FALSE))</f>
        <v>N/A</v>
      </c>
      <c r="DE65" s="63">
        <f>IF(DC65=Lists!$B$18,0,VLOOKUP(DD65,Amend_TOV,TOV!$F$1,FALSE))</f>
        <v>0</v>
      </c>
      <c r="DF65" s="117"/>
      <c r="DG65" s="318"/>
      <c r="DH65" s="195" t="s">
        <v>48</v>
      </c>
      <c r="DI65" s="1096" t="str">
        <f>IF(DH65=Lists!$B$18,"N/A",VLOOKUP(DH65,Lists!$B$18:$D$26,Lists!$C$3,FALSE))</f>
        <v>N/A</v>
      </c>
      <c r="DJ65" s="63">
        <f>IF(DH65=Lists!$B$18,0,VLOOKUP(DI65,Amend_TOV,TOV!$F$1,FALSE))</f>
        <v>0</v>
      </c>
      <c r="DK65" s="117"/>
      <c r="DL65" s="318"/>
      <c r="DM65" s="195" t="s">
        <v>48</v>
      </c>
      <c r="DN65" s="1096" t="str">
        <f>IF(DM65=Lists!$B$18,"N/A",VLOOKUP(DM65,Lists!$B$18:$D$26,Lists!$C$3,FALSE))</f>
        <v>N/A</v>
      </c>
      <c r="DO65" s="63">
        <f>IF(DM65=Lists!$B$18,0,VLOOKUP(DN65,Amend_TOV,TOV!$F$1,FALSE))</f>
        <v>0</v>
      </c>
      <c r="DP65" s="117"/>
      <c r="DQ65" s="351">
        <f t="shared" si="41"/>
        <v>0</v>
      </c>
      <c r="DR65" s="316">
        <f t="shared" si="42"/>
        <v>0</v>
      </c>
      <c r="DS65" s="208">
        <v>1</v>
      </c>
      <c r="DT65" s="208"/>
      <c r="DU65" s="67">
        <f t="shared" si="43"/>
        <v>0</v>
      </c>
      <c r="DV65" s="210" t="str">
        <f t="shared" si="57"/>
        <v>No Alert</v>
      </c>
      <c r="DW65" s="351">
        <f t="shared" si="44"/>
        <v>0</v>
      </c>
      <c r="DX65" s="351">
        <f t="shared" si="45"/>
        <v>0</v>
      </c>
      <c r="DY65" s="1137">
        <f t="shared" si="46"/>
        <v>0</v>
      </c>
      <c r="DZ65" s="1138"/>
      <c r="EA65" s="351">
        <f t="shared" si="58"/>
        <v>0</v>
      </c>
      <c r="EB65" s="63">
        <f t="shared" si="47"/>
        <v>2850</v>
      </c>
      <c r="EC65" s="117"/>
      <c r="ED65" s="351">
        <f t="shared" si="48"/>
        <v>0</v>
      </c>
      <c r="EE65" s="159"/>
      <c r="EF65" s="111">
        <f t="shared" si="59"/>
        <v>0</v>
      </c>
      <c r="EG65" s="1097">
        <f t="shared" si="49"/>
        <v>0</v>
      </c>
      <c r="EH65" s="803">
        <f t="shared" si="60"/>
        <v>0</v>
      </c>
      <c r="EI65" s="215"/>
      <c r="EJ65" s="217"/>
      <c r="EK65" s="217"/>
      <c r="EL65" s="217"/>
      <c r="EM65" s="217"/>
      <c r="EN65" s="217"/>
      <c r="EO65" s="217"/>
      <c r="EP65" s="218"/>
    </row>
    <row r="66" spans="2:150" s="520" customFormat="1" ht="15">
      <c r="B66" s="310"/>
      <c r="C66" s="989">
        <f t="shared" si="50"/>
        <v>15</v>
      </c>
      <c r="D66" s="168"/>
      <c r="E66" s="316"/>
      <c r="F66" s="255" t="s">
        <v>1879</v>
      </c>
      <c r="G66" s="316">
        <f t="shared" si="2"/>
        <v>0</v>
      </c>
      <c r="H66" s="77"/>
      <c r="I66" s="316"/>
      <c r="J66" s="77"/>
      <c r="K66" s="316"/>
      <c r="L66" s="37" t="s">
        <v>428</v>
      </c>
      <c r="M66" s="318"/>
      <c r="N66" s="331">
        <f t="shared" si="51"/>
        <v>0</v>
      </c>
      <c r="O66" s="318"/>
      <c r="P66" s="319">
        <f t="shared" si="3"/>
        <v>0</v>
      </c>
      <c r="Q66" s="37" t="s">
        <v>411</v>
      </c>
      <c r="R66" s="37" t="s">
        <v>3</v>
      </c>
      <c r="S66" s="150">
        <f t="shared" si="4"/>
        <v>1.9221853757639424</v>
      </c>
      <c r="T66" s="156">
        <f t="shared" si="5"/>
        <v>8904.769113128099</v>
      </c>
      <c r="U66" s="351">
        <f t="shared" si="6"/>
        <v>0</v>
      </c>
      <c r="V66" s="351">
        <f t="shared" si="7"/>
        <v>0</v>
      </c>
      <c r="W66" s="133">
        <f t="shared" si="8"/>
        <v>1</v>
      </c>
      <c r="X66" s="203"/>
      <c r="Y66" s="200">
        <f t="shared" si="52"/>
        <v>1</v>
      </c>
      <c r="Z66" s="318"/>
      <c r="AA66" s="319">
        <f t="shared" si="9"/>
        <v>0</v>
      </c>
      <c r="AB66" s="37" t="s">
        <v>125</v>
      </c>
      <c r="AC66" s="37" t="s">
        <v>349</v>
      </c>
      <c r="AD66" s="103">
        <f t="shared" si="10"/>
        <v>6.2664411871606829</v>
      </c>
      <c r="AE66" s="351">
        <f t="shared" si="11"/>
        <v>0</v>
      </c>
      <c r="AF66" s="316">
        <f t="shared" si="12"/>
        <v>0</v>
      </c>
      <c r="AG66" s="828">
        <f t="shared" si="13"/>
        <v>0.6</v>
      </c>
      <c r="AH66" s="136"/>
      <c r="AI66" s="139">
        <f t="shared" si="14"/>
        <v>0.6</v>
      </c>
      <c r="AJ66" s="318"/>
      <c r="AK66" s="319">
        <f t="shared" si="61"/>
        <v>0</v>
      </c>
      <c r="AL66" s="63">
        <f>Subrates!$C$97</f>
        <v>4.7138306819209967</v>
      </c>
      <c r="AM66" s="157">
        <f t="shared" si="15"/>
        <v>0</v>
      </c>
      <c r="AN66" s="37" t="s">
        <v>125</v>
      </c>
      <c r="AO66" s="37" t="s">
        <v>349</v>
      </c>
      <c r="AP66" s="103">
        <f t="shared" si="16"/>
        <v>6.2664411871606829</v>
      </c>
      <c r="AQ66" s="157">
        <f t="shared" si="17"/>
        <v>0</v>
      </c>
      <c r="AR66" s="37" t="s">
        <v>411</v>
      </c>
      <c r="AS66" s="47" t="s">
        <v>3</v>
      </c>
      <c r="AT66" s="150">
        <f t="shared" si="18"/>
        <v>1.9221853757639424</v>
      </c>
      <c r="AU66" s="157">
        <f t="shared" si="19"/>
        <v>0</v>
      </c>
      <c r="AV66" s="347">
        <f t="shared" si="53"/>
        <v>0</v>
      </c>
      <c r="AW66" s="316">
        <f t="shared" si="20"/>
        <v>0</v>
      </c>
      <c r="AX66" s="828">
        <f t="shared" si="21"/>
        <v>0.5</v>
      </c>
      <c r="AY66" s="136"/>
      <c r="AZ66" s="139">
        <f t="shared" si="22"/>
        <v>0.5</v>
      </c>
      <c r="BA66" s="318"/>
      <c r="BB66" s="319">
        <f t="shared" si="54"/>
        <v>0</v>
      </c>
      <c r="BC66" s="63">
        <f>IF(BE66=Local,Subrates!$C$98,Subrates!$C$99)</f>
        <v>8.0873484007548591</v>
      </c>
      <c r="BD66" s="157">
        <f t="shared" si="23"/>
        <v>0</v>
      </c>
      <c r="BE66" s="149" t="s">
        <v>2026</v>
      </c>
      <c r="BF66" s="48" t="s">
        <v>485</v>
      </c>
      <c r="BG66" s="63">
        <f>IF(BE66=Local,0,VLOOKUP(BF66,Long_distance_values_subs,Subrates!$C$5,FALSE))</f>
        <v>0</v>
      </c>
      <c r="BH66" s="63">
        <f>IF(BE66=Local,0,Subrates!$D$121)</f>
        <v>0</v>
      </c>
      <c r="BI66" s="207"/>
      <c r="BJ66" s="157">
        <f t="shared" si="55"/>
        <v>0</v>
      </c>
      <c r="BK66" s="347">
        <f t="shared" si="56"/>
        <v>0</v>
      </c>
      <c r="BL66" s="316">
        <f t="shared" si="24"/>
        <v>0</v>
      </c>
      <c r="BM66" s="828">
        <f t="shared" si="25"/>
        <v>1.5</v>
      </c>
      <c r="BN66" s="136"/>
      <c r="BO66" s="139">
        <f t="shared" si="26"/>
        <v>1.5</v>
      </c>
      <c r="BP66" s="318"/>
      <c r="BQ66" s="319">
        <f t="shared" si="27"/>
        <v>0</v>
      </c>
      <c r="BR66" s="37" t="s">
        <v>125</v>
      </c>
      <c r="BS66" s="37" t="s">
        <v>349</v>
      </c>
      <c r="BT66" s="103">
        <f t="shared" si="28"/>
        <v>6.2664411871606829</v>
      </c>
      <c r="BU66" s="408">
        <f t="shared" si="29"/>
        <v>0</v>
      </c>
      <c r="BV66" s="37" t="s">
        <v>411</v>
      </c>
      <c r="BW66" s="37" t="s">
        <v>3</v>
      </c>
      <c r="BX66" s="150">
        <f t="shared" si="30"/>
        <v>1.9221853757639424</v>
      </c>
      <c r="BY66" s="408">
        <f t="shared" si="31"/>
        <v>0</v>
      </c>
      <c r="BZ66" s="351">
        <f t="shared" si="32"/>
        <v>0</v>
      </c>
      <c r="CA66" s="318"/>
      <c r="CB66" s="63">
        <f>Subrates!$C$94</f>
        <v>2.2000000000000002</v>
      </c>
      <c r="CC66" s="318"/>
      <c r="CD66" s="63">
        <f>Subrates!$C$95</f>
        <v>13.200000000000001</v>
      </c>
      <c r="CE66" s="318"/>
      <c r="CF66" s="63">
        <f>Subrates!$C$96</f>
        <v>14.3</v>
      </c>
      <c r="CG66" s="351">
        <f t="shared" si="33"/>
        <v>0</v>
      </c>
      <c r="CH66" s="316"/>
      <c r="CI66" s="406">
        <f>Subrates!$C$106</f>
        <v>21234.52910306484</v>
      </c>
      <c r="CJ66" s="351">
        <f t="shared" si="34"/>
        <v>0</v>
      </c>
      <c r="CK66" s="63">
        <f>Subrates!$C$105</f>
        <v>2885.2856380177936</v>
      </c>
      <c r="CL66" s="407">
        <f t="shared" si="35"/>
        <v>0</v>
      </c>
      <c r="CM66" s="828">
        <f t="shared" si="36"/>
        <v>0.15</v>
      </c>
      <c r="CN66" s="73"/>
      <c r="CO66" s="318"/>
      <c r="CP66" s="331">
        <f t="shared" si="37"/>
        <v>0</v>
      </c>
      <c r="CQ66" s="37" t="s">
        <v>125</v>
      </c>
      <c r="CR66" s="383" t="s">
        <v>348</v>
      </c>
      <c r="CS66" s="103">
        <f t="shared" si="38"/>
        <v>4.8064250364478198</v>
      </c>
      <c r="CT66" s="347">
        <f t="shared" si="39"/>
        <v>0</v>
      </c>
      <c r="CU66" s="149" t="s">
        <v>2026</v>
      </c>
      <c r="CV66" s="48" t="s">
        <v>485</v>
      </c>
      <c r="CW66" s="103">
        <f>IF(CU66=Local,0,VLOOKUP(CV66,Long_distance_values_subs,Subrates!$C$5,FALSE))</f>
        <v>0</v>
      </c>
      <c r="CX66" s="63">
        <f>IF(CU66=Local,0,Subrates!$D$122)</f>
        <v>0</v>
      </c>
      <c r="CY66" s="207"/>
      <c r="CZ66" s="205">
        <f>IF(CY66="",CP66*VLOOKUP(CV66,Long_distance_values_subs,Subrates!$H$5,FALSE)*CW66+CP66*CX66,CP66*CY66)</f>
        <v>0</v>
      </c>
      <c r="DA66" s="347">
        <f t="shared" si="40"/>
        <v>0</v>
      </c>
      <c r="DB66" s="318"/>
      <c r="DC66" s="195" t="s">
        <v>48</v>
      </c>
      <c r="DD66" s="1096" t="str">
        <f>IF(DC66=Lists!$B$18,"N/A",VLOOKUP(DC66,Lists!$B$18:$D$26,Lists!$C$3,FALSE))</f>
        <v>N/A</v>
      </c>
      <c r="DE66" s="63">
        <f>IF(DC66=Lists!$B$18,0,VLOOKUP(DD66,Amend_TOV,TOV!$F$1,FALSE))</f>
        <v>0</v>
      </c>
      <c r="DF66" s="117"/>
      <c r="DG66" s="318"/>
      <c r="DH66" s="195" t="s">
        <v>48</v>
      </c>
      <c r="DI66" s="1096" t="str">
        <f>IF(DH66=Lists!$B$18,"N/A",VLOOKUP(DH66,Lists!$B$18:$D$26,Lists!$C$3,FALSE))</f>
        <v>N/A</v>
      </c>
      <c r="DJ66" s="63">
        <f>IF(DH66=Lists!$B$18,0,VLOOKUP(DI66,Amend_TOV,TOV!$F$1,FALSE))</f>
        <v>0</v>
      </c>
      <c r="DK66" s="117"/>
      <c r="DL66" s="318"/>
      <c r="DM66" s="195" t="s">
        <v>48</v>
      </c>
      <c r="DN66" s="1096" t="str">
        <f>IF(DM66=Lists!$B$18,"N/A",VLOOKUP(DM66,Lists!$B$18:$D$26,Lists!$C$3,FALSE))</f>
        <v>N/A</v>
      </c>
      <c r="DO66" s="63">
        <f>IF(DM66=Lists!$B$18,0,VLOOKUP(DN66,Amend_TOV,TOV!$F$1,FALSE))</f>
        <v>0</v>
      </c>
      <c r="DP66" s="117"/>
      <c r="DQ66" s="351">
        <f t="shared" si="41"/>
        <v>0</v>
      </c>
      <c r="DR66" s="316">
        <f t="shared" si="42"/>
        <v>0</v>
      </c>
      <c r="DS66" s="208">
        <v>1</v>
      </c>
      <c r="DT66" s="208"/>
      <c r="DU66" s="67">
        <f t="shared" si="43"/>
        <v>0</v>
      </c>
      <c r="DV66" s="210" t="str">
        <f t="shared" si="57"/>
        <v>No Alert</v>
      </c>
      <c r="DW66" s="351">
        <f t="shared" si="44"/>
        <v>0</v>
      </c>
      <c r="DX66" s="351">
        <f t="shared" si="45"/>
        <v>0</v>
      </c>
      <c r="DY66" s="1137">
        <f t="shared" si="46"/>
        <v>0</v>
      </c>
      <c r="DZ66" s="1138"/>
      <c r="EA66" s="351">
        <f t="shared" si="58"/>
        <v>0</v>
      </c>
      <c r="EB66" s="63">
        <f t="shared" si="47"/>
        <v>2850</v>
      </c>
      <c r="EC66" s="117"/>
      <c r="ED66" s="351">
        <f t="shared" si="48"/>
        <v>0</v>
      </c>
      <c r="EE66" s="159"/>
      <c r="EF66" s="111">
        <f t="shared" si="59"/>
        <v>0</v>
      </c>
      <c r="EG66" s="1097">
        <f t="shared" si="49"/>
        <v>0</v>
      </c>
      <c r="EH66" s="803">
        <f t="shared" si="60"/>
        <v>0</v>
      </c>
      <c r="EI66" s="215"/>
      <c r="EJ66" s="217"/>
      <c r="EK66" s="217"/>
      <c r="EL66" s="217"/>
      <c r="EM66" s="217"/>
      <c r="EN66" s="217"/>
      <c r="EO66" s="217"/>
      <c r="EP66" s="218"/>
    </row>
    <row r="67" spans="2:150" s="520" customFormat="1" ht="15">
      <c r="B67" s="310"/>
      <c r="C67" s="989">
        <f t="shared" si="50"/>
        <v>16</v>
      </c>
      <c r="D67" s="168"/>
      <c r="E67" s="316"/>
      <c r="F67" s="255" t="s">
        <v>1879</v>
      </c>
      <c r="G67" s="316">
        <f t="shared" si="2"/>
        <v>0</v>
      </c>
      <c r="H67" s="77"/>
      <c r="I67" s="316"/>
      <c r="J67" s="77"/>
      <c r="K67" s="316"/>
      <c r="L67" s="37" t="s">
        <v>428</v>
      </c>
      <c r="M67" s="318"/>
      <c r="N67" s="331">
        <f t="shared" si="51"/>
        <v>0</v>
      </c>
      <c r="O67" s="318"/>
      <c r="P67" s="319">
        <f t="shared" si="3"/>
        <v>0</v>
      </c>
      <c r="Q67" s="37" t="s">
        <v>411</v>
      </c>
      <c r="R67" s="37" t="s">
        <v>3</v>
      </c>
      <c r="S67" s="150">
        <f t="shared" si="4"/>
        <v>1.9221853757639424</v>
      </c>
      <c r="T67" s="156">
        <f t="shared" si="5"/>
        <v>8904.769113128099</v>
      </c>
      <c r="U67" s="351">
        <f t="shared" si="6"/>
        <v>0</v>
      </c>
      <c r="V67" s="351">
        <f t="shared" si="7"/>
        <v>0</v>
      </c>
      <c r="W67" s="133">
        <f t="shared" si="8"/>
        <v>1</v>
      </c>
      <c r="X67" s="203"/>
      <c r="Y67" s="200">
        <f t="shared" si="52"/>
        <v>1</v>
      </c>
      <c r="Z67" s="318"/>
      <c r="AA67" s="319">
        <f t="shared" si="9"/>
        <v>0</v>
      </c>
      <c r="AB67" s="37" t="s">
        <v>125</v>
      </c>
      <c r="AC67" s="37" t="s">
        <v>349</v>
      </c>
      <c r="AD67" s="103">
        <f t="shared" si="10"/>
        <v>6.2664411871606829</v>
      </c>
      <c r="AE67" s="351">
        <f t="shared" si="11"/>
        <v>0</v>
      </c>
      <c r="AF67" s="316">
        <f t="shared" si="12"/>
        <v>0</v>
      </c>
      <c r="AG67" s="828">
        <f t="shared" si="13"/>
        <v>0.6</v>
      </c>
      <c r="AH67" s="136"/>
      <c r="AI67" s="139">
        <f t="shared" si="14"/>
        <v>0.6</v>
      </c>
      <c r="AJ67" s="318"/>
      <c r="AK67" s="319">
        <f t="shared" si="61"/>
        <v>0</v>
      </c>
      <c r="AL67" s="63">
        <f>Subrates!$C$97</f>
        <v>4.7138306819209967</v>
      </c>
      <c r="AM67" s="157">
        <f t="shared" si="15"/>
        <v>0</v>
      </c>
      <c r="AN67" s="37" t="s">
        <v>125</v>
      </c>
      <c r="AO67" s="37" t="s">
        <v>349</v>
      </c>
      <c r="AP67" s="103">
        <f t="shared" si="16"/>
        <v>6.2664411871606829</v>
      </c>
      <c r="AQ67" s="157">
        <f t="shared" si="17"/>
        <v>0</v>
      </c>
      <c r="AR67" s="37" t="s">
        <v>411</v>
      </c>
      <c r="AS67" s="47" t="s">
        <v>3</v>
      </c>
      <c r="AT67" s="150">
        <f t="shared" si="18"/>
        <v>1.9221853757639424</v>
      </c>
      <c r="AU67" s="157">
        <f t="shared" si="19"/>
        <v>0</v>
      </c>
      <c r="AV67" s="347">
        <f t="shared" si="53"/>
        <v>0</v>
      </c>
      <c r="AW67" s="316">
        <f t="shared" si="20"/>
        <v>0</v>
      </c>
      <c r="AX67" s="828">
        <f t="shared" si="21"/>
        <v>0.5</v>
      </c>
      <c r="AY67" s="136"/>
      <c r="AZ67" s="139">
        <f t="shared" si="22"/>
        <v>0.5</v>
      </c>
      <c r="BA67" s="318"/>
      <c r="BB67" s="319">
        <f t="shared" si="54"/>
        <v>0</v>
      </c>
      <c r="BC67" s="63">
        <f>IF(BE67=Local,Subrates!$C$98,Subrates!$C$99)</f>
        <v>8.0873484007548591</v>
      </c>
      <c r="BD67" s="157">
        <f t="shared" si="23"/>
        <v>0</v>
      </c>
      <c r="BE67" s="149" t="s">
        <v>2026</v>
      </c>
      <c r="BF67" s="48" t="s">
        <v>485</v>
      </c>
      <c r="BG67" s="63">
        <f>IF(BE67=Local,0,VLOOKUP(BF67,Long_distance_values_subs,Subrates!$C$5,FALSE))</f>
        <v>0</v>
      </c>
      <c r="BH67" s="63">
        <f>IF(BE67=Local,0,Subrates!$D$121)</f>
        <v>0</v>
      </c>
      <c r="BI67" s="207"/>
      <c r="BJ67" s="157">
        <f t="shared" si="55"/>
        <v>0</v>
      </c>
      <c r="BK67" s="347">
        <f t="shared" si="56"/>
        <v>0</v>
      </c>
      <c r="BL67" s="316">
        <f t="shared" si="24"/>
        <v>0</v>
      </c>
      <c r="BM67" s="828">
        <f t="shared" si="25"/>
        <v>1.5</v>
      </c>
      <c r="BN67" s="136"/>
      <c r="BO67" s="139">
        <f t="shared" si="26"/>
        <v>1.5</v>
      </c>
      <c r="BP67" s="318"/>
      <c r="BQ67" s="319">
        <f t="shared" si="27"/>
        <v>0</v>
      </c>
      <c r="BR67" s="37" t="s">
        <v>125</v>
      </c>
      <c r="BS67" s="37" t="s">
        <v>349</v>
      </c>
      <c r="BT67" s="103">
        <f t="shared" si="28"/>
        <v>6.2664411871606829</v>
      </c>
      <c r="BU67" s="408">
        <f t="shared" si="29"/>
        <v>0</v>
      </c>
      <c r="BV67" s="37" t="s">
        <v>411</v>
      </c>
      <c r="BW67" s="37" t="s">
        <v>3</v>
      </c>
      <c r="BX67" s="150">
        <f t="shared" si="30"/>
        <v>1.9221853757639424</v>
      </c>
      <c r="BY67" s="408">
        <f t="shared" si="31"/>
        <v>0</v>
      </c>
      <c r="BZ67" s="351">
        <f t="shared" si="32"/>
        <v>0</v>
      </c>
      <c r="CA67" s="318"/>
      <c r="CB67" s="63">
        <f>Subrates!$C$94</f>
        <v>2.2000000000000002</v>
      </c>
      <c r="CC67" s="318"/>
      <c r="CD67" s="63">
        <f>Subrates!$C$95</f>
        <v>13.200000000000001</v>
      </c>
      <c r="CE67" s="318"/>
      <c r="CF67" s="63">
        <f>Subrates!$C$96</f>
        <v>14.3</v>
      </c>
      <c r="CG67" s="351">
        <f t="shared" si="33"/>
        <v>0</v>
      </c>
      <c r="CH67" s="316"/>
      <c r="CI67" s="406">
        <f>Subrates!$C$106</f>
        <v>21234.52910306484</v>
      </c>
      <c r="CJ67" s="351">
        <f t="shared" si="34"/>
        <v>0</v>
      </c>
      <c r="CK67" s="63">
        <f>Subrates!$C$105</f>
        <v>2885.2856380177936</v>
      </c>
      <c r="CL67" s="407">
        <f t="shared" si="35"/>
        <v>0</v>
      </c>
      <c r="CM67" s="828">
        <f t="shared" si="36"/>
        <v>0.15</v>
      </c>
      <c r="CN67" s="73"/>
      <c r="CO67" s="318"/>
      <c r="CP67" s="331">
        <f t="shared" si="37"/>
        <v>0</v>
      </c>
      <c r="CQ67" s="37" t="s">
        <v>125</v>
      </c>
      <c r="CR67" s="383" t="s">
        <v>348</v>
      </c>
      <c r="CS67" s="103">
        <f t="shared" si="38"/>
        <v>4.8064250364478198</v>
      </c>
      <c r="CT67" s="347">
        <f t="shared" si="39"/>
        <v>0</v>
      </c>
      <c r="CU67" s="149" t="s">
        <v>2026</v>
      </c>
      <c r="CV67" s="48" t="s">
        <v>485</v>
      </c>
      <c r="CW67" s="103">
        <f>IF(CU67=Local,0,VLOOKUP(CV67,Long_distance_values_subs,Subrates!$C$5,FALSE))</f>
        <v>0</v>
      </c>
      <c r="CX67" s="63">
        <f>IF(CU67=Local,0,Subrates!$D$122)</f>
        <v>0</v>
      </c>
      <c r="CY67" s="207"/>
      <c r="CZ67" s="205">
        <f>IF(CY67="",CP67*VLOOKUP(CV67,Long_distance_values_subs,Subrates!$H$5,FALSE)*CW67+CP67*CX67,CP67*CY67)</f>
        <v>0</v>
      </c>
      <c r="DA67" s="347">
        <f t="shared" si="40"/>
        <v>0</v>
      </c>
      <c r="DB67" s="318"/>
      <c r="DC67" s="195" t="s">
        <v>48</v>
      </c>
      <c r="DD67" s="1096" t="str">
        <f>IF(DC67=Lists!$B$18,"N/A",VLOOKUP(DC67,Lists!$B$18:$D$26,Lists!$C$3,FALSE))</f>
        <v>N/A</v>
      </c>
      <c r="DE67" s="63">
        <f>IF(DC67=Lists!$B$18,0,VLOOKUP(DD67,Amend_TOV,TOV!$F$1,FALSE))</f>
        <v>0</v>
      </c>
      <c r="DF67" s="117"/>
      <c r="DG67" s="318"/>
      <c r="DH67" s="195" t="s">
        <v>48</v>
      </c>
      <c r="DI67" s="1096" t="str">
        <f>IF(DH67=Lists!$B$18,"N/A",VLOOKUP(DH67,Lists!$B$18:$D$26,Lists!$C$3,FALSE))</f>
        <v>N/A</v>
      </c>
      <c r="DJ67" s="63">
        <f>IF(DH67=Lists!$B$18,0,VLOOKUP(DI67,Amend_TOV,TOV!$F$1,FALSE))</f>
        <v>0</v>
      </c>
      <c r="DK67" s="117"/>
      <c r="DL67" s="318"/>
      <c r="DM67" s="195" t="s">
        <v>48</v>
      </c>
      <c r="DN67" s="1096" t="str">
        <f>IF(DM67=Lists!$B$18,"N/A",VLOOKUP(DM67,Lists!$B$18:$D$26,Lists!$C$3,FALSE))</f>
        <v>N/A</v>
      </c>
      <c r="DO67" s="63">
        <f>IF(DM67=Lists!$B$18,0,VLOOKUP(DN67,Amend_TOV,TOV!$F$1,FALSE))</f>
        <v>0</v>
      </c>
      <c r="DP67" s="117"/>
      <c r="DQ67" s="351">
        <f t="shared" si="41"/>
        <v>0</v>
      </c>
      <c r="DR67" s="316">
        <f t="shared" si="42"/>
        <v>0</v>
      </c>
      <c r="DS67" s="208">
        <v>1</v>
      </c>
      <c r="DT67" s="208"/>
      <c r="DU67" s="67">
        <f t="shared" si="43"/>
        <v>0</v>
      </c>
      <c r="DV67" s="210" t="str">
        <f t="shared" si="57"/>
        <v>No Alert</v>
      </c>
      <c r="DW67" s="351">
        <f t="shared" si="44"/>
        <v>0</v>
      </c>
      <c r="DX67" s="351">
        <f t="shared" si="45"/>
        <v>0</v>
      </c>
      <c r="DY67" s="1137">
        <f t="shared" si="46"/>
        <v>0</v>
      </c>
      <c r="DZ67" s="1138"/>
      <c r="EA67" s="351">
        <f t="shared" si="58"/>
        <v>0</v>
      </c>
      <c r="EB67" s="63">
        <f t="shared" si="47"/>
        <v>2850</v>
      </c>
      <c r="EC67" s="117"/>
      <c r="ED67" s="351">
        <f t="shared" si="48"/>
        <v>0</v>
      </c>
      <c r="EE67" s="159"/>
      <c r="EF67" s="111">
        <f t="shared" si="59"/>
        <v>0</v>
      </c>
      <c r="EG67" s="1097">
        <f t="shared" si="49"/>
        <v>0</v>
      </c>
      <c r="EH67" s="803">
        <f t="shared" si="60"/>
        <v>0</v>
      </c>
      <c r="EI67" s="215"/>
      <c r="EJ67" s="217"/>
      <c r="EK67" s="217"/>
      <c r="EL67" s="217"/>
      <c r="EM67" s="217"/>
      <c r="EN67" s="217"/>
      <c r="EO67" s="217"/>
      <c r="EP67" s="218"/>
    </row>
    <row r="68" spans="2:150" s="520" customFormat="1" ht="15">
      <c r="B68" s="310"/>
      <c r="C68" s="989">
        <f t="shared" si="50"/>
        <v>17</v>
      </c>
      <c r="D68" s="168"/>
      <c r="E68" s="316"/>
      <c r="F68" s="255" t="s">
        <v>1879</v>
      </c>
      <c r="G68" s="316">
        <f t="shared" si="2"/>
        <v>0</v>
      </c>
      <c r="H68" s="77"/>
      <c r="I68" s="316"/>
      <c r="J68" s="77"/>
      <c r="K68" s="316"/>
      <c r="L68" s="37" t="s">
        <v>428</v>
      </c>
      <c r="M68" s="318"/>
      <c r="N68" s="331">
        <f t="shared" si="51"/>
        <v>0</v>
      </c>
      <c r="O68" s="318"/>
      <c r="P68" s="319">
        <f t="shared" si="3"/>
        <v>0</v>
      </c>
      <c r="Q68" s="37" t="s">
        <v>411</v>
      </c>
      <c r="R68" s="37" t="s">
        <v>3</v>
      </c>
      <c r="S68" s="150">
        <f t="shared" si="4"/>
        <v>1.9221853757639424</v>
      </c>
      <c r="T68" s="156">
        <f t="shared" si="5"/>
        <v>8904.769113128099</v>
      </c>
      <c r="U68" s="351">
        <f t="shared" si="6"/>
        <v>0</v>
      </c>
      <c r="V68" s="351">
        <f t="shared" si="7"/>
        <v>0</v>
      </c>
      <c r="W68" s="133">
        <f t="shared" si="8"/>
        <v>1</v>
      </c>
      <c r="X68" s="203"/>
      <c r="Y68" s="200">
        <f t="shared" si="52"/>
        <v>1</v>
      </c>
      <c r="Z68" s="318"/>
      <c r="AA68" s="319">
        <f t="shared" si="9"/>
        <v>0</v>
      </c>
      <c r="AB68" s="37" t="s">
        <v>125</v>
      </c>
      <c r="AC68" s="37" t="s">
        <v>349</v>
      </c>
      <c r="AD68" s="103">
        <f t="shared" si="10"/>
        <v>6.2664411871606829</v>
      </c>
      <c r="AE68" s="351">
        <f t="shared" si="11"/>
        <v>0</v>
      </c>
      <c r="AF68" s="316">
        <f t="shared" si="12"/>
        <v>0</v>
      </c>
      <c r="AG68" s="828">
        <f t="shared" si="13"/>
        <v>0.6</v>
      </c>
      <c r="AH68" s="136"/>
      <c r="AI68" s="139">
        <f t="shared" si="14"/>
        <v>0.6</v>
      </c>
      <c r="AJ68" s="318"/>
      <c r="AK68" s="319">
        <f t="shared" si="61"/>
        <v>0</v>
      </c>
      <c r="AL68" s="63">
        <f>Subrates!$C$97</f>
        <v>4.7138306819209967</v>
      </c>
      <c r="AM68" s="157">
        <f t="shared" si="15"/>
        <v>0</v>
      </c>
      <c r="AN68" s="37" t="s">
        <v>125</v>
      </c>
      <c r="AO68" s="37" t="s">
        <v>349</v>
      </c>
      <c r="AP68" s="103">
        <f t="shared" si="16"/>
        <v>6.2664411871606829</v>
      </c>
      <c r="AQ68" s="157">
        <f t="shared" si="17"/>
        <v>0</v>
      </c>
      <c r="AR68" s="37" t="s">
        <v>411</v>
      </c>
      <c r="AS68" s="47" t="s">
        <v>3</v>
      </c>
      <c r="AT68" s="150">
        <f t="shared" si="18"/>
        <v>1.9221853757639424</v>
      </c>
      <c r="AU68" s="157">
        <f t="shared" si="19"/>
        <v>0</v>
      </c>
      <c r="AV68" s="347">
        <f t="shared" si="53"/>
        <v>0</v>
      </c>
      <c r="AW68" s="316">
        <f t="shared" si="20"/>
        <v>0</v>
      </c>
      <c r="AX68" s="828">
        <f t="shared" si="21"/>
        <v>0.5</v>
      </c>
      <c r="AY68" s="136"/>
      <c r="AZ68" s="139">
        <f t="shared" si="22"/>
        <v>0.5</v>
      </c>
      <c r="BA68" s="318"/>
      <c r="BB68" s="319">
        <f t="shared" si="54"/>
        <v>0</v>
      </c>
      <c r="BC68" s="63">
        <f>IF(BE68=Local,Subrates!$C$98,Subrates!$C$99)</f>
        <v>8.0873484007548591</v>
      </c>
      <c r="BD68" s="157">
        <f t="shared" si="23"/>
        <v>0</v>
      </c>
      <c r="BE68" s="149" t="s">
        <v>2026</v>
      </c>
      <c r="BF68" s="48" t="s">
        <v>485</v>
      </c>
      <c r="BG68" s="63">
        <f>IF(BE68=Local,0,VLOOKUP(BF68,Long_distance_values_subs,Subrates!$C$5,FALSE))</f>
        <v>0</v>
      </c>
      <c r="BH68" s="63">
        <f>IF(BE68=Local,0,Subrates!$D$121)</f>
        <v>0</v>
      </c>
      <c r="BI68" s="207"/>
      <c r="BJ68" s="157">
        <f t="shared" si="55"/>
        <v>0</v>
      </c>
      <c r="BK68" s="347">
        <f t="shared" si="56"/>
        <v>0</v>
      </c>
      <c r="BL68" s="316">
        <f t="shared" si="24"/>
        <v>0</v>
      </c>
      <c r="BM68" s="828">
        <f t="shared" si="25"/>
        <v>1.5</v>
      </c>
      <c r="BN68" s="136"/>
      <c r="BO68" s="139">
        <f t="shared" si="26"/>
        <v>1.5</v>
      </c>
      <c r="BP68" s="318"/>
      <c r="BQ68" s="319">
        <f t="shared" si="27"/>
        <v>0</v>
      </c>
      <c r="BR68" s="37" t="s">
        <v>125</v>
      </c>
      <c r="BS68" s="37" t="s">
        <v>349</v>
      </c>
      <c r="BT68" s="103">
        <f t="shared" si="28"/>
        <v>6.2664411871606829</v>
      </c>
      <c r="BU68" s="408">
        <f t="shared" si="29"/>
        <v>0</v>
      </c>
      <c r="BV68" s="37" t="s">
        <v>411</v>
      </c>
      <c r="BW68" s="37" t="s">
        <v>3</v>
      </c>
      <c r="BX68" s="150">
        <f t="shared" si="30"/>
        <v>1.9221853757639424</v>
      </c>
      <c r="BY68" s="408">
        <f t="shared" si="31"/>
        <v>0</v>
      </c>
      <c r="BZ68" s="351">
        <f t="shared" si="32"/>
        <v>0</v>
      </c>
      <c r="CA68" s="318"/>
      <c r="CB68" s="63">
        <f>Subrates!$C$94</f>
        <v>2.2000000000000002</v>
      </c>
      <c r="CC68" s="318"/>
      <c r="CD68" s="63">
        <f>Subrates!$C$95</f>
        <v>13.200000000000001</v>
      </c>
      <c r="CE68" s="318"/>
      <c r="CF68" s="63">
        <f>Subrates!$C$96</f>
        <v>14.3</v>
      </c>
      <c r="CG68" s="351">
        <f t="shared" si="33"/>
        <v>0</v>
      </c>
      <c r="CH68" s="316"/>
      <c r="CI68" s="63">
        <f>Subrates!$C$106</f>
        <v>21234.52910306484</v>
      </c>
      <c r="CJ68" s="351">
        <f t="shared" si="34"/>
        <v>0</v>
      </c>
      <c r="CK68" s="63">
        <f>Subrates!$C$105</f>
        <v>2885.2856380177936</v>
      </c>
      <c r="CL68" s="407">
        <f t="shared" si="35"/>
        <v>0</v>
      </c>
      <c r="CM68" s="828">
        <f t="shared" si="36"/>
        <v>0.15</v>
      </c>
      <c r="CN68" s="73"/>
      <c r="CO68" s="318"/>
      <c r="CP68" s="331">
        <f t="shared" si="37"/>
        <v>0</v>
      </c>
      <c r="CQ68" s="37" t="s">
        <v>125</v>
      </c>
      <c r="CR68" s="383" t="s">
        <v>348</v>
      </c>
      <c r="CS68" s="103">
        <f t="shared" si="38"/>
        <v>4.8064250364478198</v>
      </c>
      <c r="CT68" s="347">
        <f t="shared" si="39"/>
        <v>0</v>
      </c>
      <c r="CU68" s="149" t="s">
        <v>2026</v>
      </c>
      <c r="CV68" s="48" t="s">
        <v>485</v>
      </c>
      <c r="CW68" s="103">
        <f>IF(CU68=Local,0,VLOOKUP(CV68,Long_distance_values_subs,Subrates!$C$5,FALSE))</f>
        <v>0</v>
      </c>
      <c r="CX68" s="63">
        <f>IF(CU68=Local,0,Subrates!$D$122)</f>
        <v>0</v>
      </c>
      <c r="CY68" s="207"/>
      <c r="CZ68" s="205">
        <f>IF(CY68="",CP68*VLOOKUP(CV68,Long_distance_values_subs,Subrates!$H$5,FALSE)*CW68+CP68*CX68,CP68*CY68)</f>
        <v>0</v>
      </c>
      <c r="DA68" s="347">
        <f t="shared" si="40"/>
        <v>0</v>
      </c>
      <c r="DB68" s="318"/>
      <c r="DC68" s="195" t="s">
        <v>48</v>
      </c>
      <c r="DD68" s="1096" t="str">
        <f>IF(DC68=Lists!$B$18,"N/A",VLOOKUP(DC68,Lists!$B$18:$D$26,Lists!$C$3,FALSE))</f>
        <v>N/A</v>
      </c>
      <c r="DE68" s="63">
        <f>IF(DC68=Lists!$B$18,0,VLOOKUP(DD68,Amend_TOV,TOV!$F$1,FALSE))</f>
        <v>0</v>
      </c>
      <c r="DF68" s="117"/>
      <c r="DG68" s="318"/>
      <c r="DH68" s="195" t="s">
        <v>48</v>
      </c>
      <c r="DI68" s="1096" t="str">
        <f>IF(DH68=Lists!$B$18,"N/A",VLOOKUP(DH68,Lists!$B$18:$D$26,Lists!$C$3,FALSE))</f>
        <v>N/A</v>
      </c>
      <c r="DJ68" s="63">
        <f>IF(DH68=Lists!$B$18,0,VLOOKUP(DI68,Amend_TOV,TOV!$F$1,FALSE))</f>
        <v>0</v>
      </c>
      <c r="DK68" s="117"/>
      <c r="DL68" s="318"/>
      <c r="DM68" s="195" t="s">
        <v>48</v>
      </c>
      <c r="DN68" s="1096" t="str">
        <f>IF(DM68=Lists!$B$18,"N/A",VLOOKUP(DM68,Lists!$B$18:$D$26,Lists!$C$3,FALSE))</f>
        <v>N/A</v>
      </c>
      <c r="DO68" s="63">
        <f>IF(DM68=Lists!$B$18,0,VLOOKUP(DN68,Amend_TOV,TOV!$F$1,FALSE))</f>
        <v>0</v>
      </c>
      <c r="DP68" s="117"/>
      <c r="DQ68" s="351">
        <f t="shared" si="41"/>
        <v>0</v>
      </c>
      <c r="DR68" s="316">
        <f t="shared" si="42"/>
        <v>0</v>
      </c>
      <c r="DS68" s="208">
        <v>1</v>
      </c>
      <c r="DT68" s="208"/>
      <c r="DU68" s="67">
        <f t="shared" si="43"/>
        <v>0</v>
      </c>
      <c r="DV68" s="210" t="str">
        <f t="shared" si="57"/>
        <v>No Alert</v>
      </c>
      <c r="DW68" s="351">
        <f t="shared" si="44"/>
        <v>0</v>
      </c>
      <c r="DX68" s="351">
        <f t="shared" si="45"/>
        <v>0</v>
      </c>
      <c r="DY68" s="1137">
        <f t="shared" si="46"/>
        <v>0</v>
      </c>
      <c r="DZ68" s="1138"/>
      <c r="EA68" s="351">
        <f t="shared" si="58"/>
        <v>0</v>
      </c>
      <c r="EB68" s="63">
        <f t="shared" si="47"/>
        <v>2850</v>
      </c>
      <c r="EC68" s="117"/>
      <c r="ED68" s="351">
        <f t="shared" si="48"/>
        <v>0</v>
      </c>
      <c r="EE68" s="159"/>
      <c r="EF68" s="111">
        <f t="shared" si="59"/>
        <v>0</v>
      </c>
      <c r="EG68" s="1097">
        <f t="shared" si="49"/>
        <v>0</v>
      </c>
      <c r="EH68" s="803">
        <f t="shared" si="60"/>
        <v>0</v>
      </c>
      <c r="EI68" s="215"/>
      <c r="EJ68" s="217"/>
      <c r="EK68" s="217"/>
      <c r="EL68" s="217"/>
      <c r="EM68" s="217"/>
      <c r="EN68" s="217"/>
      <c r="EO68" s="217"/>
      <c r="EP68" s="218"/>
    </row>
    <row r="69" spans="2:150" s="520" customFormat="1" ht="16.149999999999999" customHeight="1">
      <c r="B69" s="582"/>
      <c r="C69" s="582"/>
      <c r="D69" s="736"/>
      <c r="E69" s="868"/>
      <c r="F69" s="873"/>
      <c r="G69" s="868"/>
      <c r="H69" s="898"/>
      <c r="I69" s="868"/>
      <c r="J69" s="898"/>
      <c r="K69" s="868"/>
      <c r="L69" s="736"/>
      <c r="M69" s="323"/>
      <c r="N69" s="323"/>
      <c r="O69" s="323"/>
      <c r="P69" s="323"/>
      <c r="Q69" s="1098"/>
      <c r="U69" s="872"/>
      <c r="V69" s="54"/>
      <c r="W69" s="23"/>
      <c r="X69" s="131"/>
      <c r="Y69" s="131"/>
      <c r="Z69" s="323"/>
      <c r="AA69" s="323"/>
      <c r="AD69" s="768"/>
      <c r="AE69" s="54"/>
      <c r="AF69" s="323"/>
      <c r="AG69" s="131"/>
      <c r="AH69" s="131"/>
      <c r="AI69" s="131"/>
      <c r="AJ69" s="323"/>
      <c r="AK69" s="323"/>
      <c r="AM69" s="54"/>
      <c r="AQ69" s="23"/>
      <c r="AU69" s="23"/>
      <c r="AV69" s="23"/>
      <c r="AW69" s="323"/>
      <c r="AX69" s="131"/>
      <c r="AY69" s="131"/>
      <c r="AZ69" s="131"/>
      <c r="BA69" s="323"/>
      <c r="BB69" s="323"/>
      <c r="BD69" s="23"/>
      <c r="BH69" s="495"/>
      <c r="BJ69" s="23"/>
      <c r="BK69" s="23"/>
      <c r="BL69" s="323"/>
      <c r="BM69" s="131"/>
      <c r="BN69" s="131"/>
      <c r="BO69" s="131"/>
      <c r="BP69" s="323"/>
      <c r="BQ69" s="323"/>
      <c r="BR69" s="736"/>
      <c r="BS69" s="736"/>
      <c r="BU69" s="54"/>
      <c r="BV69" s="23"/>
      <c r="BY69" s="54"/>
      <c r="BZ69" s="54"/>
      <c r="CA69" s="868"/>
      <c r="CC69" s="868"/>
      <c r="CE69" s="868"/>
      <c r="CG69" s="54"/>
      <c r="CH69" s="870"/>
      <c r="CI69" s="872"/>
      <c r="CJ69" s="1099"/>
      <c r="CK69" s="872"/>
      <c r="CL69" s="54"/>
      <c r="CM69" s="925"/>
      <c r="CN69" s="131"/>
      <c r="CO69" s="323"/>
      <c r="CP69" s="323"/>
      <c r="CR69" s="495"/>
      <c r="CT69" s="23"/>
      <c r="DA69" s="495"/>
      <c r="DB69" s="323"/>
      <c r="DC69" s="1098"/>
      <c r="DD69" s="1098"/>
      <c r="DG69" s="870"/>
      <c r="DH69" s="1098"/>
      <c r="DI69" s="1098"/>
      <c r="DL69" s="870"/>
      <c r="DM69" s="1098"/>
      <c r="DN69" s="1098"/>
      <c r="DQ69" s="1099"/>
      <c r="DR69" s="870"/>
      <c r="DW69" s="872"/>
      <c r="DX69" s="872"/>
      <c r="DY69" s="869"/>
      <c r="EA69" s="495"/>
      <c r="EB69" s="495"/>
      <c r="EC69" s="495"/>
      <c r="ED69" s="872"/>
      <c r="EE69" s="1099"/>
      <c r="EF69" s="109"/>
      <c r="EG69" s="872"/>
      <c r="EH69" s="872"/>
    </row>
    <row r="70" spans="2:150" s="520" customFormat="1" ht="16.149999999999999" customHeight="1">
      <c r="E70" s="372">
        <f>SUM(E51:E68)</f>
        <v>0</v>
      </c>
      <c r="F70" s="899"/>
      <c r="G70" s="372">
        <f>SUM(G51:G68)</f>
        <v>0</v>
      </c>
      <c r="H70" s="1100"/>
      <c r="I70" s="372">
        <f>SUM(I51:I68)</f>
        <v>0</v>
      </c>
      <c r="J70" s="1100"/>
      <c r="K70" s="372">
        <f>SUM(K51:K68)</f>
        <v>0</v>
      </c>
      <c r="L70" s="899"/>
      <c r="M70" s="372">
        <f>SUM(M51:M68)</f>
        <v>0</v>
      </c>
      <c r="N70" s="372">
        <f>SUM(N51:N68)</f>
        <v>0</v>
      </c>
      <c r="O70" s="372">
        <f>SUM(O51:O68)</f>
        <v>0</v>
      </c>
      <c r="P70" s="372">
        <f>SUM(P51:P68)</f>
        <v>0</v>
      </c>
      <c r="Q70" s="899"/>
      <c r="U70" s="351">
        <f>SUM(U51:U69)</f>
        <v>0</v>
      </c>
      <c r="V70" s="351">
        <f>SUM(V51:V69)</f>
        <v>0</v>
      </c>
      <c r="W70" s="1100"/>
      <c r="X70" s="1100"/>
      <c r="Y70" s="1100"/>
      <c r="Z70" s="372">
        <f>SUM(Z52:Z69)</f>
        <v>0</v>
      </c>
      <c r="AA70" s="372">
        <f>SUM(AA52:AA69)</f>
        <v>0</v>
      </c>
      <c r="AD70" s="768"/>
      <c r="AE70" s="351">
        <f>SUM(AE51:AE69)</f>
        <v>0</v>
      </c>
      <c r="AF70" s="372">
        <f>SUM(AF52:AF69)</f>
        <v>0</v>
      </c>
      <c r="AG70" s="140"/>
      <c r="AH70" s="140"/>
      <c r="AI70" s="140"/>
      <c r="AJ70" s="372">
        <f>SUM(AJ51:AJ68)</f>
        <v>0</v>
      </c>
      <c r="AK70" s="372">
        <f>SUM(AK51:AK68)</f>
        <v>0</v>
      </c>
      <c r="AL70" s="768"/>
      <c r="AM70" s="227">
        <f>SUM(AM51:AM69)</f>
        <v>0</v>
      </c>
      <c r="AQ70" s="226">
        <f>SUM(AQ51:AQ69)</f>
        <v>0</v>
      </c>
      <c r="AU70" s="226">
        <f>SUM(AU51:AU69)</f>
        <v>0</v>
      </c>
      <c r="AV70" s="347">
        <f>SUM(AV51:AV69)</f>
        <v>0</v>
      </c>
      <c r="AW70" s="372">
        <f>SUM(AW51:AW68)</f>
        <v>0</v>
      </c>
      <c r="AX70" s="140"/>
      <c r="AY70" s="140"/>
      <c r="AZ70" s="140"/>
      <c r="BA70" s="372">
        <f>SUM(BA51:BA68)</f>
        <v>0</v>
      </c>
      <c r="BB70" s="372">
        <f>SUM(BB51:BB68)</f>
        <v>0</v>
      </c>
      <c r="BD70" s="226">
        <f>SUM(BD51:BD69)</f>
        <v>0</v>
      </c>
      <c r="BH70" s="1101"/>
      <c r="BJ70" s="226">
        <f>SUM(BJ51:BJ69)</f>
        <v>0</v>
      </c>
      <c r="BK70" s="347">
        <f>SUM(BK51:BK69)</f>
        <v>0</v>
      </c>
      <c r="BL70" s="372">
        <f>SUM(BL51:BL68)</f>
        <v>0</v>
      </c>
      <c r="BM70" s="898"/>
      <c r="BN70" s="898"/>
      <c r="BO70" s="898"/>
      <c r="BP70" s="372">
        <f>SUM(BP51:BP68)</f>
        <v>0</v>
      </c>
      <c r="BQ70" s="372">
        <f>SUM(BQ51:BQ68)</f>
        <v>0</v>
      </c>
      <c r="BU70" s="351">
        <f>SUM(BU51:BU69)</f>
        <v>0</v>
      </c>
      <c r="BY70" s="351">
        <f>SUM(BY51:BY69)</f>
        <v>0</v>
      </c>
      <c r="BZ70" s="351">
        <f>SUM(BZ51:BZ69)</f>
        <v>0</v>
      </c>
      <c r="CA70" s="372">
        <f>SUM(CA51:CA68)</f>
        <v>0</v>
      </c>
      <c r="CC70" s="372">
        <f>SUM(CC51:CC68)</f>
        <v>0</v>
      </c>
      <c r="CE70" s="372">
        <f>SUM(CE51:CE68)</f>
        <v>0</v>
      </c>
      <c r="CG70" s="351">
        <f>SUM(CG51:CG69)</f>
        <v>0</v>
      </c>
      <c r="CH70" s="372">
        <f>SUM(CH51:CH68)</f>
        <v>0</v>
      </c>
      <c r="CI70" s="872"/>
      <c r="CJ70" s="351">
        <f>SUM(CJ51:CJ69)</f>
        <v>0</v>
      </c>
      <c r="CK70" s="872"/>
      <c r="CL70" s="351">
        <f>SUM(CL51:CL69)</f>
        <v>0</v>
      </c>
      <c r="CM70" s="898"/>
      <c r="CN70" s="898"/>
      <c r="CO70" s="868"/>
      <c r="CP70" s="372">
        <f>SUM(CP51:CP69)</f>
        <v>0</v>
      </c>
      <c r="CT70" s="347">
        <f>SUM(CT51:CT69)</f>
        <v>0</v>
      </c>
      <c r="CZ70" s="347">
        <f>SUM(CZ51:CZ69)</f>
        <v>0</v>
      </c>
      <c r="DA70" s="347">
        <f>SUM(DA51:DA69)</f>
        <v>0</v>
      </c>
      <c r="DB70" s="372">
        <f>SUM(DB51:DB69)</f>
        <v>0</v>
      </c>
      <c r="DC70" s="1101"/>
      <c r="DD70" s="1101"/>
      <c r="DG70" s="372">
        <f>SUM(DG51:DG69)</f>
        <v>0</v>
      </c>
      <c r="DH70" s="1101"/>
      <c r="DI70" s="1101"/>
      <c r="DL70" s="372">
        <f>SUM(DL51:DL69)</f>
        <v>0</v>
      </c>
      <c r="DM70" s="1101"/>
      <c r="DN70" s="1101"/>
      <c r="DQ70" s="351">
        <f>SUM(DQ51:DQ69)</f>
        <v>0</v>
      </c>
      <c r="DR70" s="372">
        <f>SUM(DR51:DR69)</f>
        <v>0</v>
      </c>
      <c r="DW70" s="351">
        <f>SUM(DW51:DW69)</f>
        <v>0</v>
      </c>
      <c r="DX70" s="351">
        <f>SUM(DX51:DX69)</f>
        <v>0</v>
      </c>
      <c r="DY70" s="372">
        <f>SUM(DY51:DY69)</f>
        <v>0</v>
      </c>
      <c r="EA70" s="347">
        <f>SUM(EA51:EA69)</f>
        <v>0</v>
      </c>
      <c r="ED70" s="351">
        <f>SUM(ED51:ED69)</f>
        <v>0</v>
      </c>
      <c r="EE70" s="347">
        <f>SUM(EE51:EE69)</f>
        <v>0</v>
      </c>
      <c r="EF70" s="264">
        <f>SUM(EF51:EF69)</f>
        <v>0</v>
      </c>
      <c r="EG70" s="404">
        <f>IF(E70=0,0,EF70/E70)</f>
        <v>0</v>
      </c>
      <c r="EH70" s="872"/>
    </row>
    <row r="71" spans="2:150" s="520" customFormat="1" ht="16.149999999999999" customHeight="1">
      <c r="B71" s="1102"/>
      <c r="C71" s="1102"/>
      <c r="D71" s="1102"/>
      <c r="E71" s="1102"/>
      <c r="F71" s="1102"/>
      <c r="G71" s="1102"/>
      <c r="H71" s="1102"/>
      <c r="I71" s="1102"/>
      <c r="J71" s="1102"/>
      <c r="K71" s="1102"/>
      <c r="L71" s="1102"/>
      <c r="M71" s="1102"/>
      <c r="N71" s="1102"/>
      <c r="O71" s="1102"/>
      <c r="P71" s="1102"/>
      <c r="Q71" s="1102"/>
      <c r="R71" s="1102"/>
      <c r="S71" s="1102"/>
      <c r="T71" s="1102"/>
      <c r="U71" s="1102"/>
      <c r="V71" s="1102"/>
      <c r="W71" s="1102"/>
      <c r="X71" s="1102"/>
      <c r="Y71" s="1102"/>
      <c r="Z71" s="1102"/>
      <c r="AA71" s="1102"/>
      <c r="AB71" s="1102"/>
      <c r="AC71" s="1102"/>
      <c r="AD71" s="1102"/>
      <c r="AE71" s="1102"/>
      <c r="AF71" s="1102"/>
      <c r="AG71" s="1102"/>
      <c r="AH71" s="1102"/>
      <c r="AI71" s="1102"/>
      <c r="AJ71" s="1102"/>
      <c r="AK71" s="1102"/>
      <c r="AL71" s="1102"/>
      <c r="AM71" s="1102"/>
      <c r="AN71" s="1102"/>
      <c r="AO71" s="1102"/>
      <c r="AP71" s="1102"/>
      <c r="AQ71" s="1102"/>
      <c r="AR71" s="1102"/>
      <c r="AS71" s="1102"/>
      <c r="AT71" s="1102"/>
      <c r="AU71" s="1102"/>
      <c r="AV71" s="1102"/>
      <c r="AW71" s="1102"/>
      <c r="AX71" s="1102"/>
      <c r="AY71" s="1102"/>
      <c r="AZ71" s="1102"/>
      <c r="BA71" s="1102"/>
      <c r="BB71" s="1102"/>
      <c r="BC71" s="1102"/>
      <c r="BD71" s="1102"/>
      <c r="BE71" s="1102"/>
      <c r="BF71" s="1102"/>
      <c r="BG71" s="1102"/>
      <c r="BH71" s="1102"/>
      <c r="BI71" s="1102"/>
      <c r="BJ71" s="1102"/>
      <c r="BK71" s="1102"/>
      <c r="BL71" s="1102"/>
      <c r="BM71" s="1102"/>
      <c r="BN71" s="1102"/>
      <c r="BO71" s="1102"/>
      <c r="BP71" s="1102"/>
      <c r="BQ71" s="1102"/>
      <c r="BR71" s="1102"/>
      <c r="BS71" s="1102"/>
      <c r="BT71" s="1102"/>
      <c r="BU71" s="1102"/>
      <c r="BV71" s="1102"/>
      <c r="BW71" s="1102"/>
      <c r="BX71" s="1102"/>
      <c r="BY71" s="1102"/>
      <c r="BZ71" s="1102"/>
      <c r="CA71" s="1102"/>
      <c r="CB71" s="1102"/>
      <c r="CC71" s="1102"/>
      <c r="CD71" s="1102"/>
      <c r="CE71" s="1102"/>
      <c r="CF71" s="1102"/>
      <c r="CG71" s="1102"/>
      <c r="CH71" s="1102"/>
      <c r="CI71" s="1102"/>
      <c r="CJ71" s="1102"/>
      <c r="CK71" s="1102"/>
      <c r="CL71" s="1102"/>
      <c r="CM71" s="1102"/>
      <c r="CN71" s="1102"/>
      <c r="CO71" s="1102"/>
      <c r="CP71" s="1102"/>
      <c r="CQ71" s="1102"/>
      <c r="CR71" s="1102"/>
      <c r="CS71" s="1102"/>
      <c r="CT71" s="1102"/>
      <c r="CU71" s="1102"/>
      <c r="CV71" s="1102"/>
      <c r="CW71" s="1102"/>
      <c r="CX71" s="1102"/>
      <c r="CY71" s="1102"/>
      <c r="CZ71" s="1102"/>
      <c r="DA71" s="1102"/>
      <c r="DB71" s="1102"/>
      <c r="DC71" s="1102"/>
      <c r="DD71" s="1102"/>
      <c r="DE71" s="1102"/>
      <c r="DF71" s="1102"/>
      <c r="DG71" s="1102"/>
      <c r="DH71" s="1102"/>
      <c r="DI71" s="1102"/>
      <c r="DJ71" s="1102"/>
      <c r="DK71" s="1102"/>
      <c r="DL71" s="1102"/>
      <c r="DM71" s="1102"/>
      <c r="DN71" s="1102"/>
      <c r="DO71" s="1102"/>
      <c r="DP71" s="1102"/>
      <c r="DQ71" s="1102"/>
      <c r="DR71" s="1102"/>
      <c r="DS71" s="1102"/>
      <c r="DT71" s="1102"/>
      <c r="DU71" s="1102"/>
      <c r="DV71" s="1102"/>
      <c r="DW71" s="1102"/>
      <c r="DX71" s="1102"/>
      <c r="DY71" s="1102"/>
      <c r="DZ71" s="1102"/>
      <c r="EA71" s="1102"/>
      <c r="EB71" s="1102"/>
      <c r="EC71" s="1102"/>
      <c r="ED71" s="1102"/>
      <c r="EE71" s="1102"/>
      <c r="EF71" s="1102"/>
      <c r="EG71" s="1102"/>
    </row>
    <row r="72" spans="2:150" ht="12.75">
      <c r="E72" s="475"/>
      <c r="F72" s="475"/>
      <c r="G72" s="475"/>
      <c r="H72" s="475"/>
      <c r="I72" s="475"/>
      <c r="J72" s="475"/>
      <c r="K72" s="475"/>
      <c r="L72" s="475"/>
      <c r="M72" s="475"/>
      <c r="N72" s="475"/>
      <c r="O72" s="475"/>
      <c r="P72" s="475"/>
      <c r="Q72" s="475"/>
      <c r="R72" s="475"/>
      <c r="S72" s="475"/>
      <c r="T72" s="475"/>
      <c r="U72" s="475"/>
      <c r="V72" s="475"/>
      <c r="W72" s="475"/>
      <c r="Z72" s="475"/>
      <c r="AA72" s="475"/>
      <c r="AB72" s="475"/>
      <c r="AC72" s="475"/>
      <c r="AD72" s="475"/>
      <c r="AI72" s="475"/>
      <c r="AJ72" s="475"/>
      <c r="AK72" s="475"/>
      <c r="AL72" s="475"/>
      <c r="AM72" s="475"/>
      <c r="AN72" s="475"/>
      <c r="AO72" s="475"/>
      <c r="AP72" s="475"/>
      <c r="AQ72" s="475"/>
      <c r="AR72" s="475"/>
      <c r="AS72" s="475"/>
      <c r="AY72" s="434"/>
      <c r="AZ72" s="475"/>
      <c r="BA72" s="475"/>
      <c r="BB72" s="475"/>
      <c r="BC72" s="475"/>
      <c r="BD72" s="475"/>
      <c r="BF72" s="475"/>
      <c r="BI72" s="474"/>
      <c r="BJ72" s="474"/>
      <c r="BK72" s="474"/>
      <c r="BL72" s="474"/>
      <c r="BM72" s="474"/>
      <c r="BW72" s="474"/>
      <c r="BY72" s="474"/>
      <c r="CA72" s="474"/>
      <c r="CD72" s="474"/>
      <c r="CI72" s="434"/>
      <c r="CJ72" s="474"/>
      <c r="CK72" s="474"/>
      <c r="CL72" s="474"/>
      <c r="CM72" s="474"/>
      <c r="CP72" s="1068"/>
      <c r="CQ72" s="474"/>
      <c r="CZ72" s="474"/>
      <c r="DW72" s="474"/>
      <c r="DX72" s="474"/>
      <c r="ET72" s="475"/>
    </row>
    <row r="73" spans="2:150" ht="14.25">
      <c r="C73" s="475" t="s">
        <v>1898</v>
      </c>
      <c r="E73" s="475"/>
      <c r="F73" s="475"/>
      <c r="G73" s="475"/>
      <c r="H73" s="475"/>
      <c r="I73" s="475"/>
      <c r="J73" s="475"/>
      <c r="K73" s="475"/>
      <c r="L73" s="475"/>
      <c r="M73" s="475"/>
      <c r="N73" s="475"/>
      <c r="O73" s="475"/>
      <c r="P73" s="475"/>
      <c r="Q73" s="475"/>
      <c r="R73" s="475"/>
      <c r="S73" s="475"/>
      <c r="T73" s="475"/>
      <c r="U73" s="475"/>
      <c r="V73" s="475"/>
      <c r="W73" s="475"/>
      <c r="X73" s="475"/>
      <c r="Y73" s="475"/>
      <c r="AA73" s="475"/>
      <c r="AB73" s="475"/>
      <c r="AC73" s="475"/>
      <c r="AD73" s="475"/>
      <c r="AE73" s="475"/>
      <c r="AF73" s="475"/>
      <c r="AJ73" s="475"/>
      <c r="AK73" s="475"/>
      <c r="AL73" s="475"/>
      <c r="AM73" s="475"/>
      <c r="AN73" s="475"/>
      <c r="AO73" s="475"/>
      <c r="AP73" s="475"/>
      <c r="AQ73" s="475"/>
      <c r="AR73" s="475"/>
      <c r="AX73" s="434"/>
      <c r="AY73" s="475"/>
      <c r="AZ73" s="475"/>
      <c r="BA73" s="475"/>
      <c r="BB73" s="475"/>
      <c r="BC73" s="475"/>
      <c r="BD73" s="475"/>
      <c r="BF73" s="475"/>
      <c r="BG73" s="474"/>
      <c r="BI73" s="474"/>
      <c r="BJ73" s="474"/>
      <c r="BK73" s="474"/>
      <c r="BV73" s="474"/>
      <c r="BY73" s="474"/>
      <c r="CB73" s="474"/>
      <c r="CF73" s="434"/>
      <c r="CG73" s="474"/>
      <c r="CH73" s="474"/>
      <c r="CL73" s="906" t="str">
        <f>IF(CL76="","No Alert","Enter justification")</f>
        <v>No Alert</v>
      </c>
      <c r="CM73" s="906" t="str">
        <f>IF(CM76="","No Alert","Enter justification")</f>
        <v>No Alert</v>
      </c>
      <c r="CN73" s="474"/>
      <c r="CW73" s="474"/>
      <c r="DT73" s="474"/>
      <c r="DU73" s="474"/>
      <c r="ET73" s="475"/>
    </row>
    <row r="74" spans="2:150" ht="18" customHeight="1">
      <c r="C74" s="475" t="s">
        <v>1521</v>
      </c>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c r="AJ74" s="434"/>
      <c r="AK74" s="434"/>
      <c r="AL74" s="434"/>
      <c r="AM74" s="434"/>
      <c r="AN74" s="434"/>
      <c r="AO74" s="434"/>
      <c r="AP74" s="434"/>
      <c r="AQ74" s="434"/>
      <c r="AR74" s="434"/>
      <c r="AS74" s="434"/>
      <c r="AT74" s="434"/>
      <c r="AU74" s="434"/>
      <c r="AV74" s="434"/>
      <c r="AW74" s="434"/>
      <c r="AX74" s="434"/>
      <c r="AY74" s="434"/>
      <c r="AZ74" s="434"/>
      <c r="BA74" s="434"/>
      <c r="BB74" s="434"/>
      <c r="BC74" s="434"/>
      <c r="BD74" s="434"/>
      <c r="BE74" s="434"/>
      <c r="BF74" s="434"/>
      <c r="BG74" s="434"/>
      <c r="BH74" s="434"/>
      <c r="BI74" s="434"/>
      <c r="BJ74" s="434"/>
      <c r="BK74" s="434"/>
      <c r="BL74" s="434"/>
      <c r="BM74" s="434"/>
      <c r="BN74" s="434"/>
      <c r="BO74" s="434"/>
      <c r="BP74" s="434"/>
      <c r="BQ74" s="434"/>
      <c r="BR74" s="434"/>
      <c r="BS74" s="434"/>
      <c r="BT74" s="434"/>
      <c r="BU74" s="434"/>
      <c r="BV74" s="434"/>
      <c r="BW74" s="434"/>
      <c r="BX74" s="434"/>
      <c r="BY74" s="434"/>
      <c r="BZ74" s="434"/>
      <c r="CA74" s="434"/>
      <c r="CB74" s="434"/>
      <c r="CC74" s="434"/>
      <c r="CD74" s="434"/>
      <c r="CE74" s="434"/>
      <c r="CF74" s="434"/>
      <c r="CG74" s="434"/>
      <c r="CH74" s="434"/>
      <c r="CI74" s="434"/>
      <c r="CJ74" s="434"/>
      <c r="CK74" s="475" t="s">
        <v>1521</v>
      </c>
      <c r="CL74" s="824" t="str">
        <f>TOVNum_Pasture</f>
        <v>#14.40</v>
      </c>
      <c r="CM74" s="824" t="str">
        <f>TOVNum_Native</f>
        <v>#14.41</v>
      </c>
      <c r="CN74" s="434"/>
      <c r="CO74" s="434"/>
      <c r="CP74" s="434"/>
      <c r="CQ74" s="434"/>
      <c r="CR74" s="434"/>
      <c r="CS74" s="434"/>
      <c r="EF74" s="1068"/>
      <c r="ET74" s="475"/>
    </row>
    <row r="75" spans="2:150" ht="18" customHeight="1">
      <c r="B75" s="434"/>
      <c r="C75" s="475" t="s">
        <v>1780</v>
      </c>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4"/>
      <c r="AJ75" s="434"/>
      <c r="AK75" s="434"/>
      <c r="AL75" s="434"/>
      <c r="AM75" s="434"/>
      <c r="AN75" s="434"/>
      <c r="AO75" s="434"/>
      <c r="AP75" s="434"/>
      <c r="AQ75" s="434"/>
      <c r="AR75" s="434"/>
      <c r="AS75" s="434"/>
      <c r="AT75" s="434"/>
      <c r="AU75" s="434"/>
      <c r="AV75" s="434"/>
      <c r="AW75" s="434"/>
      <c r="AX75" s="434"/>
      <c r="AY75" s="434"/>
      <c r="AZ75" s="434"/>
      <c r="BA75" s="434"/>
      <c r="BB75" s="434"/>
      <c r="BC75" s="434"/>
      <c r="BD75" s="434"/>
      <c r="BE75" s="434"/>
      <c r="BF75" s="434"/>
      <c r="BG75" s="434"/>
      <c r="BH75" s="434"/>
      <c r="BI75" s="434"/>
      <c r="BJ75" s="434"/>
      <c r="BK75" s="434"/>
      <c r="BL75" s="434"/>
      <c r="BM75" s="434"/>
      <c r="BN75" s="434"/>
      <c r="BO75" s="434"/>
      <c r="BP75" s="434"/>
      <c r="BQ75" s="434"/>
      <c r="BR75" s="434"/>
      <c r="BS75" s="434"/>
      <c r="BT75" s="434"/>
      <c r="BU75" s="434"/>
      <c r="BV75" s="434"/>
      <c r="BW75" s="434"/>
      <c r="BX75" s="434"/>
      <c r="BY75" s="434"/>
      <c r="BZ75" s="434"/>
      <c r="CA75" s="434"/>
      <c r="CB75" s="434"/>
      <c r="CC75" s="434"/>
      <c r="CD75" s="434"/>
      <c r="CE75" s="434"/>
      <c r="CF75" s="434"/>
      <c r="CG75" s="434"/>
      <c r="CH75" s="434"/>
      <c r="CI75" s="434"/>
      <c r="CJ75" s="434"/>
      <c r="CK75" s="475" t="s">
        <v>1780</v>
      </c>
      <c r="CL75" s="63">
        <f>Seed_pasture_rate</f>
        <v>1655.5</v>
      </c>
      <c r="CM75" s="63">
        <f>Seed_native_rate</f>
        <v>4196.5</v>
      </c>
      <c r="CN75" s="953"/>
      <c r="CO75" s="434"/>
      <c r="CP75" s="434"/>
      <c r="CQ75" s="434"/>
      <c r="CR75" s="434"/>
      <c r="CS75" s="434"/>
      <c r="EF75" s="1068"/>
      <c r="ET75" s="475"/>
    </row>
    <row r="76" spans="2:150" ht="18" customHeight="1">
      <c r="B76" s="434"/>
      <c r="C76" s="475" t="s">
        <v>1556</v>
      </c>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4"/>
      <c r="BQ76" s="434"/>
      <c r="BR76" s="434"/>
      <c r="BS76" s="434"/>
      <c r="BT76" s="434"/>
      <c r="BU76" s="434"/>
      <c r="BV76" s="434"/>
      <c r="BW76" s="434"/>
      <c r="BX76" s="434"/>
      <c r="BY76" s="434"/>
      <c r="BZ76" s="434"/>
      <c r="CA76" s="434"/>
      <c r="CB76" s="434"/>
      <c r="CC76" s="434"/>
      <c r="CD76" s="434"/>
      <c r="CE76" s="434"/>
      <c r="CF76" s="434"/>
      <c r="CG76" s="434"/>
      <c r="CH76" s="434"/>
      <c r="CI76" s="434"/>
      <c r="CJ76" s="434"/>
      <c r="CK76" s="475" t="s">
        <v>1556</v>
      </c>
      <c r="CL76" s="370"/>
      <c r="CM76" s="370"/>
      <c r="CN76" s="953"/>
      <c r="CO76" s="434"/>
      <c r="CP76" s="434"/>
      <c r="CQ76" s="434"/>
      <c r="CR76" s="434"/>
      <c r="CS76" s="434"/>
      <c r="EF76" s="1068"/>
      <c r="ET76" s="475"/>
    </row>
    <row r="77" spans="2:150" ht="18" customHeight="1">
      <c r="B77" s="642"/>
      <c r="C77" s="475" t="s">
        <v>1</v>
      </c>
      <c r="D77" s="1103"/>
      <c r="E77" s="1103"/>
      <c r="F77" s="1103"/>
      <c r="G77" s="1103"/>
      <c r="H77" s="1104"/>
      <c r="I77" s="1104"/>
      <c r="J77" s="1104"/>
      <c r="K77" s="1104"/>
      <c r="L77" s="1104"/>
      <c r="M77" s="434"/>
      <c r="N77" s="475"/>
      <c r="O77" s="434"/>
      <c r="Q77" s="475"/>
      <c r="R77" s="475"/>
      <c r="S77" s="1104"/>
      <c r="T77" s="1104"/>
      <c r="U77" s="1104"/>
      <c r="V77" s="133">
        <v>1</v>
      </c>
      <c r="W77" s="475"/>
      <c r="X77" s="475"/>
      <c r="Y77" s="475"/>
      <c r="Z77" s="649"/>
      <c r="AA77" s="434"/>
      <c r="AB77" s="434"/>
      <c r="AC77" s="475"/>
      <c r="AD77" s="475"/>
      <c r="AE77" s="828">
        <v>1</v>
      </c>
      <c r="AF77" s="475"/>
      <c r="AG77" s="434"/>
      <c r="AH77" s="475"/>
      <c r="AI77" s="475"/>
      <c r="AJ77" s="475"/>
      <c r="AK77" s="475"/>
      <c r="AL77" s="475"/>
      <c r="AM77" s="434"/>
      <c r="AN77" s="475"/>
      <c r="AO77" s="475"/>
      <c r="AP77" s="434"/>
      <c r="AQ77" s="475"/>
      <c r="AR77" s="475"/>
      <c r="AS77" s="475"/>
      <c r="AT77" s="475"/>
      <c r="AU77" s="434"/>
      <c r="AV77" s="475"/>
      <c r="AW77" s="434"/>
      <c r="AX77" s="434"/>
      <c r="AY77" s="475"/>
      <c r="BA77" s="475"/>
      <c r="BB77" s="475"/>
      <c r="BC77" s="135">
        <v>0.15</v>
      </c>
      <c r="BD77" s="475"/>
      <c r="BE77" s="434"/>
      <c r="BF77" s="434"/>
      <c r="BG77" s="434"/>
      <c r="BH77" s="475"/>
      <c r="BK77" s="434"/>
      <c r="BP77" s="1068"/>
      <c r="CK77" s="475" t="s">
        <v>1</v>
      </c>
      <c r="CL77" s="1105"/>
      <c r="CM77" s="1105"/>
      <c r="CN77" s="1106">
        <v>1000</v>
      </c>
      <c r="EF77" s="1068"/>
      <c r="ET77" s="475"/>
    </row>
    <row r="78" spans="2:150" ht="12.75">
      <c r="B78" s="284" t="s">
        <v>26</v>
      </c>
      <c r="C78" s="1069" t="s">
        <v>2027</v>
      </c>
      <c r="D78" s="944"/>
      <c r="E78" s="855" t="s">
        <v>2028</v>
      </c>
      <c r="F78" s="1078"/>
      <c r="G78" s="1078"/>
      <c r="H78" s="1078"/>
      <c r="I78" s="1078"/>
      <c r="J78" s="1078"/>
      <c r="K78" s="855" t="s">
        <v>2029</v>
      </c>
      <c r="L78" s="1078"/>
      <c r="M78" s="1078"/>
      <c r="N78" s="1078"/>
      <c r="O78" s="1078"/>
      <c r="P78" s="1078"/>
      <c r="Q78" s="1078"/>
      <c r="R78" s="1078"/>
      <c r="S78" s="1078"/>
      <c r="T78" s="1078"/>
      <c r="U78" s="1078"/>
      <c r="V78" s="855" t="s">
        <v>2030</v>
      </c>
      <c r="W78" s="1078"/>
      <c r="X78" s="1078"/>
      <c r="Y78" s="1078"/>
      <c r="Z78" s="1078"/>
      <c r="AA78" s="1078"/>
      <c r="AB78" s="1078"/>
      <c r="AC78" s="855" t="s">
        <v>2031</v>
      </c>
      <c r="AD78" s="1078"/>
      <c r="AE78" s="1078"/>
      <c r="AF78" s="1078"/>
      <c r="AG78" s="1078"/>
      <c r="AH78" s="1078"/>
      <c r="AI78" s="1078"/>
      <c r="AJ78" s="1078"/>
      <c r="AK78" s="1078"/>
      <c r="AL78" s="1078"/>
      <c r="AM78" s="1078"/>
      <c r="AN78" s="1078"/>
      <c r="AO78" s="1078"/>
      <c r="AP78" s="1078"/>
      <c r="AQ78" s="855" t="s">
        <v>2032</v>
      </c>
      <c r="AR78" s="1078"/>
      <c r="AS78" s="1078"/>
      <c r="AT78" s="1078"/>
      <c r="AU78" s="1078"/>
      <c r="AV78" s="1078"/>
      <c r="AW78" s="1078"/>
      <c r="AX78" s="855" t="s">
        <v>2033</v>
      </c>
      <c r="AY78" s="1078"/>
      <c r="AZ78" s="1078"/>
      <c r="BA78" s="1078"/>
      <c r="BB78" s="1078"/>
      <c r="BC78" s="855" t="s">
        <v>2034</v>
      </c>
      <c r="BD78" s="1078"/>
      <c r="BE78" s="1078"/>
      <c r="BF78" s="1078"/>
      <c r="BG78" s="1078"/>
      <c r="BH78" s="1078"/>
      <c r="BI78" s="1078"/>
      <c r="BJ78" s="1078"/>
      <c r="BK78" s="1078"/>
      <c r="BL78" s="1078"/>
      <c r="BM78" s="1078"/>
      <c r="BN78" s="1078"/>
      <c r="BO78" s="1078"/>
      <c r="BP78" s="1078"/>
      <c r="BQ78" s="1078"/>
      <c r="BR78" s="1078"/>
      <c r="BS78" s="1078"/>
      <c r="BT78" s="1078"/>
      <c r="BU78" s="1078"/>
      <c r="BV78" s="1078"/>
      <c r="BW78" s="1078"/>
      <c r="BX78" s="1078"/>
      <c r="BY78" s="1078"/>
      <c r="BZ78" s="1078"/>
      <c r="CA78" s="1078"/>
      <c r="CB78" s="1078"/>
      <c r="CC78" s="1078"/>
      <c r="CD78" s="1078"/>
      <c r="CE78" s="1078"/>
      <c r="CF78" s="1078"/>
      <c r="CG78" s="1078"/>
      <c r="CH78" s="1078"/>
      <c r="CI78" s="1078"/>
      <c r="CJ78" s="1078"/>
      <c r="CK78" s="1078"/>
      <c r="CL78" s="1107"/>
      <c r="CM78" s="1107"/>
      <c r="CN78" s="1108" t="s">
        <v>2035</v>
      </c>
      <c r="CO78" s="1078"/>
      <c r="CP78" s="1079"/>
      <c r="EF78" s="1068"/>
      <c r="ET78" s="475"/>
    </row>
    <row r="79" spans="2:150" ht="48">
      <c r="B79" s="954" t="s">
        <v>1517</v>
      </c>
      <c r="C79" s="954" t="s">
        <v>27</v>
      </c>
      <c r="D79" s="954" t="s">
        <v>1583</v>
      </c>
      <c r="E79" s="1109" t="s">
        <v>2036</v>
      </c>
      <c r="F79" s="1109" t="s">
        <v>2037</v>
      </c>
      <c r="G79" s="1109" t="s">
        <v>1913</v>
      </c>
      <c r="H79" s="1109" t="s">
        <v>1914</v>
      </c>
      <c r="I79" s="1109" t="s">
        <v>1915</v>
      </c>
      <c r="J79" s="1109" t="s">
        <v>2038</v>
      </c>
      <c r="K79" s="1110" t="s">
        <v>1917</v>
      </c>
      <c r="L79" s="1109" t="s">
        <v>1918</v>
      </c>
      <c r="M79" s="1109" t="s">
        <v>1919</v>
      </c>
      <c r="N79" s="1109" t="s">
        <v>1920</v>
      </c>
      <c r="O79" s="1109" t="s">
        <v>1921</v>
      </c>
      <c r="P79" s="1110" t="s">
        <v>1922</v>
      </c>
      <c r="Q79" s="1111" t="s">
        <v>1923</v>
      </c>
      <c r="R79" s="1109" t="s">
        <v>1924</v>
      </c>
      <c r="S79" s="1109" t="s">
        <v>1925</v>
      </c>
      <c r="T79" s="1109" t="s">
        <v>1926</v>
      </c>
      <c r="U79" s="1109" t="s">
        <v>1927</v>
      </c>
      <c r="V79" s="1109" t="s">
        <v>1929</v>
      </c>
      <c r="W79" s="1109" t="s">
        <v>1931</v>
      </c>
      <c r="X79" s="1109" t="s">
        <v>2039</v>
      </c>
      <c r="Y79" s="1110" t="s">
        <v>1933</v>
      </c>
      <c r="Z79" s="1109" t="s">
        <v>1934</v>
      </c>
      <c r="AA79" s="1109" t="s">
        <v>1935</v>
      </c>
      <c r="AB79" s="954" t="s">
        <v>1936</v>
      </c>
      <c r="AC79" s="1109" t="s">
        <v>2040</v>
      </c>
      <c r="AD79" s="1109" t="s">
        <v>1965</v>
      </c>
      <c r="AE79" s="1109" t="s">
        <v>2041</v>
      </c>
      <c r="AF79" s="1109" t="s">
        <v>2042</v>
      </c>
      <c r="AG79" s="1109" t="s">
        <v>1968</v>
      </c>
      <c r="AH79" s="1110" t="s">
        <v>1969</v>
      </c>
      <c r="AI79" s="1112" t="s">
        <v>1970</v>
      </c>
      <c r="AJ79" s="1109" t="s">
        <v>1971</v>
      </c>
      <c r="AK79" s="1109" t="s">
        <v>1972</v>
      </c>
      <c r="AL79" s="955" t="s">
        <v>1973</v>
      </c>
      <c r="AM79" s="955" t="s">
        <v>1974</v>
      </c>
      <c r="AN79" s="1109" t="s">
        <v>1975</v>
      </c>
      <c r="AO79" s="1109" t="s">
        <v>1976</v>
      </c>
      <c r="AP79" s="1109" t="s">
        <v>1977</v>
      </c>
      <c r="AQ79" s="1109" t="s">
        <v>1978</v>
      </c>
      <c r="AR79" s="1109" t="s">
        <v>1979</v>
      </c>
      <c r="AS79" s="1109" t="s">
        <v>1980</v>
      </c>
      <c r="AT79" s="1109" t="s">
        <v>1981</v>
      </c>
      <c r="AU79" s="1109" t="s">
        <v>1982</v>
      </c>
      <c r="AV79" s="1109" t="s">
        <v>1983</v>
      </c>
      <c r="AW79" s="954" t="s">
        <v>1984</v>
      </c>
      <c r="AX79" s="1109" t="s">
        <v>2043</v>
      </c>
      <c r="AY79" s="954" t="s">
        <v>1986</v>
      </c>
      <c r="AZ79" s="1109" t="s">
        <v>1986</v>
      </c>
      <c r="BA79" s="954" t="s">
        <v>1987</v>
      </c>
      <c r="BB79" s="1109" t="s">
        <v>1988</v>
      </c>
      <c r="BC79" s="1109" t="s">
        <v>1990</v>
      </c>
      <c r="BD79" s="1109" t="s">
        <v>1624</v>
      </c>
      <c r="BE79" s="1109" t="s">
        <v>1625</v>
      </c>
      <c r="BF79" s="1110" t="s">
        <v>1700</v>
      </c>
      <c r="BG79" s="1112" t="s">
        <v>1991</v>
      </c>
      <c r="BH79" s="1109" t="s">
        <v>1826</v>
      </c>
      <c r="BI79" s="1109" t="s">
        <v>1836</v>
      </c>
      <c r="BJ79" s="954" t="s">
        <v>1993</v>
      </c>
      <c r="BK79" s="954" t="s">
        <v>1994</v>
      </c>
      <c r="BL79" s="1109" t="s">
        <v>1995</v>
      </c>
      <c r="BM79" s="1109" t="s">
        <v>1996</v>
      </c>
      <c r="BN79" s="1109" t="s">
        <v>2044</v>
      </c>
      <c r="BO79" s="954" t="s">
        <v>1998</v>
      </c>
      <c r="BP79" s="1109" t="s">
        <v>2045</v>
      </c>
      <c r="BQ79" s="1109" t="s">
        <v>1999</v>
      </c>
      <c r="BR79" s="955" t="s">
        <v>2000</v>
      </c>
      <c r="BS79" s="1112" t="s">
        <v>2001</v>
      </c>
      <c r="BT79" s="1109" t="s">
        <v>2002</v>
      </c>
      <c r="BU79" s="1109" t="s">
        <v>2003</v>
      </c>
      <c r="BV79" s="1109" t="s">
        <v>2004</v>
      </c>
      <c r="BW79" s="955" t="s">
        <v>2005</v>
      </c>
      <c r="BX79" s="1112" t="s">
        <v>2001</v>
      </c>
      <c r="BY79" s="1109" t="s">
        <v>2006</v>
      </c>
      <c r="BZ79" s="1109" t="s">
        <v>2007</v>
      </c>
      <c r="CA79" s="1109" t="s">
        <v>2008</v>
      </c>
      <c r="CB79" s="955" t="s">
        <v>2009</v>
      </c>
      <c r="CC79" s="1112" t="s">
        <v>2001</v>
      </c>
      <c r="CD79" s="1109" t="s">
        <v>2010</v>
      </c>
      <c r="CE79" s="1109" t="s">
        <v>2011</v>
      </c>
      <c r="CF79" s="1109" t="s">
        <v>2012</v>
      </c>
      <c r="CG79" s="1109" t="s">
        <v>1626</v>
      </c>
      <c r="CH79" s="1109" t="s">
        <v>1627</v>
      </c>
      <c r="CI79" s="1109" t="s">
        <v>1628</v>
      </c>
      <c r="CJ79" s="1109" t="s">
        <v>1629</v>
      </c>
      <c r="CK79" s="1109" t="s">
        <v>1630</v>
      </c>
      <c r="CL79" s="1113" t="s">
        <v>2046</v>
      </c>
      <c r="CM79" s="1113" t="s">
        <v>2047</v>
      </c>
      <c r="CN79" s="1113" t="s">
        <v>2019</v>
      </c>
      <c r="CO79" s="1109" t="s">
        <v>2020</v>
      </c>
      <c r="CP79" s="1109" t="s">
        <v>2021</v>
      </c>
      <c r="CQ79" s="1114" t="s">
        <v>2048</v>
      </c>
      <c r="CR79" s="954" t="s">
        <v>2023</v>
      </c>
      <c r="CS79" s="1088"/>
      <c r="CT79" s="776" t="s">
        <v>1645</v>
      </c>
      <c r="CU79" s="777"/>
      <c r="CV79" s="777"/>
      <c r="CW79" s="777"/>
      <c r="CX79" s="777"/>
      <c r="CY79" s="777"/>
      <c r="CZ79" s="777"/>
      <c r="DA79" s="778"/>
      <c r="EF79" s="1068"/>
      <c r="ET79" s="475"/>
    </row>
    <row r="80" spans="2:150" ht="16.149999999999999" customHeight="1">
      <c r="B80" s="736"/>
      <c r="C80" s="736"/>
      <c r="D80" s="790"/>
      <c r="E80" s="1115"/>
      <c r="F80" s="1115"/>
      <c r="G80" s="790"/>
      <c r="H80" s="790"/>
      <c r="I80" s="790"/>
      <c r="J80" s="790"/>
      <c r="K80" s="160" t="s">
        <v>1646</v>
      </c>
      <c r="L80" s="790"/>
      <c r="M80" s="790"/>
      <c r="N80" s="790"/>
      <c r="O80" s="790"/>
      <c r="P80" s="160" t="s">
        <v>1646</v>
      </c>
      <c r="Q80" s="160" t="s">
        <v>1646</v>
      </c>
      <c r="R80" s="212" t="str">
        <f>Subrates_Table_2</f>
        <v>Subrates Table 2</v>
      </c>
      <c r="S80" s="212" t="str">
        <f>Subrates_Table_3</f>
        <v>Subrates Table 3</v>
      </c>
      <c r="T80" s="790"/>
      <c r="U80" s="790"/>
      <c r="V80" s="375" t="s">
        <v>2025</v>
      </c>
      <c r="W80" s="790"/>
      <c r="X80" s="790"/>
      <c r="Y80" s="160" t="s">
        <v>1646</v>
      </c>
      <c r="Z80" s="160" t="s">
        <v>1646</v>
      </c>
      <c r="AA80" s="790"/>
      <c r="AB80" s="790"/>
      <c r="AC80" s="790"/>
      <c r="AD80" s="375" t="s">
        <v>2025</v>
      </c>
      <c r="AE80" s="222" t="str">
        <f>O5</f>
        <v>ODP Capping Values</v>
      </c>
      <c r="AF80" s="790"/>
      <c r="AG80" s="790"/>
      <c r="AH80" s="160" t="s">
        <v>1646</v>
      </c>
      <c r="AI80" s="160" t="s">
        <v>1646</v>
      </c>
      <c r="AJ80" s="790"/>
      <c r="AK80" s="790"/>
      <c r="AL80" s="160" t="s">
        <v>1646</v>
      </c>
      <c r="AM80" s="160" t="s">
        <v>1646</v>
      </c>
      <c r="AN80" s="790"/>
      <c r="AO80" s="790"/>
      <c r="AP80" s="790"/>
      <c r="AQ80" s="790"/>
      <c r="AR80" s="736"/>
      <c r="AS80" s="790"/>
      <c r="AT80" s="736"/>
      <c r="AU80" s="790"/>
      <c r="AV80" s="736"/>
      <c r="AW80" s="790"/>
      <c r="AX80" s="790"/>
      <c r="AY80" s="736"/>
      <c r="AZ80" s="790"/>
      <c r="BA80" s="736"/>
      <c r="BB80" s="790"/>
      <c r="BC80" s="375" t="s">
        <v>2025</v>
      </c>
      <c r="BD80" s="790"/>
      <c r="BE80" s="790"/>
      <c r="BF80" s="160" t="s">
        <v>1646</v>
      </c>
      <c r="BG80" s="160" t="s">
        <v>1646</v>
      </c>
      <c r="BH80" s="790"/>
      <c r="BI80" s="790"/>
      <c r="BJ80" s="160" t="s">
        <v>1646</v>
      </c>
      <c r="BK80" s="160" t="s">
        <v>1646</v>
      </c>
      <c r="BL80" s="736"/>
      <c r="BM80" s="736"/>
      <c r="BN80" s="736"/>
      <c r="BO80" s="790"/>
      <c r="BP80" s="790"/>
      <c r="BQ80" s="790"/>
      <c r="BR80" s="160" t="s">
        <v>1646</v>
      </c>
      <c r="BS80" s="1116"/>
      <c r="BT80" s="265"/>
      <c r="BU80" s="736"/>
      <c r="BV80" s="790"/>
      <c r="BW80" s="160" t="s">
        <v>1646</v>
      </c>
      <c r="BX80" s="1116"/>
      <c r="BY80" s="266"/>
      <c r="BZ80" s="736"/>
      <c r="CA80" s="267"/>
      <c r="CB80" s="160" t="s">
        <v>1646</v>
      </c>
      <c r="CC80" s="1116"/>
      <c r="CD80" s="266"/>
      <c r="CE80" s="736"/>
      <c r="CF80" s="790"/>
      <c r="CG80" s="790"/>
      <c r="CH80" s="790"/>
      <c r="CI80" s="790"/>
      <c r="CJ80" s="790"/>
      <c r="CK80" s="790"/>
      <c r="CL80" s="1117"/>
      <c r="CM80" s="1117"/>
      <c r="CN80" s="1117"/>
      <c r="CO80" s="736"/>
      <c r="CP80" s="790"/>
      <c r="CQ80" s="790"/>
      <c r="CR80" s="790"/>
      <c r="CS80" s="736"/>
      <c r="CT80" s="748"/>
      <c r="CU80" s="474"/>
      <c r="CV80" s="474"/>
      <c r="CW80" s="474"/>
      <c r="CX80" s="474"/>
      <c r="CY80" s="474"/>
      <c r="CZ80" s="474"/>
      <c r="DA80" s="779"/>
      <c r="EF80" s="1068"/>
      <c r="ET80" s="475"/>
    </row>
    <row r="81" spans="2:150" ht="15">
      <c r="B81" s="310"/>
      <c r="C81" s="989">
        <v>1</v>
      </c>
      <c r="D81" s="168"/>
      <c r="E81" s="316"/>
      <c r="F81" s="316"/>
      <c r="G81" s="77"/>
      <c r="H81" s="316"/>
      <c r="I81" s="77"/>
      <c r="J81" s="316"/>
      <c r="K81" s="37" t="s">
        <v>428</v>
      </c>
      <c r="L81" s="318"/>
      <c r="M81" s="319">
        <f t="shared" ref="M81:M97" si="62">IF(L81="",F81*10000*G81,L81)</f>
        <v>0</v>
      </c>
      <c r="N81" s="318"/>
      <c r="O81" s="319">
        <f t="shared" ref="O81:O97" si="63">IF(N81="",H81*10000*I81,N81)</f>
        <v>0</v>
      </c>
      <c r="P81" s="37" t="s">
        <v>411</v>
      </c>
      <c r="Q81" s="37" t="s">
        <v>3</v>
      </c>
      <c r="R81" s="150">
        <f>INDEX(Subrates!$C$56:$I$69,MATCH(P81,Subrates!$B$56:$B$69,0),MATCH(Q81,Subrates!$C$55:$I$55,0))</f>
        <v>1.9221853757639424</v>
      </c>
      <c r="S81" s="156">
        <f t="shared" ref="S81:S97" si="64">INDEX(Dozer_Slope_Values,MATCH(K81,Dozer_Slope,0),MATCH(Q81,Dozers,0))</f>
        <v>8904.769113128099</v>
      </c>
      <c r="T81" s="351">
        <f t="shared" ref="T81:T97" si="65">IFERROR(R81*(M81+O81),"E")</f>
        <v>0</v>
      </c>
      <c r="U81" s="351">
        <f>IFERROR(SUM(J81,H81)*S81,"E")</f>
        <v>0</v>
      </c>
      <c r="V81" s="73"/>
      <c r="W81" s="318"/>
      <c r="X81" s="324">
        <f t="shared" ref="X81:X97" si="66">IF(W81&gt;0,W81,(J81*10000))*IF(V81&gt;0,V81,$V$77)</f>
        <v>0</v>
      </c>
      <c r="Y81" s="37" t="s">
        <v>125</v>
      </c>
      <c r="Z81" s="37" t="s">
        <v>349</v>
      </c>
      <c r="AA81" s="63">
        <f t="shared" ref="AA81:AA97" si="67">INDEX(Load_and_Haul_Values,MATCH(Y81,Load_and_Haul,0),MATCH(Z81,Load_Haul_Fleet_size,0))</f>
        <v>6.2664411871606829</v>
      </c>
      <c r="AB81" s="351">
        <f t="shared" ref="AB81:AB97" si="68">IFERROR(AA81*X81,"E")</f>
        <v>0</v>
      </c>
      <c r="AC81" s="316">
        <f t="shared" ref="AC81:AC97" si="69">F81</f>
        <v>0</v>
      </c>
      <c r="AD81" s="136"/>
      <c r="AE81" s="139">
        <f t="shared" ref="AE81:AE97" si="70">IF(AD81="",AE$77,AD81)</f>
        <v>1</v>
      </c>
      <c r="AF81" s="318"/>
      <c r="AG81" s="319">
        <f t="shared" ref="AG81:AG97" si="71">IF(AF81="",AC81*10000*AE81,AF81)</f>
        <v>0</v>
      </c>
      <c r="AH81" s="37" t="s">
        <v>125</v>
      </c>
      <c r="AI81" s="37" t="s">
        <v>349</v>
      </c>
      <c r="AJ81" s="63">
        <f t="shared" ref="AJ81:AJ97" si="72">INDEX(Load_and_Haul_Values,MATCH(AH81,Load_and_Haul,0),MATCH(AI81,Load_Haul_Fleet_size,0))</f>
        <v>6.2664411871606829</v>
      </c>
      <c r="AK81" s="408">
        <f t="shared" ref="AK81:AK97" si="73">IFERROR(AJ81*AG81,"E")</f>
        <v>0</v>
      </c>
      <c r="AL81" s="37" t="s">
        <v>411</v>
      </c>
      <c r="AM81" s="37" t="s">
        <v>3</v>
      </c>
      <c r="AN81" s="150">
        <f t="shared" ref="AN81:AN97" si="74">INDEX(Dozer_Push_Values,MATCH(AL81,Dozer_Push_Length,0),MATCH(AM81,Dozers,0))</f>
        <v>1.9221853757639424</v>
      </c>
      <c r="AO81" s="408">
        <f t="shared" ref="AO81:AO97" si="75">IFERROR(AN81*AG81,"E")</f>
        <v>0</v>
      </c>
      <c r="AP81" s="351">
        <f t="shared" ref="AP81:AP97" si="76">AO81+AK81</f>
        <v>0</v>
      </c>
      <c r="AQ81" s="318"/>
      <c r="AR81" s="63">
        <f>Subrates!$C$94</f>
        <v>2.2000000000000002</v>
      </c>
      <c r="AS81" s="318"/>
      <c r="AT81" s="63">
        <f>Subrates!$C$95</f>
        <v>13.200000000000001</v>
      </c>
      <c r="AU81" s="318"/>
      <c r="AV81" s="63">
        <f>Subrates!$C$96</f>
        <v>14.3</v>
      </c>
      <c r="AW81" s="351">
        <f t="shared" ref="AW81:AW97" si="77">AQ81*AR81+AS81*AT81+AU81*AV81</f>
        <v>0</v>
      </c>
      <c r="AX81" s="316"/>
      <c r="AY81" s="406">
        <f>Subrates!$C$106</f>
        <v>21234.52910306484</v>
      </c>
      <c r="AZ81" s="351">
        <f t="shared" ref="AZ81:AZ97" si="78">$AX81*AY81</f>
        <v>0</v>
      </c>
      <c r="BA81" s="63">
        <f>Subrates!$C$105</f>
        <v>2885.2856380177936</v>
      </c>
      <c r="BB81" s="1139">
        <f t="shared" ref="BB81:BB97" si="79">E81*BA81</f>
        <v>0</v>
      </c>
      <c r="BC81" s="73"/>
      <c r="BD81" s="318"/>
      <c r="BE81" s="319">
        <f t="shared" ref="BE81:BE97" si="80">IF(BD81&gt;0,BD81,E81*10000*IF(BC81&gt;0,BC81,$BC$77))</f>
        <v>0</v>
      </c>
      <c r="BF81" s="37" t="s">
        <v>125</v>
      </c>
      <c r="BG81" s="383" t="s">
        <v>348</v>
      </c>
      <c r="BH81" s="63">
        <f t="shared" ref="BH81:BH97" si="81">IF(BJ81=Local,INDEX(Load_and_Haul_Values,MATCH(BF81,Load_and_Haul,0),MATCH(BG81,Load_Haul_Fleet_size,0)),0)</f>
        <v>4.8064250364478198</v>
      </c>
      <c r="BI81" s="408">
        <f t="shared" ref="BI81:BI97" si="82">BH81*BE81</f>
        <v>0</v>
      </c>
      <c r="BJ81" s="149" t="s">
        <v>2026</v>
      </c>
      <c r="BK81" s="48" t="s">
        <v>485</v>
      </c>
      <c r="BL81" s="63">
        <f>IF(BJ81=Lists!$B$11,0,VLOOKUP(BK81,Long_distance_values_subs,Subrates!$C$5,FALSE))</f>
        <v>0</v>
      </c>
      <c r="BM81" s="63">
        <f>IF(BJ81=Local,0,Subrates!$D$122)</f>
        <v>0</v>
      </c>
      <c r="BN81" s="1140"/>
      <c r="BO81" s="412">
        <f>IF(BN81="",BE81*VLOOKUP(BK81,Long_distance_values_subs,Subrates!$H$5,FALSE)*BL81+BE81*BM81,BE81*BN81)</f>
        <v>0</v>
      </c>
      <c r="BP81" s="351">
        <f>BI81+BO81</f>
        <v>0</v>
      </c>
      <c r="BQ81" s="316"/>
      <c r="BR81" s="195" t="s">
        <v>48</v>
      </c>
      <c r="BS81" s="1096" t="str">
        <f>IF(BR81=Lists!$B$18,"N/A",VLOOKUP(BR81,Lists!$B$18:$D$26,Lists!$C$3,FALSE))</f>
        <v>N/A</v>
      </c>
      <c r="BT81" s="63">
        <f>IF(BR81=Lists!$B$18,0,VLOOKUP(BS81,Amend_TOV,TOV!$F$1,FALSE))</f>
        <v>0</v>
      </c>
      <c r="BU81" s="117"/>
      <c r="BV81" s="316"/>
      <c r="BW81" s="195" t="s">
        <v>48</v>
      </c>
      <c r="BX81" s="1096" t="str">
        <f>IF(BW81=Lists!$B$18,"N/A",VLOOKUP(BW81,Lists!$B$18:$D$26,Lists!$C$3,FALSE))</f>
        <v>N/A</v>
      </c>
      <c r="BY81" s="63">
        <f>IF(BW81=Lists!$B$18,0,VLOOKUP(BX81,Amend_TOV,TOV!$F$1,FALSE))</f>
        <v>0</v>
      </c>
      <c r="BZ81" s="117"/>
      <c r="CA81" s="316"/>
      <c r="CB81" s="195" t="s">
        <v>48</v>
      </c>
      <c r="CC81" s="1096" t="str">
        <f>IF(CB81=Lists!$B$18,"N/A",VLOOKUP(CB81,Lists!$B$18:$D$26,Lists!$C$3,FALSE))</f>
        <v>N/A</v>
      </c>
      <c r="CD81" s="63">
        <f>IF(CB81=Lists!$B$18,0,VLOOKUP(CC81,Amend_TOV,TOV!$F$1,FALSE))</f>
        <v>0</v>
      </c>
      <c r="CE81" s="117"/>
      <c r="CF81" s="351">
        <f t="shared" ref="CF81:CF97" si="83">(BQ81*IF(BU81="",BT81,BU81))+(BV81*IF(BZ81="",BY81,BZ81))+(CA81*IF(CE81="",CD81,CE81))</f>
        <v>0</v>
      </c>
      <c r="CG81" s="316">
        <f t="shared" ref="CG81:CG97" si="84">F81+H81+J81</f>
        <v>0</v>
      </c>
      <c r="CH81" s="66">
        <v>1</v>
      </c>
      <c r="CI81" s="66"/>
      <c r="CJ81" s="67">
        <f t="shared" ref="CJ81:CJ97" si="85">100%-CI81-CH81</f>
        <v>0</v>
      </c>
      <c r="CK81" s="16" t="str">
        <f>IF(CJ81&lt;0%,"Error","No Alert")</f>
        <v>No Alert</v>
      </c>
      <c r="CL81" s="351">
        <f t="shared" ref="CL81:CL97" si="86">$CG81*CH81*IF($CL$76&lt;&gt;"",$CL$76,$CL$75)</f>
        <v>0</v>
      </c>
      <c r="CM81" s="351">
        <f t="shared" ref="CM81:CM97" si="87">$CG81*CI81*IF($CM$76&lt;&gt;"",$CM$76,$CM$75)</f>
        <v>0</v>
      </c>
      <c r="CN81" s="370"/>
      <c r="CO81" s="351">
        <f t="shared" ref="CO81:CO97" si="88">IF(CN81="",CN$77,CN81)*E81</f>
        <v>0</v>
      </c>
      <c r="CP81" s="159"/>
      <c r="CQ81" s="106">
        <f t="shared" ref="CQ81:CQ97" si="89">T81+U81+AB81+AP81+AW81+AZ81+BP81+CF81+CL81+CM81+CO81+BB81+CP81</f>
        <v>0</v>
      </c>
      <c r="CR81" s="1097">
        <f t="shared" ref="CR81:CR97" si="90">IF(E81=0,0,CQ81/E81)</f>
        <v>0</v>
      </c>
      <c r="CS81" s="803">
        <f t="shared" ref="CS81:CS97" si="91">IFERROR(CQ81,"Error")</f>
        <v>0</v>
      </c>
      <c r="CT81" s="215"/>
      <c r="CU81" s="217"/>
      <c r="CV81" s="217"/>
      <c r="CW81" s="217"/>
      <c r="CX81" s="217"/>
      <c r="CY81" s="217"/>
      <c r="CZ81" s="217"/>
      <c r="DA81" s="218"/>
      <c r="EF81" s="1068"/>
      <c r="ET81" s="475"/>
    </row>
    <row r="82" spans="2:150" ht="15">
      <c r="B82" s="310"/>
      <c r="C82" s="989">
        <f t="shared" ref="C82:C97" si="92">C81+1</f>
        <v>2</v>
      </c>
      <c r="D82" s="168"/>
      <c r="E82" s="316"/>
      <c r="F82" s="316"/>
      <c r="G82" s="77"/>
      <c r="H82" s="316"/>
      <c r="I82" s="77"/>
      <c r="J82" s="316"/>
      <c r="K82" s="37" t="s">
        <v>428</v>
      </c>
      <c r="L82" s="318"/>
      <c r="M82" s="319">
        <f t="shared" si="62"/>
        <v>0</v>
      </c>
      <c r="N82" s="318"/>
      <c r="O82" s="319">
        <f t="shared" si="63"/>
        <v>0</v>
      </c>
      <c r="P82" s="37" t="s">
        <v>411</v>
      </c>
      <c r="Q82" s="37" t="s">
        <v>3</v>
      </c>
      <c r="R82" s="150">
        <f>INDEX(Subrates!$C$56:$I$69,MATCH(P82,Subrates!$B$56:$B$69,0),MATCH(Q82,Subrates!$C$55:$I$55,0))</f>
        <v>1.9221853757639424</v>
      </c>
      <c r="S82" s="156">
        <f t="shared" si="64"/>
        <v>8904.769113128099</v>
      </c>
      <c r="T82" s="351">
        <f t="shared" si="65"/>
        <v>0</v>
      </c>
      <c r="U82" s="351">
        <f t="shared" ref="U82:U97" si="93">IFERROR(SUM(J82,H82)*S82,"E")</f>
        <v>0</v>
      </c>
      <c r="V82" s="73"/>
      <c r="W82" s="318"/>
      <c r="X82" s="324">
        <f t="shared" si="66"/>
        <v>0</v>
      </c>
      <c r="Y82" s="37" t="s">
        <v>125</v>
      </c>
      <c r="Z82" s="37" t="s">
        <v>349</v>
      </c>
      <c r="AA82" s="63">
        <f t="shared" si="67"/>
        <v>6.2664411871606829</v>
      </c>
      <c r="AB82" s="351">
        <f t="shared" si="68"/>
        <v>0</v>
      </c>
      <c r="AC82" s="316">
        <f t="shared" si="69"/>
        <v>0</v>
      </c>
      <c r="AD82" s="136"/>
      <c r="AE82" s="139">
        <f t="shared" si="70"/>
        <v>1</v>
      </c>
      <c r="AF82" s="318"/>
      <c r="AG82" s="319">
        <f t="shared" si="71"/>
        <v>0</v>
      </c>
      <c r="AH82" s="37" t="s">
        <v>125</v>
      </c>
      <c r="AI82" s="37" t="s">
        <v>349</v>
      </c>
      <c r="AJ82" s="63">
        <f t="shared" si="72"/>
        <v>6.2664411871606829</v>
      </c>
      <c r="AK82" s="408">
        <f t="shared" si="73"/>
        <v>0</v>
      </c>
      <c r="AL82" s="37" t="s">
        <v>411</v>
      </c>
      <c r="AM82" s="37" t="s">
        <v>3</v>
      </c>
      <c r="AN82" s="150">
        <f t="shared" si="74"/>
        <v>1.9221853757639424</v>
      </c>
      <c r="AO82" s="408">
        <f t="shared" si="75"/>
        <v>0</v>
      </c>
      <c r="AP82" s="351">
        <f t="shared" si="76"/>
        <v>0</v>
      </c>
      <c r="AQ82" s="318"/>
      <c r="AR82" s="63">
        <f>Subrates!$C$94</f>
        <v>2.2000000000000002</v>
      </c>
      <c r="AS82" s="318"/>
      <c r="AT82" s="63">
        <f>Subrates!$C$95</f>
        <v>13.200000000000001</v>
      </c>
      <c r="AU82" s="318"/>
      <c r="AV82" s="63">
        <f>Subrates!$C$96</f>
        <v>14.3</v>
      </c>
      <c r="AW82" s="351">
        <f t="shared" si="77"/>
        <v>0</v>
      </c>
      <c r="AX82" s="316"/>
      <c r="AY82" s="406">
        <f>Subrates!$C$106</f>
        <v>21234.52910306484</v>
      </c>
      <c r="AZ82" s="351">
        <f t="shared" si="78"/>
        <v>0</v>
      </c>
      <c r="BA82" s="63">
        <f>Subrates!$C$105</f>
        <v>2885.2856380177936</v>
      </c>
      <c r="BB82" s="1139">
        <f t="shared" si="79"/>
        <v>0</v>
      </c>
      <c r="BC82" s="73"/>
      <c r="BD82" s="318"/>
      <c r="BE82" s="319">
        <f t="shared" si="80"/>
        <v>0</v>
      </c>
      <c r="BF82" s="37" t="s">
        <v>125</v>
      </c>
      <c r="BG82" s="383" t="s">
        <v>348</v>
      </c>
      <c r="BH82" s="63">
        <f t="shared" si="81"/>
        <v>4.8064250364478198</v>
      </c>
      <c r="BI82" s="408">
        <f t="shared" si="82"/>
        <v>0</v>
      </c>
      <c r="BJ82" s="149" t="s">
        <v>2026</v>
      </c>
      <c r="BK82" s="48" t="s">
        <v>485</v>
      </c>
      <c r="BL82" s="63">
        <f>IF(BJ82=Lists!$B$11,0,VLOOKUP(BK82,Long_distance_values_subs,Subrates!$C$5,FALSE))</f>
        <v>0</v>
      </c>
      <c r="BM82" s="63">
        <f>IF(BJ82=Local,0,Subrates!$D$122)</f>
        <v>0</v>
      </c>
      <c r="BN82" s="1140"/>
      <c r="BO82" s="412">
        <f>IF(BN82="",BE82*VLOOKUP(BK82,Long_distance_values_subs,Subrates!$H$5,FALSE)*BL82+BE82*BM82,BE82*BN82)</f>
        <v>0</v>
      </c>
      <c r="BP82" s="351">
        <f t="shared" ref="BP82:BP97" si="94">BI82+BO82</f>
        <v>0</v>
      </c>
      <c r="BQ82" s="316"/>
      <c r="BR82" s="195" t="s">
        <v>48</v>
      </c>
      <c r="BS82" s="1096" t="str">
        <f>IF(BR82=Lists!$B$18,"N/A",VLOOKUP(BR82,Lists!$B$18:$D$26,Lists!$C$3,FALSE))</f>
        <v>N/A</v>
      </c>
      <c r="BT82" s="63">
        <f>IF(BR82=Lists!$B$18,0,VLOOKUP(BS82,Amend_TOV,TOV!$F$1,FALSE))</f>
        <v>0</v>
      </c>
      <c r="BU82" s="117"/>
      <c r="BV82" s="316"/>
      <c r="BW82" s="195" t="s">
        <v>48</v>
      </c>
      <c r="BX82" s="1096" t="str">
        <f>IF(BW82=Lists!$B$18,"N/A",VLOOKUP(BW82,Lists!$B$18:$D$26,Lists!$C$3,FALSE))</f>
        <v>N/A</v>
      </c>
      <c r="BY82" s="63">
        <f>IF(BW82=Lists!$B$18,0,VLOOKUP(BX82,Amend_TOV,TOV!$F$1,FALSE))</f>
        <v>0</v>
      </c>
      <c r="BZ82" s="117"/>
      <c r="CA82" s="316"/>
      <c r="CB82" s="195" t="s">
        <v>48</v>
      </c>
      <c r="CC82" s="1096" t="str">
        <f>IF(CB82=Lists!$B$18,"N/A",VLOOKUP(CB82,Lists!$B$18:$D$26,Lists!$C$3,FALSE))</f>
        <v>N/A</v>
      </c>
      <c r="CD82" s="63">
        <f>IF(CB82=Lists!$B$18,0,VLOOKUP(CC82,Amend_TOV,TOV!$F$1,FALSE))</f>
        <v>0</v>
      </c>
      <c r="CE82" s="117"/>
      <c r="CF82" s="351">
        <f t="shared" si="83"/>
        <v>0</v>
      </c>
      <c r="CG82" s="316">
        <f t="shared" si="84"/>
        <v>0</v>
      </c>
      <c r="CH82" s="208">
        <v>1</v>
      </c>
      <c r="CI82" s="208"/>
      <c r="CJ82" s="67">
        <f t="shared" si="85"/>
        <v>0</v>
      </c>
      <c r="CK82" s="16" t="str">
        <f t="shared" ref="CK82:CK97" si="95">IF(CJ82&lt;0%,"Error","No Alert")</f>
        <v>No Alert</v>
      </c>
      <c r="CL82" s="351">
        <f t="shared" si="86"/>
        <v>0</v>
      </c>
      <c r="CM82" s="351">
        <f t="shared" si="87"/>
        <v>0</v>
      </c>
      <c r="CN82" s="370"/>
      <c r="CO82" s="351">
        <f t="shared" si="88"/>
        <v>0</v>
      </c>
      <c r="CP82" s="159"/>
      <c r="CQ82" s="106">
        <f t="shared" si="89"/>
        <v>0</v>
      </c>
      <c r="CR82" s="1097">
        <f t="shared" si="90"/>
        <v>0</v>
      </c>
      <c r="CS82" s="803">
        <f t="shared" si="91"/>
        <v>0</v>
      </c>
      <c r="CT82" s="215"/>
      <c r="CU82" s="217"/>
      <c r="CV82" s="217"/>
      <c r="CW82" s="217"/>
      <c r="CX82" s="217"/>
      <c r="CY82" s="217"/>
      <c r="CZ82" s="217"/>
      <c r="DA82" s="218"/>
      <c r="EF82" s="1068"/>
      <c r="ET82" s="475"/>
    </row>
    <row r="83" spans="2:150" ht="15">
      <c r="B83" s="310"/>
      <c r="C83" s="989">
        <f t="shared" si="92"/>
        <v>3</v>
      </c>
      <c r="D83" s="168"/>
      <c r="E83" s="316"/>
      <c r="F83" s="316"/>
      <c r="G83" s="77"/>
      <c r="H83" s="316"/>
      <c r="I83" s="77"/>
      <c r="J83" s="316"/>
      <c r="K83" s="37" t="s">
        <v>428</v>
      </c>
      <c r="L83" s="318"/>
      <c r="M83" s="319">
        <f t="shared" si="62"/>
        <v>0</v>
      </c>
      <c r="N83" s="318"/>
      <c r="O83" s="319">
        <f t="shared" si="63"/>
        <v>0</v>
      </c>
      <c r="P83" s="37" t="s">
        <v>411</v>
      </c>
      <c r="Q83" s="37" t="s">
        <v>3</v>
      </c>
      <c r="R83" s="150">
        <f>INDEX(Subrates!$C$56:$I$69,MATCH(P83,Subrates!$B$56:$B$69,0),MATCH(Q83,Subrates!$C$55:$I$55,0))</f>
        <v>1.9221853757639424</v>
      </c>
      <c r="S83" s="156">
        <f t="shared" si="64"/>
        <v>8904.769113128099</v>
      </c>
      <c r="T83" s="351">
        <f t="shared" si="65"/>
        <v>0</v>
      </c>
      <c r="U83" s="351">
        <f t="shared" si="93"/>
        <v>0</v>
      </c>
      <c r="V83" s="73"/>
      <c r="W83" s="318"/>
      <c r="X83" s="324">
        <f t="shared" si="66"/>
        <v>0</v>
      </c>
      <c r="Y83" s="37" t="s">
        <v>125</v>
      </c>
      <c r="Z83" s="37" t="s">
        <v>349</v>
      </c>
      <c r="AA83" s="63">
        <f t="shared" si="67"/>
        <v>6.2664411871606829</v>
      </c>
      <c r="AB83" s="351">
        <f t="shared" si="68"/>
        <v>0</v>
      </c>
      <c r="AC83" s="316">
        <f t="shared" si="69"/>
        <v>0</v>
      </c>
      <c r="AD83" s="136"/>
      <c r="AE83" s="139">
        <f t="shared" si="70"/>
        <v>1</v>
      </c>
      <c r="AF83" s="318"/>
      <c r="AG83" s="319">
        <f t="shared" si="71"/>
        <v>0</v>
      </c>
      <c r="AH83" s="37" t="s">
        <v>125</v>
      </c>
      <c r="AI83" s="37" t="s">
        <v>349</v>
      </c>
      <c r="AJ83" s="63">
        <f t="shared" si="72"/>
        <v>6.2664411871606829</v>
      </c>
      <c r="AK83" s="408">
        <f t="shared" si="73"/>
        <v>0</v>
      </c>
      <c r="AL83" s="37" t="s">
        <v>411</v>
      </c>
      <c r="AM83" s="37" t="s">
        <v>3</v>
      </c>
      <c r="AN83" s="150">
        <f t="shared" si="74"/>
        <v>1.9221853757639424</v>
      </c>
      <c r="AO83" s="408">
        <f t="shared" si="75"/>
        <v>0</v>
      </c>
      <c r="AP83" s="351">
        <f t="shared" si="76"/>
        <v>0</v>
      </c>
      <c r="AQ83" s="318"/>
      <c r="AR83" s="63">
        <f>Subrates!$C$94</f>
        <v>2.2000000000000002</v>
      </c>
      <c r="AS83" s="318"/>
      <c r="AT83" s="63">
        <f>Subrates!$C$95</f>
        <v>13.200000000000001</v>
      </c>
      <c r="AU83" s="318"/>
      <c r="AV83" s="63">
        <f>Subrates!$C$96</f>
        <v>14.3</v>
      </c>
      <c r="AW83" s="351">
        <f t="shared" si="77"/>
        <v>0</v>
      </c>
      <c r="AX83" s="316"/>
      <c r="AY83" s="406">
        <f>Subrates!$C$106</f>
        <v>21234.52910306484</v>
      </c>
      <c r="AZ83" s="351">
        <f t="shared" si="78"/>
        <v>0</v>
      </c>
      <c r="BA83" s="63">
        <f>Subrates!$C$105</f>
        <v>2885.2856380177936</v>
      </c>
      <c r="BB83" s="1139">
        <f t="shared" si="79"/>
        <v>0</v>
      </c>
      <c r="BC83" s="73"/>
      <c r="BD83" s="318"/>
      <c r="BE83" s="319">
        <f t="shared" si="80"/>
        <v>0</v>
      </c>
      <c r="BF83" s="37" t="s">
        <v>125</v>
      </c>
      <c r="BG83" s="383" t="s">
        <v>348</v>
      </c>
      <c r="BH83" s="63">
        <f t="shared" si="81"/>
        <v>4.8064250364478198</v>
      </c>
      <c r="BI83" s="408">
        <f t="shared" si="82"/>
        <v>0</v>
      </c>
      <c r="BJ83" s="149" t="s">
        <v>2026</v>
      </c>
      <c r="BK83" s="48" t="s">
        <v>485</v>
      </c>
      <c r="BL83" s="63">
        <f>IF(BJ83=Lists!$B$11,0,VLOOKUP(BK83,Long_distance_values_subs,Subrates!$C$5,FALSE))</f>
        <v>0</v>
      </c>
      <c r="BM83" s="63">
        <f>IF(BJ83=Local,0,Subrates!$D$122)</f>
        <v>0</v>
      </c>
      <c r="BN83" s="1140"/>
      <c r="BO83" s="412">
        <f>IF(BN83="",BE83*VLOOKUP(BK83,Long_distance_values_subs,Subrates!$H$5,FALSE)*BL83+BE83*BM83,BE83*BN83)</f>
        <v>0</v>
      </c>
      <c r="BP83" s="351">
        <f t="shared" si="94"/>
        <v>0</v>
      </c>
      <c r="BQ83" s="316"/>
      <c r="BR83" s="195" t="s">
        <v>48</v>
      </c>
      <c r="BS83" s="1096" t="str">
        <f>IF(BR83=Lists!$B$18,"N/A",VLOOKUP(BR83,Lists!$B$18:$D$26,Lists!$C$3,FALSE))</f>
        <v>N/A</v>
      </c>
      <c r="BT83" s="63">
        <f>IF(BR83=Lists!$B$18,0,VLOOKUP(BS83,Amend_TOV,TOV!$F$1,FALSE))</f>
        <v>0</v>
      </c>
      <c r="BU83" s="117"/>
      <c r="BV83" s="316"/>
      <c r="BW83" s="195" t="s">
        <v>48</v>
      </c>
      <c r="BX83" s="1096" t="str">
        <f>IF(BW83=Lists!$B$18,"N/A",VLOOKUP(BW83,Lists!$B$18:$D$26,Lists!$C$3,FALSE))</f>
        <v>N/A</v>
      </c>
      <c r="BY83" s="63">
        <f>IF(BW83=Lists!$B$18,0,VLOOKUP(BX83,Amend_TOV,TOV!$F$1,FALSE))</f>
        <v>0</v>
      </c>
      <c r="BZ83" s="117"/>
      <c r="CA83" s="316"/>
      <c r="CB83" s="195" t="s">
        <v>48</v>
      </c>
      <c r="CC83" s="1096" t="str">
        <f>IF(CB83=Lists!$B$18,"N/A",VLOOKUP(CB83,Lists!$B$18:$D$26,Lists!$C$3,FALSE))</f>
        <v>N/A</v>
      </c>
      <c r="CD83" s="63">
        <f>IF(CB83=Lists!$B$18,0,VLOOKUP(CC83,Amend_TOV,TOV!$F$1,FALSE))</f>
        <v>0</v>
      </c>
      <c r="CE83" s="117"/>
      <c r="CF83" s="351">
        <f t="shared" si="83"/>
        <v>0</v>
      </c>
      <c r="CG83" s="316">
        <f t="shared" si="84"/>
        <v>0</v>
      </c>
      <c r="CH83" s="208">
        <v>1</v>
      </c>
      <c r="CI83" s="208"/>
      <c r="CJ83" s="67">
        <f t="shared" si="85"/>
        <v>0</v>
      </c>
      <c r="CK83" s="16" t="str">
        <f t="shared" si="95"/>
        <v>No Alert</v>
      </c>
      <c r="CL83" s="351">
        <f t="shared" si="86"/>
        <v>0</v>
      </c>
      <c r="CM83" s="351">
        <f t="shared" si="87"/>
        <v>0</v>
      </c>
      <c r="CN83" s="370"/>
      <c r="CO83" s="351">
        <f t="shared" si="88"/>
        <v>0</v>
      </c>
      <c r="CP83" s="159"/>
      <c r="CQ83" s="106">
        <f t="shared" si="89"/>
        <v>0</v>
      </c>
      <c r="CR83" s="1097">
        <f t="shared" si="90"/>
        <v>0</v>
      </c>
      <c r="CS83" s="803">
        <f t="shared" si="91"/>
        <v>0</v>
      </c>
      <c r="CT83" s="215"/>
      <c r="CU83" s="217"/>
      <c r="CV83" s="217"/>
      <c r="CW83" s="217"/>
      <c r="CX83" s="217"/>
      <c r="CY83" s="217"/>
      <c r="CZ83" s="217"/>
      <c r="DA83" s="218"/>
      <c r="EF83" s="1068"/>
      <c r="ET83" s="475"/>
    </row>
    <row r="84" spans="2:150" ht="15">
      <c r="B84" s="310"/>
      <c r="C84" s="989">
        <f t="shared" si="92"/>
        <v>4</v>
      </c>
      <c r="D84" s="168"/>
      <c r="E84" s="316"/>
      <c r="F84" s="316"/>
      <c r="G84" s="77"/>
      <c r="H84" s="316"/>
      <c r="I84" s="77"/>
      <c r="J84" s="316"/>
      <c r="K84" s="37" t="s">
        <v>428</v>
      </c>
      <c r="L84" s="318"/>
      <c r="M84" s="319">
        <f t="shared" si="62"/>
        <v>0</v>
      </c>
      <c r="N84" s="318"/>
      <c r="O84" s="319">
        <f t="shared" si="63"/>
        <v>0</v>
      </c>
      <c r="P84" s="37" t="s">
        <v>411</v>
      </c>
      <c r="Q84" s="37" t="s">
        <v>3</v>
      </c>
      <c r="R84" s="150">
        <f>INDEX(Subrates!$C$56:$I$69,MATCH(P84,Subrates!$B$56:$B$69,0),MATCH(Q84,Subrates!$C$55:$I$55,0))</f>
        <v>1.9221853757639424</v>
      </c>
      <c r="S84" s="156">
        <f t="shared" si="64"/>
        <v>8904.769113128099</v>
      </c>
      <c r="T84" s="351">
        <f t="shared" si="65"/>
        <v>0</v>
      </c>
      <c r="U84" s="351">
        <f t="shared" si="93"/>
        <v>0</v>
      </c>
      <c r="V84" s="73"/>
      <c r="W84" s="318"/>
      <c r="X84" s="324">
        <f t="shared" si="66"/>
        <v>0</v>
      </c>
      <c r="Y84" s="37" t="s">
        <v>125</v>
      </c>
      <c r="Z84" s="37" t="s">
        <v>349</v>
      </c>
      <c r="AA84" s="63">
        <f t="shared" si="67"/>
        <v>6.2664411871606829</v>
      </c>
      <c r="AB84" s="351">
        <f t="shared" si="68"/>
        <v>0</v>
      </c>
      <c r="AC84" s="316">
        <f t="shared" si="69"/>
        <v>0</v>
      </c>
      <c r="AD84" s="136"/>
      <c r="AE84" s="139">
        <f t="shared" si="70"/>
        <v>1</v>
      </c>
      <c r="AF84" s="318"/>
      <c r="AG84" s="319">
        <f t="shared" si="71"/>
        <v>0</v>
      </c>
      <c r="AH84" s="37" t="s">
        <v>125</v>
      </c>
      <c r="AI84" s="37" t="s">
        <v>349</v>
      </c>
      <c r="AJ84" s="63">
        <f t="shared" si="72"/>
        <v>6.2664411871606829</v>
      </c>
      <c r="AK84" s="408">
        <f t="shared" si="73"/>
        <v>0</v>
      </c>
      <c r="AL84" s="37" t="s">
        <v>411</v>
      </c>
      <c r="AM84" s="37" t="s">
        <v>3</v>
      </c>
      <c r="AN84" s="150">
        <f t="shared" si="74"/>
        <v>1.9221853757639424</v>
      </c>
      <c r="AO84" s="408">
        <f t="shared" si="75"/>
        <v>0</v>
      </c>
      <c r="AP84" s="351">
        <f t="shared" si="76"/>
        <v>0</v>
      </c>
      <c r="AQ84" s="318"/>
      <c r="AR84" s="63">
        <f>Subrates!$C$94</f>
        <v>2.2000000000000002</v>
      </c>
      <c r="AS84" s="318"/>
      <c r="AT84" s="63">
        <f>Subrates!$C$95</f>
        <v>13.200000000000001</v>
      </c>
      <c r="AU84" s="318"/>
      <c r="AV84" s="63">
        <f>Subrates!$C$96</f>
        <v>14.3</v>
      </c>
      <c r="AW84" s="351">
        <f t="shared" si="77"/>
        <v>0</v>
      </c>
      <c r="AX84" s="316"/>
      <c r="AY84" s="406">
        <f>Subrates!$C$106</f>
        <v>21234.52910306484</v>
      </c>
      <c r="AZ84" s="351">
        <f t="shared" si="78"/>
        <v>0</v>
      </c>
      <c r="BA84" s="63">
        <f>Subrates!$C$105</f>
        <v>2885.2856380177936</v>
      </c>
      <c r="BB84" s="1139">
        <f t="shared" si="79"/>
        <v>0</v>
      </c>
      <c r="BC84" s="73"/>
      <c r="BD84" s="318"/>
      <c r="BE84" s="319">
        <f t="shared" si="80"/>
        <v>0</v>
      </c>
      <c r="BF84" s="37" t="s">
        <v>125</v>
      </c>
      <c r="BG84" s="383" t="s">
        <v>348</v>
      </c>
      <c r="BH84" s="63">
        <f t="shared" si="81"/>
        <v>4.8064250364478198</v>
      </c>
      <c r="BI84" s="408">
        <f t="shared" si="82"/>
        <v>0</v>
      </c>
      <c r="BJ84" s="149" t="s">
        <v>2026</v>
      </c>
      <c r="BK84" s="48" t="s">
        <v>485</v>
      </c>
      <c r="BL84" s="63">
        <f>IF(BJ84=Lists!$B$11,0,VLOOKUP(BK84,Long_distance_values_subs,Subrates!$C$5,FALSE))</f>
        <v>0</v>
      </c>
      <c r="BM84" s="63">
        <f>IF(BJ84=Local,0,Subrates!$D$122)</f>
        <v>0</v>
      </c>
      <c r="BN84" s="1140"/>
      <c r="BO84" s="412">
        <f>IF(BN84="",BE84*VLOOKUP(BK84,Long_distance_values_subs,Subrates!$H$5,FALSE)*BL84+BE84*BM84,BE84*BN84)</f>
        <v>0</v>
      </c>
      <c r="BP84" s="351">
        <f t="shared" si="94"/>
        <v>0</v>
      </c>
      <c r="BQ84" s="316"/>
      <c r="BR84" s="195" t="s">
        <v>48</v>
      </c>
      <c r="BS84" s="1096" t="str">
        <f>IF(BR84=Lists!$B$18,"N/A",VLOOKUP(BR84,Lists!$B$18:$D$26,Lists!$C$3,FALSE))</f>
        <v>N/A</v>
      </c>
      <c r="BT84" s="63">
        <f>IF(BR84=Lists!$B$18,0,VLOOKUP(BS84,Amend_TOV,TOV!$F$1,FALSE))</f>
        <v>0</v>
      </c>
      <c r="BU84" s="117"/>
      <c r="BV84" s="316"/>
      <c r="BW84" s="195" t="s">
        <v>48</v>
      </c>
      <c r="BX84" s="1096" t="str">
        <f>IF(BW84=Lists!$B$18,"N/A",VLOOKUP(BW84,Lists!$B$18:$D$26,Lists!$C$3,FALSE))</f>
        <v>N/A</v>
      </c>
      <c r="BY84" s="63">
        <f>IF(BW84=Lists!$B$18,0,VLOOKUP(BX84,Amend_TOV,TOV!$F$1,FALSE))</f>
        <v>0</v>
      </c>
      <c r="BZ84" s="117"/>
      <c r="CA84" s="316"/>
      <c r="CB84" s="195" t="s">
        <v>48</v>
      </c>
      <c r="CC84" s="1096" t="str">
        <f>IF(CB84=Lists!$B$18,"N/A",VLOOKUP(CB84,Lists!$B$18:$D$26,Lists!$C$3,FALSE))</f>
        <v>N/A</v>
      </c>
      <c r="CD84" s="63">
        <f>IF(CB84=Lists!$B$18,0,VLOOKUP(CC84,Amend_TOV,TOV!$F$1,FALSE))</f>
        <v>0</v>
      </c>
      <c r="CE84" s="117"/>
      <c r="CF84" s="351">
        <f t="shared" si="83"/>
        <v>0</v>
      </c>
      <c r="CG84" s="316">
        <f t="shared" si="84"/>
        <v>0</v>
      </c>
      <c r="CH84" s="208">
        <v>1</v>
      </c>
      <c r="CI84" s="208"/>
      <c r="CJ84" s="67">
        <f t="shared" si="85"/>
        <v>0</v>
      </c>
      <c r="CK84" s="16" t="str">
        <f t="shared" si="95"/>
        <v>No Alert</v>
      </c>
      <c r="CL84" s="351">
        <f t="shared" si="86"/>
        <v>0</v>
      </c>
      <c r="CM84" s="351">
        <f t="shared" si="87"/>
        <v>0</v>
      </c>
      <c r="CN84" s="370"/>
      <c r="CO84" s="351">
        <f t="shared" si="88"/>
        <v>0</v>
      </c>
      <c r="CP84" s="159"/>
      <c r="CQ84" s="106">
        <f t="shared" si="89"/>
        <v>0</v>
      </c>
      <c r="CR84" s="1097">
        <f t="shared" si="90"/>
        <v>0</v>
      </c>
      <c r="CS84" s="803">
        <f t="shared" si="91"/>
        <v>0</v>
      </c>
      <c r="CT84" s="215"/>
      <c r="CU84" s="217"/>
      <c r="CV84" s="217"/>
      <c r="CW84" s="217"/>
      <c r="CX84" s="217"/>
      <c r="CY84" s="217"/>
      <c r="CZ84" s="217"/>
      <c r="DA84" s="218"/>
      <c r="EF84" s="1068"/>
      <c r="ET84" s="475"/>
    </row>
    <row r="85" spans="2:150" ht="15">
      <c r="B85" s="310"/>
      <c r="C85" s="989">
        <f t="shared" si="92"/>
        <v>5</v>
      </c>
      <c r="D85" s="168"/>
      <c r="E85" s="316"/>
      <c r="F85" s="316"/>
      <c r="G85" s="77"/>
      <c r="H85" s="316"/>
      <c r="I85" s="77"/>
      <c r="J85" s="316"/>
      <c r="K85" s="37" t="s">
        <v>428</v>
      </c>
      <c r="L85" s="318"/>
      <c r="M85" s="319">
        <f t="shared" si="62"/>
        <v>0</v>
      </c>
      <c r="N85" s="318"/>
      <c r="O85" s="319">
        <f t="shared" si="63"/>
        <v>0</v>
      </c>
      <c r="P85" s="37" t="s">
        <v>411</v>
      </c>
      <c r="Q85" s="37" t="s">
        <v>3</v>
      </c>
      <c r="R85" s="150">
        <f>INDEX(Subrates!$C$56:$I$69,MATCH(P85,Subrates!$B$56:$B$69,0),MATCH(Q85,Subrates!$C$55:$I$55,0))</f>
        <v>1.9221853757639424</v>
      </c>
      <c r="S85" s="156">
        <f t="shared" si="64"/>
        <v>8904.769113128099</v>
      </c>
      <c r="T85" s="351">
        <f t="shared" si="65"/>
        <v>0</v>
      </c>
      <c r="U85" s="351">
        <f t="shared" si="93"/>
        <v>0</v>
      </c>
      <c r="V85" s="73"/>
      <c r="W85" s="318"/>
      <c r="X85" s="324">
        <f t="shared" si="66"/>
        <v>0</v>
      </c>
      <c r="Y85" s="37" t="s">
        <v>125</v>
      </c>
      <c r="Z85" s="37" t="s">
        <v>349</v>
      </c>
      <c r="AA85" s="63">
        <f t="shared" si="67"/>
        <v>6.2664411871606829</v>
      </c>
      <c r="AB85" s="351">
        <f t="shared" si="68"/>
        <v>0</v>
      </c>
      <c r="AC85" s="316">
        <f t="shared" si="69"/>
        <v>0</v>
      </c>
      <c r="AD85" s="136"/>
      <c r="AE85" s="139">
        <f t="shared" si="70"/>
        <v>1</v>
      </c>
      <c r="AF85" s="318"/>
      <c r="AG85" s="319">
        <f t="shared" si="71"/>
        <v>0</v>
      </c>
      <c r="AH85" s="37" t="s">
        <v>125</v>
      </c>
      <c r="AI85" s="37" t="s">
        <v>349</v>
      </c>
      <c r="AJ85" s="63">
        <f t="shared" si="72"/>
        <v>6.2664411871606829</v>
      </c>
      <c r="AK85" s="408">
        <f t="shared" si="73"/>
        <v>0</v>
      </c>
      <c r="AL85" s="37" t="s">
        <v>411</v>
      </c>
      <c r="AM85" s="37" t="s">
        <v>3</v>
      </c>
      <c r="AN85" s="150">
        <f t="shared" si="74"/>
        <v>1.9221853757639424</v>
      </c>
      <c r="AO85" s="408">
        <f t="shared" si="75"/>
        <v>0</v>
      </c>
      <c r="AP85" s="351">
        <f t="shared" si="76"/>
        <v>0</v>
      </c>
      <c r="AQ85" s="318"/>
      <c r="AR85" s="63">
        <f>Subrates!$C$94</f>
        <v>2.2000000000000002</v>
      </c>
      <c r="AS85" s="318"/>
      <c r="AT85" s="63">
        <f>Subrates!$C$95</f>
        <v>13.200000000000001</v>
      </c>
      <c r="AU85" s="318"/>
      <c r="AV85" s="63">
        <f>Subrates!$C$96</f>
        <v>14.3</v>
      </c>
      <c r="AW85" s="351">
        <f t="shared" si="77"/>
        <v>0</v>
      </c>
      <c r="AX85" s="316"/>
      <c r="AY85" s="406">
        <f>Subrates!$C$106</f>
        <v>21234.52910306484</v>
      </c>
      <c r="AZ85" s="351">
        <f t="shared" si="78"/>
        <v>0</v>
      </c>
      <c r="BA85" s="63">
        <f>Subrates!$C$105</f>
        <v>2885.2856380177936</v>
      </c>
      <c r="BB85" s="1139">
        <f t="shared" si="79"/>
        <v>0</v>
      </c>
      <c r="BC85" s="73"/>
      <c r="BD85" s="318"/>
      <c r="BE85" s="319">
        <f t="shared" si="80"/>
        <v>0</v>
      </c>
      <c r="BF85" s="37" t="s">
        <v>125</v>
      </c>
      <c r="BG85" s="383" t="s">
        <v>348</v>
      </c>
      <c r="BH85" s="63">
        <f t="shared" si="81"/>
        <v>4.8064250364478198</v>
      </c>
      <c r="BI85" s="408">
        <f t="shared" si="82"/>
        <v>0</v>
      </c>
      <c r="BJ85" s="149" t="s">
        <v>2026</v>
      </c>
      <c r="BK85" s="48" t="s">
        <v>485</v>
      </c>
      <c r="BL85" s="63">
        <f>IF(BJ85=Lists!$B$11,0,VLOOKUP(BK85,Long_distance_values_subs,Subrates!$C$5,FALSE))</f>
        <v>0</v>
      </c>
      <c r="BM85" s="63">
        <f>IF(BJ85=Local,0,Subrates!$D$122)</f>
        <v>0</v>
      </c>
      <c r="BN85" s="1140"/>
      <c r="BO85" s="412">
        <f>IF(BN85="",BE85*VLOOKUP(BK85,Long_distance_values_subs,Subrates!$H$5,FALSE)*BL85+BE85*BM85,BE85*BN85)</f>
        <v>0</v>
      </c>
      <c r="BP85" s="351">
        <f t="shared" si="94"/>
        <v>0</v>
      </c>
      <c r="BQ85" s="316"/>
      <c r="BR85" s="195" t="s">
        <v>48</v>
      </c>
      <c r="BS85" s="1096" t="str">
        <f>IF(BR85=Lists!$B$18,"N/A",VLOOKUP(BR85,Lists!$B$18:$D$26,Lists!$C$3,FALSE))</f>
        <v>N/A</v>
      </c>
      <c r="BT85" s="63">
        <f>IF(BR85=Lists!$B$18,0,VLOOKUP(BS85,Amend_TOV,TOV!$F$1,FALSE))</f>
        <v>0</v>
      </c>
      <c r="BU85" s="117"/>
      <c r="BV85" s="316"/>
      <c r="BW85" s="195" t="s">
        <v>48</v>
      </c>
      <c r="BX85" s="1096" t="str">
        <f>IF(BW85=Lists!$B$18,"N/A",VLOOKUP(BW85,Lists!$B$18:$D$26,Lists!$C$3,FALSE))</f>
        <v>N/A</v>
      </c>
      <c r="BY85" s="63">
        <f>IF(BW85=Lists!$B$18,0,VLOOKUP(BX85,Amend_TOV,TOV!$F$1,FALSE))</f>
        <v>0</v>
      </c>
      <c r="BZ85" s="117"/>
      <c r="CA85" s="316"/>
      <c r="CB85" s="195" t="s">
        <v>48</v>
      </c>
      <c r="CC85" s="1096" t="str">
        <f>IF(CB85=Lists!$B$18,"N/A",VLOOKUP(CB85,Lists!$B$18:$D$26,Lists!$C$3,FALSE))</f>
        <v>N/A</v>
      </c>
      <c r="CD85" s="63">
        <f>IF(CB85=Lists!$B$18,0,VLOOKUP(CC85,Amend_TOV,TOV!$F$1,FALSE))</f>
        <v>0</v>
      </c>
      <c r="CE85" s="117"/>
      <c r="CF85" s="351">
        <f t="shared" si="83"/>
        <v>0</v>
      </c>
      <c r="CG85" s="316">
        <f t="shared" si="84"/>
        <v>0</v>
      </c>
      <c r="CH85" s="208">
        <v>1</v>
      </c>
      <c r="CI85" s="208"/>
      <c r="CJ85" s="67">
        <f t="shared" si="85"/>
        <v>0</v>
      </c>
      <c r="CK85" s="16" t="str">
        <f t="shared" si="95"/>
        <v>No Alert</v>
      </c>
      <c r="CL85" s="351">
        <f t="shared" si="86"/>
        <v>0</v>
      </c>
      <c r="CM85" s="351">
        <f t="shared" si="87"/>
        <v>0</v>
      </c>
      <c r="CN85" s="370"/>
      <c r="CO85" s="351">
        <f t="shared" si="88"/>
        <v>0</v>
      </c>
      <c r="CP85" s="159"/>
      <c r="CQ85" s="106">
        <f t="shared" si="89"/>
        <v>0</v>
      </c>
      <c r="CR85" s="1097">
        <f t="shared" si="90"/>
        <v>0</v>
      </c>
      <c r="CS85" s="803">
        <f t="shared" si="91"/>
        <v>0</v>
      </c>
      <c r="CT85" s="215"/>
      <c r="CU85" s="217"/>
      <c r="CV85" s="217"/>
      <c r="CW85" s="217"/>
      <c r="CX85" s="217"/>
      <c r="CY85" s="217"/>
      <c r="CZ85" s="217"/>
      <c r="DA85" s="218"/>
      <c r="EF85" s="1068"/>
      <c r="ET85" s="475"/>
    </row>
    <row r="86" spans="2:150" ht="15">
      <c r="B86" s="310"/>
      <c r="C86" s="989">
        <f t="shared" si="92"/>
        <v>6</v>
      </c>
      <c r="D86" s="168"/>
      <c r="E86" s="316"/>
      <c r="F86" s="316"/>
      <c r="G86" s="77"/>
      <c r="H86" s="316"/>
      <c r="I86" s="77"/>
      <c r="J86" s="316"/>
      <c r="K86" s="37" t="s">
        <v>428</v>
      </c>
      <c r="L86" s="318"/>
      <c r="M86" s="319">
        <f t="shared" si="62"/>
        <v>0</v>
      </c>
      <c r="N86" s="318"/>
      <c r="O86" s="319">
        <f t="shared" si="63"/>
        <v>0</v>
      </c>
      <c r="P86" s="37" t="s">
        <v>411</v>
      </c>
      <c r="Q86" s="37" t="s">
        <v>3</v>
      </c>
      <c r="R86" s="150">
        <f>INDEX(Subrates!$C$56:$I$69,MATCH(P86,Subrates!$B$56:$B$69,0),MATCH(Q86,Subrates!$C$55:$I$55,0))</f>
        <v>1.9221853757639424</v>
      </c>
      <c r="S86" s="156">
        <f t="shared" si="64"/>
        <v>8904.769113128099</v>
      </c>
      <c r="T86" s="351">
        <f t="shared" si="65"/>
        <v>0</v>
      </c>
      <c r="U86" s="351">
        <f t="shared" si="93"/>
        <v>0</v>
      </c>
      <c r="V86" s="73"/>
      <c r="W86" s="318"/>
      <c r="X86" s="324">
        <f t="shared" si="66"/>
        <v>0</v>
      </c>
      <c r="Y86" s="37" t="s">
        <v>125</v>
      </c>
      <c r="Z86" s="37" t="s">
        <v>349</v>
      </c>
      <c r="AA86" s="63">
        <f t="shared" si="67"/>
        <v>6.2664411871606829</v>
      </c>
      <c r="AB86" s="351">
        <f t="shared" si="68"/>
        <v>0</v>
      </c>
      <c r="AC86" s="316">
        <f t="shared" si="69"/>
        <v>0</v>
      </c>
      <c r="AD86" s="136"/>
      <c r="AE86" s="139">
        <f t="shared" si="70"/>
        <v>1</v>
      </c>
      <c r="AF86" s="318"/>
      <c r="AG86" s="319">
        <f t="shared" si="71"/>
        <v>0</v>
      </c>
      <c r="AH86" s="37" t="s">
        <v>125</v>
      </c>
      <c r="AI86" s="37" t="s">
        <v>349</v>
      </c>
      <c r="AJ86" s="63">
        <f t="shared" si="72"/>
        <v>6.2664411871606829</v>
      </c>
      <c r="AK86" s="408">
        <f t="shared" si="73"/>
        <v>0</v>
      </c>
      <c r="AL86" s="37" t="s">
        <v>411</v>
      </c>
      <c r="AM86" s="37" t="s">
        <v>3</v>
      </c>
      <c r="AN86" s="150">
        <f t="shared" si="74"/>
        <v>1.9221853757639424</v>
      </c>
      <c r="AO86" s="408">
        <f t="shared" si="75"/>
        <v>0</v>
      </c>
      <c r="AP86" s="351">
        <f t="shared" si="76"/>
        <v>0</v>
      </c>
      <c r="AQ86" s="318"/>
      <c r="AR86" s="63">
        <f>Subrates!$C$94</f>
        <v>2.2000000000000002</v>
      </c>
      <c r="AS86" s="318"/>
      <c r="AT86" s="63">
        <f>Subrates!$C$95</f>
        <v>13.200000000000001</v>
      </c>
      <c r="AU86" s="318"/>
      <c r="AV86" s="63">
        <f>Subrates!$C$96</f>
        <v>14.3</v>
      </c>
      <c r="AW86" s="351">
        <f t="shared" si="77"/>
        <v>0</v>
      </c>
      <c r="AX86" s="316"/>
      <c r="AY86" s="406">
        <f>Subrates!$C$106</f>
        <v>21234.52910306484</v>
      </c>
      <c r="AZ86" s="351">
        <f t="shared" si="78"/>
        <v>0</v>
      </c>
      <c r="BA86" s="63">
        <f>Subrates!$C$105</f>
        <v>2885.2856380177936</v>
      </c>
      <c r="BB86" s="1139">
        <f t="shared" si="79"/>
        <v>0</v>
      </c>
      <c r="BC86" s="73"/>
      <c r="BD86" s="318"/>
      <c r="BE86" s="319">
        <f t="shared" si="80"/>
        <v>0</v>
      </c>
      <c r="BF86" s="37" t="s">
        <v>125</v>
      </c>
      <c r="BG86" s="383" t="s">
        <v>348</v>
      </c>
      <c r="BH86" s="63">
        <f t="shared" si="81"/>
        <v>4.8064250364478198</v>
      </c>
      <c r="BI86" s="408">
        <f t="shared" si="82"/>
        <v>0</v>
      </c>
      <c r="BJ86" s="149" t="s">
        <v>2026</v>
      </c>
      <c r="BK86" s="48" t="s">
        <v>485</v>
      </c>
      <c r="BL86" s="63">
        <f>IF(BJ86=Lists!$B$11,0,VLOOKUP(BK86,Long_distance_values_subs,Subrates!$C$5,FALSE))</f>
        <v>0</v>
      </c>
      <c r="BM86" s="63">
        <f>IF(BJ86=Local,0,Subrates!$D$122)</f>
        <v>0</v>
      </c>
      <c r="BN86" s="1140"/>
      <c r="BO86" s="412">
        <f>IF(BN86="",BE86*VLOOKUP(BK86,Long_distance_values_subs,Subrates!$H$5,FALSE)*BL86+BE86*BM86,BE86*BN86)</f>
        <v>0</v>
      </c>
      <c r="BP86" s="351">
        <f t="shared" si="94"/>
        <v>0</v>
      </c>
      <c r="BQ86" s="316"/>
      <c r="BR86" s="195" t="s">
        <v>48</v>
      </c>
      <c r="BS86" s="1096" t="str">
        <f>IF(BR86=Lists!$B$18,"N/A",VLOOKUP(BR86,Lists!$B$18:$D$26,Lists!$C$3,FALSE))</f>
        <v>N/A</v>
      </c>
      <c r="BT86" s="63">
        <f>IF(BR86=Lists!$B$18,0,VLOOKUP(BS86,Amend_TOV,TOV!$F$1,FALSE))</f>
        <v>0</v>
      </c>
      <c r="BU86" s="117"/>
      <c r="BV86" s="316"/>
      <c r="BW86" s="195" t="s">
        <v>48</v>
      </c>
      <c r="BX86" s="1096" t="str">
        <f>IF(BW86=Lists!$B$18,"N/A",VLOOKUP(BW86,Lists!$B$18:$D$26,Lists!$C$3,FALSE))</f>
        <v>N/A</v>
      </c>
      <c r="BY86" s="63">
        <f>IF(BW86=Lists!$B$18,0,VLOOKUP(BX86,Amend_TOV,TOV!$F$1,FALSE))</f>
        <v>0</v>
      </c>
      <c r="BZ86" s="117"/>
      <c r="CA86" s="316"/>
      <c r="CB86" s="195" t="s">
        <v>48</v>
      </c>
      <c r="CC86" s="1096" t="str">
        <f>IF(CB86=Lists!$B$18,"N/A",VLOOKUP(CB86,Lists!$B$18:$D$26,Lists!$C$3,FALSE))</f>
        <v>N/A</v>
      </c>
      <c r="CD86" s="63">
        <f>IF(CB86=Lists!$B$18,0,VLOOKUP(CC86,Amend_TOV,TOV!$F$1,FALSE))</f>
        <v>0</v>
      </c>
      <c r="CE86" s="117"/>
      <c r="CF86" s="351">
        <f t="shared" si="83"/>
        <v>0</v>
      </c>
      <c r="CG86" s="316">
        <f t="shared" si="84"/>
        <v>0</v>
      </c>
      <c r="CH86" s="208">
        <v>1</v>
      </c>
      <c r="CI86" s="208"/>
      <c r="CJ86" s="67">
        <f t="shared" si="85"/>
        <v>0</v>
      </c>
      <c r="CK86" s="16" t="str">
        <f t="shared" si="95"/>
        <v>No Alert</v>
      </c>
      <c r="CL86" s="351">
        <f t="shared" si="86"/>
        <v>0</v>
      </c>
      <c r="CM86" s="351">
        <f t="shared" si="87"/>
        <v>0</v>
      </c>
      <c r="CN86" s="370"/>
      <c r="CO86" s="351">
        <f t="shared" si="88"/>
        <v>0</v>
      </c>
      <c r="CP86" s="159"/>
      <c r="CQ86" s="106">
        <f t="shared" si="89"/>
        <v>0</v>
      </c>
      <c r="CR86" s="1097">
        <f t="shared" si="90"/>
        <v>0</v>
      </c>
      <c r="CS86" s="803">
        <f t="shared" si="91"/>
        <v>0</v>
      </c>
      <c r="CT86" s="215"/>
      <c r="CU86" s="217"/>
      <c r="CV86" s="217"/>
      <c r="CW86" s="217"/>
      <c r="CX86" s="217"/>
      <c r="CY86" s="217"/>
      <c r="CZ86" s="217"/>
      <c r="DA86" s="218"/>
      <c r="EF86" s="1068"/>
      <c r="ET86" s="475"/>
    </row>
    <row r="87" spans="2:150" ht="15">
      <c r="B87" s="310"/>
      <c r="C87" s="989">
        <f t="shared" si="92"/>
        <v>7</v>
      </c>
      <c r="D87" s="168"/>
      <c r="E87" s="316"/>
      <c r="F87" s="316"/>
      <c r="G87" s="77"/>
      <c r="H87" s="316"/>
      <c r="I87" s="77"/>
      <c r="J87" s="316"/>
      <c r="K87" s="37" t="s">
        <v>428</v>
      </c>
      <c r="L87" s="318"/>
      <c r="M87" s="319">
        <f t="shared" si="62"/>
        <v>0</v>
      </c>
      <c r="N87" s="318"/>
      <c r="O87" s="319">
        <f t="shared" si="63"/>
        <v>0</v>
      </c>
      <c r="P87" s="37" t="s">
        <v>411</v>
      </c>
      <c r="Q87" s="37" t="s">
        <v>3</v>
      </c>
      <c r="R87" s="150">
        <f>INDEX(Subrates!$C$56:$I$69,MATCH(P87,Subrates!$B$56:$B$69,0),MATCH(Q87,Subrates!$C$55:$I$55,0))</f>
        <v>1.9221853757639424</v>
      </c>
      <c r="S87" s="156">
        <f t="shared" si="64"/>
        <v>8904.769113128099</v>
      </c>
      <c r="T87" s="351">
        <f t="shared" si="65"/>
        <v>0</v>
      </c>
      <c r="U87" s="351">
        <f t="shared" si="93"/>
        <v>0</v>
      </c>
      <c r="V87" s="73"/>
      <c r="W87" s="318"/>
      <c r="X87" s="324">
        <f t="shared" si="66"/>
        <v>0</v>
      </c>
      <c r="Y87" s="37" t="s">
        <v>125</v>
      </c>
      <c r="Z87" s="37" t="s">
        <v>349</v>
      </c>
      <c r="AA87" s="63">
        <f t="shared" si="67"/>
        <v>6.2664411871606829</v>
      </c>
      <c r="AB87" s="351">
        <f t="shared" si="68"/>
        <v>0</v>
      </c>
      <c r="AC87" s="316">
        <f t="shared" si="69"/>
        <v>0</v>
      </c>
      <c r="AD87" s="136"/>
      <c r="AE87" s="139">
        <f t="shared" si="70"/>
        <v>1</v>
      </c>
      <c r="AF87" s="318"/>
      <c r="AG87" s="319">
        <f t="shared" si="71"/>
        <v>0</v>
      </c>
      <c r="AH87" s="37" t="s">
        <v>125</v>
      </c>
      <c r="AI87" s="37" t="s">
        <v>349</v>
      </c>
      <c r="AJ87" s="63">
        <f t="shared" si="72"/>
        <v>6.2664411871606829</v>
      </c>
      <c r="AK87" s="408">
        <f t="shared" si="73"/>
        <v>0</v>
      </c>
      <c r="AL87" s="37" t="s">
        <v>411</v>
      </c>
      <c r="AM87" s="37" t="s">
        <v>3</v>
      </c>
      <c r="AN87" s="150">
        <f t="shared" si="74"/>
        <v>1.9221853757639424</v>
      </c>
      <c r="AO87" s="408">
        <f t="shared" si="75"/>
        <v>0</v>
      </c>
      <c r="AP87" s="351">
        <f t="shared" si="76"/>
        <v>0</v>
      </c>
      <c r="AQ87" s="318"/>
      <c r="AR87" s="63">
        <f>Subrates!$C$94</f>
        <v>2.2000000000000002</v>
      </c>
      <c r="AS87" s="318"/>
      <c r="AT87" s="63">
        <f>Subrates!$C$95</f>
        <v>13.200000000000001</v>
      </c>
      <c r="AU87" s="318"/>
      <c r="AV87" s="63">
        <f>Subrates!$C$96</f>
        <v>14.3</v>
      </c>
      <c r="AW87" s="351">
        <f t="shared" si="77"/>
        <v>0</v>
      </c>
      <c r="AX87" s="316"/>
      <c r="AY87" s="406">
        <f>Subrates!$C$106</f>
        <v>21234.52910306484</v>
      </c>
      <c r="AZ87" s="351">
        <f t="shared" si="78"/>
        <v>0</v>
      </c>
      <c r="BA87" s="63">
        <f>Subrates!$C$105</f>
        <v>2885.2856380177936</v>
      </c>
      <c r="BB87" s="1139">
        <f t="shared" si="79"/>
        <v>0</v>
      </c>
      <c r="BC87" s="73"/>
      <c r="BD87" s="318"/>
      <c r="BE87" s="319">
        <f t="shared" si="80"/>
        <v>0</v>
      </c>
      <c r="BF87" s="37" t="s">
        <v>125</v>
      </c>
      <c r="BG87" s="383" t="s">
        <v>348</v>
      </c>
      <c r="BH87" s="63">
        <f t="shared" si="81"/>
        <v>4.8064250364478198</v>
      </c>
      <c r="BI87" s="408">
        <f t="shared" si="82"/>
        <v>0</v>
      </c>
      <c r="BJ87" s="149" t="s">
        <v>2026</v>
      </c>
      <c r="BK87" s="48" t="s">
        <v>485</v>
      </c>
      <c r="BL87" s="63">
        <f>IF(BJ87=Lists!$B$11,0,VLOOKUP(BK87,Long_distance_values_subs,Subrates!$C$5,FALSE))</f>
        <v>0</v>
      </c>
      <c r="BM87" s="63">
        <f>IF(BJ87=Local,0,Subrates!$D$122)</f>
        <v>0</v>
      </c>
      <c r="BN87" s="1140"/>
      <c r="BO87" s="412">
        <f>IF(BN87="",BE87*VLOOKUP(BK87,Long_distance_values_subs,Subrates!$H$5,FALSE)*BL87+BE87*BM87,BE87*BN87)</f>
        <v>0</v>
      </c>
      <c r="BP87" s="351">
        <f t="shared" si="94"/>
        <v>0</v>
      </c>
      <c r="BQ87" s="316"/>
      <c r="BR87" s="195" t="s">
        <v>48</v>
      </c>
      <c r="BS87" s="1096" t="str">
        <f>IF(BR87=Lists!$B$18,"N/A",VLOOKUP(BR87,Lists!$B$18:$D$26,Lists!$C$3,FALSE))</f>
        <v>N/A</v>
      </c>
      <c r="BT87" s="63">
        <f>IF(BR87=Lists!$B$18,0,VLOOKUP(BS87,Amend_TOV,TOV!$F$1,FALSE))</f>
        <v>0</v>
      </c>
      <c r="BU87" s="117"/>
      <c r="BV87" s="316"/>
      <c r="BW87" s="195" t="s">
        <v>48</v>
      </c>
      <c r="BX87" s="1096" t="str">
        <f>IF(BW87=Lists!$B$18,"N/A",VLOOKUP(BW87,Lists!$B$18:$D$26,Lists!$C$3,FALSE))</f>
        <v>N/A</v>
      </c>
      <c r="BY87" s="63">
        <f>IF(BW87=Lists!$B$18,0,VLOOKUP(BX87,Amend_TOV,TOV!$F$1,FALSE))</f>
        <v>0</v>
      </c>
      <c r="BZ87" s="117"/>
      <c r="CA87" s="316"/>
      <c r="CB87" s="195" t="s">
        <v>48</v>
      </c>
      <c r="CC87" s="1096" t="str">
        <f>IF(CB87=Lists!$B$18,"N/A",VLOOKUP(CB87,Lists!$B$18:$D$26,Lists!$C$3,FALSE))</f>
        <v>N/A</v>
      </c>
      <c r="CD87" s="63">
        <f>IF(CB87=Lists!$B$18,0,VLOOKUP(CC87,Amend_TOV,TOV!$F$1,FALSE))</f>
        <v>0</v>
      </c>
      <c r="CE87" s="117"/>
      <c r="CF87" s="351">
        <f t="shared" si="83"/>
        <v>0</v>
      </c>
      <c r="CG87" s="316">
        <f t="shared" si="84"/>
        <v>0</v>
      </c>
      <c r="CH87" s="208">
        <v>1</v>
      </c>
      <c r="CI87" s="208"/>
      <c r="CJ87" s="67">
        <f t="shared" si="85"/>
        <v>0</v>
      </c>
      <c r="CK87" s="16" t="str">
        <f t="shared" si="95"/>
        <v>No Alert</v>
      </c>
      <c r="CL87" s="351">
        <f t="shared" si="86"/>
        <v>0</v>
      </c>
      <c r="CM87" s="351">
        <f t="shared" si="87"/>
        <v>0</v>
      </c>
      <c r="CN87" s="370"/>
      <c r="CO87" s="351">
        <f t="shared" si="88"/>
        <v>0</v>
      </c>
      <c r="CP87" s="159"/>
      <c r="CQ87" s="106">
        <f t="shared" si="89"/>
        <v>0</v>
      </c>
      <c r="CR87" s="1097">
        <f t="shared" si="90"/>
        <v>0</v>
      </c>
      <c r="CS87" s="803">
        <f t="shared" si="91"/>
        <v>0</v>
      </c>
      <c r="CT87" s="215"/>
      <c r="CU87" s="217"/>
      <c r="CV87" s="217"/>
      <c r="CW87" s="217"/>
      <c r="CX87" s="217"/>
      <c r="CY87" s="217"/>
      <c r="CZ87" s="217"/>
      <c r="DA87" s="218"/>
      <c r="EF87" s="1068"/>
      <c r="ET87" s="475"/>
    </row>
    <row r="88" spans="2:150" ht="15">
      <c r="B88" s="310"/>
      <c r="C88" s="989">
        <f t="shared" si="92"/>
        <v>8</v>
      </c>
      <c r="D88" s="168"/>
      <c r="E88" s="316"/>
      <c r="F88" s="316"/>
      <c r="G88" s="77"/>
      <c r="H88" s="316"/>
      <c r="I88" s="77"/>
      <c r="J88" s="316"/>
      <c r="K88" s="37" t="s">
        <v>428</v>
      </c>
      <c r="L88" s="318"/>
      <c r="M88" s="319">
        <f t="shared" si="62"/>
        <v>0</v>
      </c>
      <c r="N88" s="318"/>
      <c r="O88" s="319">
        <f t="shared" si="63"/>
        <v>0</v>
      </c>
      <c r="P88" s="37" t="s">
        <v>411</v>
      </c>
      <c r="Q88" s="37" t="s">
        <v>3</v>
      </c>
      <c r="R88" s="150">
        <f>INDEX(Subrates!$C$56:$I$69,MATCH(P88,Subrates!$B$56:$B$69,0),MATCH(Q88,Subrates!$C$55:$I$55,0))</f>
        <v>1.9221853757639424</v>
      </c>
      <c r="S88" s="156">
        <f t="shared" si="64"/>
        <v>8904.769113128099</v>
      </c>
      <c r="T88" s="351">
        <f t="shared" si="65"/>
        <v>0</v>
      </c>
      <c r="U88" s="351">
        <f t="shared" si="93"/>
        <v>0</v>
      </c>
      <c r="V88" s="73"/>
      <c r="W88" s="318"/>
      <c r="X88" s="324">
        <f t="shared" si="66"/>
        <v>0</v>
      </c>
      <c r="Y88" s="37" t="s">
        <v>125</v>
      </c>
      <c r="Z88" s="37" t="s">
        <v>349</v>
      </c>
      <c r="AA88" s="63">
        <f t="shared" si="67"/>
        <v>6.2664411871606829</v>
      </c>
      <c r="AB88" s="351">
        <f t="shared" si="68"/>
        <v>0</v>
      </c>
      <c r="AC88" s="316">
        <f t="shared" si="69"/>
        <v>0</v>
      </c>
      <c r="AD88" s="136"/>
      <c r="AE88" s="139">
        <f t="shared" si="70"/>
        <v>1</v>
      </c>
      <c r="AF88" s="318"/>
      <c r="AG88" s="319">
        <f t="shared" si="71"/>
        <v>0</v>
      </c>
      <c r="AH88" s="37" t="s">
        <v>125</v>
      </c>
      <c r="AI88" s="37" t="s">
        <v>349</v>
      </c>
      <c r="AJ88" s="63">
        <f t="shared" si="72"/>
        <v>6.2664411871606829</v>
      </c>
      <c r="AK88" s="408">
        <f t="shared" si="73"/>
        <v>0</v>
      </c>
      <c r="AL88" s="37" t="s">
        <v>411</v>
      </c>
      <c r="AM88" s="37" t="s">
        <v>3</v>
      </c>
      <c r="AN88" s="150">
        <f t="shared" si="74"/>
        <v>1.9221853757639424</v>
      </c>
      <c r="AO88" s="408">
        <f t="shared" si="75"/>
        <v>0</v>
      </c>
      <c r="AP88" s="351">
        <f t="shared" si="76"/>
        <v>0</v>
      </c>
      <c r="AQ88" s="318"/>
      <c r="AR88" s="63">
        <f>Subrates!$C$94</f>
        <v>2.2000000000000002</v>
      </c>
      <c r="AS88" s="318"/>
      <c r="AT88" s="63">
        <f>Subrates!$C$95</f>
        <v>13.200000000000001</v>
      </c>
      <c r="AU88" s="318"/>
      <c r="AV88" s="63">
        <f>Subrates!$C$96</f>
        <v>14.3</v>
      </c>
      <c r="AW88" s="351">
        <f t="shared" si="77"/>
        <v>0</v>
      </c>
      <c r="AX88" s="316"/>
      <c r="AY88" s="406">
        <f>Subrates!$C$106</f>
        <v>21234.52910306484</v>
      </c>
      <c r="AZ88" s="351">
        <f t="shared" si="78"/>
        <v>0</v>
      </c>
      <c r="BA88" s="63">
        <f>Subrates!$C$105</f>
        <v>2885.2856380177936</v>
      </c>
      <c r="BB88" s="1139">
        <f t="shared" si="79"/>
        <v>0</v>
      </c>
      <c r="BC88" s="73"/>
      <c r="BD88" s="318"/>
      <c r="BE88" s="319">
        <f t="shared" si="80"/>
        <v>0</v>
      </c>
      <c r="BF88" s="37" t="s">
        <v>125</v>
      </c>
      <c r="BG88" s="383" t="s">
        <v>348</v>
      </c>
      <c r="BH88" s="63">
        <f t="shared" si="81"/>
        <v>4.8064250364478198</v>
      </c>
      <c r="BI88" s="408">
        <f t="shared" si="82"/>
        <v>0</v>
      </c>
      <c r="BJ88" s="149" t="s">
        <v>2026</v>
      </c>
      <c r="BK88" s="48" t="s">
        <v>485</v>
      </c>
      <c r="BL88" s="63">
        <f>IF(BJ88=Lists!$B$11,0,VLOOKUP(BK88,Long_distance_values_subs,Subrates!$C$5,FALSE))</f>
        <v>0</v>
      </c>
      <c r="BM88" s="63">
        <f>IF(BJ88=Local,0,Subrates!$D$122)</f>
        <v>0</v>
      </c>
      <c r="BN88" s="1140"/>
      <c r="BO88" s="412">
        <f>IF(BN88="",BE88*VLOOKUP(BK88,Long_distance_values_subs,Subrates!$H$5,FALSE)*BL88+BE88*BM88,BE88*BN88)</f>
        <v>0</v>
      </c>
      <c r="BP88" s="351">
        <f t="shared" si="94"/>
        <v>0</v>
      </c>
      <c r="BQ88" s="316"/>
      <c r="BR88" s="195" t="s">
        <v>48</v>
      </c>
      <c r="BS88" s="1096" t="str">
        <f>IF(BR88=Lists!$B$18,"N/A",VLOOKUP(BR88,Lists!$B$18:$D$26,Lists!$C$3,FALSE))</f>
        <v>N/A</v>
      </c>
      <c r="BT88" s="63">
        <f>IF(BR88=Lists!$B$18,0,VLOOKUP(BS88,Amend_TOV,TOV!$F$1,FALSE))</f>
        <v>0</v>
      </c>
      <c r="BU88" s="117"/>
      <c r="BV88" s="316"/>
      <c r="BW88" s="195" t="s">
        <v>48</v>
      </c>
      <c r="BX88" s="1096" t="str">
        <f>IF(BW88=Lists!$B$18,"N/A",VLOOKUP(BW88,Lists!$B$18:$D$26,Lists!$C$3,FALSE))</f>
        <v>N/A</v>
      </c>
      <c r="BY88" s="63">
        <f>IF(BW88=Lists!$B$18,0,VLOOKUP(BX88,Amend_TOV,TOV!$F$1,FALSE))</f>
        <v>0</v>
      </c>
      <c r="BZ88" s="117"/>
      <c r="CA88" s="316"/>
      <c r="CB88" s="195" t="s">
        <v>48</v>
      </c>
      <c r="CC88" s="1096" t="str">
        <f>IF(CB88=Lists!$B$18,"N/A",VLOOKUP(CB88,Lists!$B$18:$D$26,Lists!$C$3,FALSE))</f>
        <v>N/A</v>
      </c>
      <c r="CD88" s="63">
        <f>IF(CB88=Lists!$B$18,0,VLOOKUP(CC88,Amend_TOV,TOV!$F$1,FALSE))</f>
        <v>0</v>
      </c>
      <c r="CE88" s="117"/>
      <c r="CF88" s="351">
        <f t="shared" si="83"/>
        <v>0</v>
      </c>
      <c r="CG88" s="316">
        <f t="shared" si="84"/>
        <v>0</v>
      </c>
      <c r="CH88" s="208">
        <v>1</v>
      </c>
      <c r="CI88" s="208"/>
      <c r="CJ88" s="67">
        <f t="shared" si="85"/>
        <v>0</v>
      </c>
      <c r="CK88" s="16" t="str">
        <f t="shared" si="95"/>
        <v>No Alert</v>
      </c>
      <c r="CL88" s="351">
        <f t="shared" si="86"/>
        <v>0</v>
      </c>
      <c r="CM88" s="351">
        <f t="shared" si="87"/>
        <v>0</v>
      </c>
      <c r="CN88" s="370"/>
      <c r="CO88" s="351">
        <f t="shared" si="88"/>
        <v>0</v>
      </c>
      <c r="CP88" s="159"/>
      <c r="CQ88" s="106">
        <f t="shared" si="89"/>
        <v>0</v>
      </c>
      <c r="CR88" s="1097">
        <f t="shared" si="90"/>
        <v>0</v>
      </c>
      <c r="CS88" s="803">
        <f t="shared" si="91"/>
        <v>0</v>
      </c>
      <c r="CT88" s="215"/>
      <c r="CU88" s="217"/>
      <c r="CV88" s="217"/>
      <c r="CW88" s="217"/>
      <c r="CX88" s="217"/>
      <c r="CY88" s="217"/>
      <c r="CZ88" s="217"/>
      <c r="DA88" s="218"/>
      <c r="EF88" s="1068"/>
      <c r="ET88" s="475"/>
    </row>
    <row r="89" spans="2:150" ht="15">
      <c r="B89" s="310"/>
      <c r="C89" s="989">
        <f t="shared" si="92"/>
        <v>9</v>
      </c>
      <c r="D89" s="168"/>
      <c r="E89" s="316"/>
      <c r="F89" s="316"/>
      <c r="G89" s="77"/>
      <c r="H89" s="316"/>
      <c r="I89" s="77"/>
      <c r="J89" s="316"/>
      <c r="K89" s="37" t="s">
        <v>428</v>
      </c>
      <c r="L89" s="318"/>
      <c r="M89" s="319">
        <f t="shared" si="62"/>
        <v>0</v>
      </c>
      <c r="N89" s="318"/>
      <c r="O89" s="319">
        <f t="shared" si="63"/>
        <v>0</v>
      </c>
      <c r="P89" s="37" t="s">
        <v>411</v>
      </c>
      <c r="Q89" s="37" t="s">
        <v>3</v>
      </c>
      <c r="R89" s="150">
        <f>INDEX(Subrates!$C$56:$I$69,MATCH(P89,Subrates!$B$56:$B$69,0),MATCH(Q89,Subrates!$C$55:$I$55,0))</f>
        <v>1.9221853757639424</v>
      </c>
      <c r="S89" s="156">
        <f t="shared" si="64"/>
        <v>8904.769113128099</v>
      </c>
      <c r="T89" s="351">
        <f t="shared" si="65"/>
        <v>0</v>
      </c>
      <c r="U89" s="351">
        <f t="shared" si="93"/>
        <v>0</v>
      </c>
      <c r="V89" s="73"/>
      <c r="W89" s="318"/>
      <c r="X89" s="324">
        <f t="shared" si="66"/>
        <v>0</v>
      </c>
      <c r="Y89" s="37" t="s">
        <v>125</v>
      </c>
      <c r="Z89" s="37" t="s">
        <v>349</v>
      </c>
      <c r="AA89" s="63">
        <f t="shared" si="67"/>
        <v>6.2664411871606829</v>
      </c>
      <c r="AB89" s="351">
        <f t="shared" si="68"/>
        <v>0</v>
      </c>
      <c r="AC89" s="316">
        <f t="shared" si="69"/>
        <v>0</v>
      </c>
      <c r="AD89" s="136"/>
      <c r="AE89" s="139">
        <f t="shared" si="70"/>
        <v>1</v>
      </c>
      <c r="AF89" s="318"/>
      <c r="AG89" s="319">
        <f t="shared" si="71"/>
        <v>0</v>
      </c>
      <c r="AH89" s="37" t="s">
        <v>125</v>
      </c>
      <c r="AI89" s="37" t="s">
        <v>349</v>
      </c>
      <c r="AJ89" s="63">
        <f t="shared" si="72"/>
        <v>6.2664411871606829</v>
      </c>
      <c r="AK89" s="408">
        <f t="shared" si="73"/>
        <v>0</v>
      </c>
      <c r="AL89" s="37" t="s">
        <v>411</v>
      </c>
      <c r="AM89" s="37" t="s">
        <v>3</v>
      </c>
      <c r="AN89" s="150">
        <f t="shared" si="74"/>
        <v>1.9221853757639424</v>
      </c>
      <c r="AO89" s="408">
        <f t="shared" si="75"/>
        <v>0</v>
      </c>
      <c r="AP89" s="351">
        <f t="shared" si="76"/>
        <v>0</v>
      </c>
      <c r="AQ89" s="318"/>
      <c r="AR89" s="63">
        <f>Subrates!$C$94</f>
        <v>2.2000000000000002</v>
      </c>
      <c r="AS89" s="318"/>
      <c r="AT89" s="63">
        <f>Subrates!$C$95</f>
        <v>13.200000000000001</v>
      </c>
      <c r="AU89" s="318"/>
      <c r="AV89" s="63">
        <f>Subrates!$C$96</f>
        <v>14.3</v>
      </c>
      <c r="AW89" s="351">
        <f t="shared" si="77"/>
        <v>0</v>
      </c>
      <c r="AX89" s="316"/>
      <c r="AY89" s="406">
        <f>Subrates!$C$106</f>
        <v>21234.52910306484</v>
      </c>
      <c r="AZ89" s="351">
        <f t="shared" si="78"/>
        <v>0</v>
      </c>
      <c r="BA89" s="63">
        <f>Subrates!$C$105</f>
        <v>2885.2856380177936</v>
      </c>
      <c r="BB89" s="1139">
        <f t="shared" si="79"/>
        <v>0</v>
      </c>
      <c r="BC89" s="73"/>
      <c r="BD89" s="318"/>
      <c r="BE89" s="319">
        <f t="shared" si="80"/>
        <v>0</v>
      </c>
      <c r="BF89" s="37" t="s">
        <v>125</v>
      </c>
      <c r="BG89" s="383" t="s">
        <v>348</v>
      </c>
      <c r="BH89" s="63">
        <f t="shared" si="81"/>
        <v>4.8064250364478198</v>
      </c>
      <c r="BI89" s="408">
        <f t="shared" si="82"/>
        <v>0</v>
      </c>
      <c r="BJ89" s="149" t="s">
        <v>2026</v>
      </c>
      <c r="BK89" s="48" t="s">
        <v>485</v>
      </c>
      <c r="BL89" s="63">
        <f>IF(BJ89=Lists!$B$11,0,VLOOKUP(BK89,Long_distance_values_subs,Subrates!$C$5,FALSE))</f>
        <v>0</v>
      </c>
      <c r="BM89" s="63">
        <f>IF(BJ89=Local,0,Subrates!$D$122)</f>
        <v>0</v>
      </c>
      <c r="BN89" s="1140"/>
      <c r="BO89" s="412">
        <f>IF(BN89="",BE89*VLOOKUP(BK89,Long_distance_values_subs,Subrates!$H$5,FALSE)*BL89+BE89*BM89,BE89*BN89)</f>
        <v>0</v>
      </c>
      <c r="BP89" s="351">
        <f t="shared" si="94"/>
        <v>0</v>
      </c>
      <c r="BQ89" s="316"/>
      <c r="BR89" s="195" t="s">
        <v>48</v>
      </c>
      <c r="BS89" s="1096" t="str">
        <f>IF(BR89=Lists!$B$18,"N/A",VLOOKUP(BR89,Lists!$B$18:$D$26,Lists!$C$3,FALSE))</f>
        <v>N/A</v>
      </c>
      <c r="BT89" s="63">
        <f>IF(BR89=Lists!$B$18,0,VLOOKUP(BS89,Amend_TOV,TOV!$F$1,FALSE))</f>
        <v>0</v>
      </c>
      <c r="BU89" s="117"/>
      <c r="BV89" s="316"/>
      <c r="BW89" s="195" t="s">
        <v>48</v>
      </c>
      <c r="BX89" s="1096" t="str">
        <f>IF(BW89=Lists!$B$18,"N/A",VLOOKUP(BW89,Lists!$B$18:$D$26,Lists!$C$3,FALSE))</f>
        <v>N/A</v>
      </c>
      <c r="BY89" s="63">
        <f>IF(BW89=Lists!$B$18,0,VLOOKUP(BX89,Amend_TOV,TOV!$F$1,FALSE))</f>
        <v>0</v>
      </c>
      <c r="BZ89" s="117"/>
      <c r="CA89" s="316"/>
      <c r="CB89" s="195" t="s">
        <v>48</v>
      </c>
      <c r="CC89" s="1096" t="str">
        <f>IF(CB89=Lists!$B$18,"N/A",VLOOKUP(CB89,Lists!$B$18:$D$26,Lists!$C$3,FALSE))</f>
        <v>N/A</v>
      </c>
      <c r="CD89" s="63">
        <f>IF(CB89=Lists!$B$18,0,VLOOKUP(CC89,Amend_TOV,TOV!$F$1,FALSE))</f>
        <v>0</v>
      </c>
      <c r="CE89" s="117"/>
      <c r="CF89" s="351">
        <f t="shared" si="83"/>
        <v>0</v>
      </c>
      <c r="CG89" s="316">
        <f t="shared" si="84"/>
        <v>0</v>
      </c>
      <c r="CH89" s="208">
        <v>1</v>
      </c>
      <c r="CI89" s="208"/>
      <c r="CJ89" s="67">
        <f t="shared" si="85"/>
        <v>0</v>
      </c>
      <c r="CK89" s="16" t="str">
        <f t="shared" si="95"/>
        <v>No Alert</v>
      </c>
      <c r="CL89" s="351">
        <f t="shared" si="86"/>
        <v>0</v>
      </c>
      <c r="CM89" s="351">
        <f t="shared" si="87"/>
        <v>0</v>
      </c>
      <c r="CN89" s="370"/>
      <c r="CO89" s="351">
        <f t="shared" si="88"/>
        <v>0</v>
      </c>
      <c r="CP89" s="159"/>
      <c r="CQ89" s="106">
        <f t="shared" si="89"/>
        <v>0</v>
      </c>
      <c r="CR89" s="1097">
        <f t="shared" si="90"/>
        <v>0</v>
      </c>
      <c r="CS89" s="803">
        <f t="shared" si="91"/>
        <v>0</v>
      </c>
      <c r="CT89" s="215"/>
      <c r="CU89" s="217"/>
      <c r="CV89" s="217"/>
      <c r="CW89" s="217"/>
      <c r="CX89" s="217"/>
      <c r="CY89" s="217"/>
      <c r="CZ89" s="217"/>
      <c r="DA89" s="218"/>
      <c r="EF89" s="1068"/>
      <c r="ET89" s="475"/>
    </row>
    <row r="90" spans="2:150" ht="15">
      <c r="B90" s="310"/>
      <c r="C90" s="989">
        <f t="shared" si="92"/>
        <v>10</v>
      </c>
      <c r="D90" s="168"/>
      <c r="E90" s="316"/>
      <c r="F90" s="316"/>
      <c r="G90" s="77"/>
      <c r="H90" s="316"/>
      <c r="I90" s="77"/>
      <c r="J90" s="316"/>
      <c r="K90" s="37" t="s">
        <v>428</v>
      </c>
      <c r="L90" s="318"/>
      <c r="M90" s="319">
        <f t="shared" si="62"/>
        <v>0</v>
      </c>
      <c r="N90" s="318"/>
      <c r="O90" s="319">
        <f t="shared" si="63"/>
        <v>0</v>
      </c>
      <c r="P90" s="37" t="s">
        <v>411</v>
      </c>
      <c r="Q90" s="37" t="s">
        <v>3</v>
      </c>
      <c r="R90" s="150">
        <f>INDEX(Subrates!$C$56:$I$69,MATCH(P90,Subrates!$B$56:$B$69,0),MATCH(Q90,Subrates!$C$55:$I$55,0))</f>
        <v>1.9221853757639424</v>
      </c>
      <c r="S90" s="156">
        <f t="shared" si="64"/>
        <v>8904.769113128099</v>
      </c>
      <c r="T90" s="351">
        <f t="shared" si="65"/>
        <v>0</v>
      </c>
      <c r="U90" s="351">
        <f t="shared" si="93"/>
        <v>0</v>
      </c>
      <c r="V90" s="73"/>
      <c r="W90" s="318"/>
      <c r="X90" s="324">
        <f t="shared" si="66"/>
        <v>0</v>
      </c>
      <c r="Y90" s="37" t="s">
        <v>125</v>
      </c>
      <c r="Z90" s="37" t="s">
        <v>349</v>
      </c>
      <c r="AA90" s="63">
        <f t="shared" si="67"/>
        <v>6.2664411871606829</v>
      </c>
      <c r="AB90" s="351">
        <f t="shared" si="68"/>
        <v>0</v>
      </c>
      <c r="AC90" s="316">
        <f t="shared" si="69"/>
        <v>0</v>
      </c>
      <c r="AD90" s="136"/>
      <c r="AE90" s="139">
        <f t="shared" si="70"/>
        <v>1</v>
      </c>
      <c r="AF90" s="318"/>
      <c r="AG90" s="319">
        <f t="shared" si="71"/>
        <v>0</v>
      </c>
      <c r="AH90" s="37" t="s">
        <v>125</v>
      </c>
      <c r="AI90" s="37" t="s">
        <v>349</v>
      </c>
      <c r="AJ90" s="63">
        <f t="shared" si="72"/>
        <v>6.2664411871606829</v>
      </c>
      <c r="AK90" s="408">
        <f t="shared" si="73"/>
        <v>0</v>
      </c>
      <c r="AL90" s="37" t="s">
        <v>411</v>
      </c>
      <c r="AM90" s="37" t="s">
        <v>3</v>
      </c>
      <c r="AN90" s="150">
        <f t="shared" si="74"/>
        <v>1.9221853757639424</v>
      </c>
      <c r="AO90" s="408">
        <f t="shared" si="75"/>
        <v>0</v>
      </c>
      <c r="AP90" s="351">
        <f t="shared" si="76"/>
        <v>0</v>
      </c>
      <c r="AQ90" s="318"/>
      <c r="AR90" s="63">
        <f>Subrates!$C$94</f>
        <v>2.2000000000000002</v>
      </c>
      <c r="AS90" s="318"/>
      <c r="AT90" s="63">
        <f>Subrates!$C$95</f>
        <v>13.200000000000001</v>
      </c>
      <c r="AU90" s="318"/>
      <c r="AV90" s="63">
        <f>Subrates!$C$96</f>
        <v>14.3</v>
      </c>
      <c r="AW90" s="351">
        <f t="shared" si="77"/>
        <v>0</v>
      </c>
      <c r="AX90" s="316"/>
      <c r="AY90" s="406">
        <f>Subrates!$C$106</f>
        <v>21234.52910306484</v>
      </c>
      <c r="AZ90" s="351">
        <f t="shared" si="78"/>
        <v>0</v>
      </c>
      <c r="BA90" s="63">
        <f>Subrates!$C$105</f>
        <v>2885.2856380177936</v>
      </c>
      <c r="BB90" s="1139">
        <f t="shared" si="79"/>
        <v>0</v>
      </c>
      <c r="BC90" s="73"/>
      <c r="BD90" s="318"/>
      <c r="BE90" s="319">
        <f t="shared" si="80"/>
        <v>0</v>
      </c>
      <c r="BF90" s="37" t="s">
        <v>125</v>
      </c>
      <c r="BG90" s="383" t="s">
        <v>348</v>
      </c>
      <c r="BH90" s="63">
        <f t="shared" si="81"/>
        <v>4.8064250364478198</v>
      </c>
      <c r="BI90" s="408">
        <f t="shared" si="82"/>
        <v>0</v>
      </c>
      <c r="BJ90" s="149" t="s">
        <v>2026</v>
      </c>
      <c r="BK90" s="48" t="s">
        <v>485</v>
      </c>
      <c r="BL90" s="63">
        <f>IF(BJ90=Lists!$B$11,0,VLOOKUP(BK90,Long_distance_values_subs,Subrates!$C$5,FALSE))</f>
        <v>0</v>
      </c>
      <c r="BM90" s="63">
        <f>IF(BJ90=Local,0,Subrates!$D$122)</f>
        <v>0</v>
      </c>
      <c r="BN90" s="1140"/>
      <c r="BO90" s="412">
        <f>IF(BN90="",BE90*VLOOKUP(BK90,Long_distance_values_subs,Subrates!$H$5,FALSE)*BL90+BE90*BM90,BE90*BN90)</f>
        <v>0</v>
      </c>
      <c r="BP90" s="351">
        <f t="shared" si="94"/>
        <v>0</v>
      </c>
      <c r="BQ90" s="316"/>
      <c r="BR90" s="195" t="s">
        <v>48</v>
      </c>
      <c r="BS90" s="1096" t="str">
        <f>IF(BR90=Lists!$B$18,"N/A",VLOOKUP(BR90,Lists!$B$18:$D$26,Lists!$C$3,FALSE))</f>
        <v>N/A</v>
      </c>
      <c r="BT90" s="63">
        <f>IF(BR90=Lists!$B$18,0,VLOOKUP(BS90,Amend_TOV,TOV!$F$1,FALSE))</f>
        <v>0</v>
      </c>
      <c r="BU90" s="117"/>
      <c r="BV90" s="316"/>
      <c r="BW90" s="195" t="s">
        <v>48</v>
      </c>
      <c r="BX90" s="1096" t="str">
        <f>IF(BW90=Lists!$B$18,"N/A",VLOOKUP(BW90,Lists!$B$18:$D$26,Lists!$C$3,FALSE))</f>
        <v>N/A</v>
      </c>
      <c r="BY90" s="63">
        <f>IF(BW90=Lists!$B$18,0,VLOOKUP(BX90,Amend_TOV,TOV!$F$1,FALSE))</f>
        <v>0</v>
      </c>
      <c r="BZ90" s="117"/>
      <c r="CA90" s="316"/>
      <c r="CB90" s="195" t="s">
        <v>48</v>
      </c>
      <c r="CC90" s="1096" t="str">
        <f>IF(CB90=Lists!$B$18,"N/A",VLOOKUP(CB90,Lists!$B$18:$D$26,Lists!$C$3,FALSE))</f>
        <v>N/A</v>
      </c>
      <c r="CD90" s="63">
        <f>IF(CB90=Lists!$B$18,0,VLOOKUP(CC90,Amend_TOV,TOV!$F$1,FALSE))</f>
        <v>0</v>
      </c>
      <c r="CE90" s="117"/>
      <c r="CF90" s="351">
        <f t="shared" si="83"/>
        <v>0</v>
      </c>
      <c r="CG90" s="316">
        <f t="shared" si="84"/>
        <v>0</v>
      </c>
      <c r="CH90" s="208">
        <v>1</v>
      </c>
      <c r="CI90" s="208"/>
      <c r="CJ90" s="67">
        <f t="shared" si="85"/>
        <v>0</v>
      </c>
      <c r="CK90" s="16" t="str">
        <f t="shared" si="95"/>
        <v>No Alert</v>
      </c>
      <c r="CL90" s="351">
        <f t="shared" si="86"/>
        <v>0</v>
      </c>
      <c r="CM90" s="351">
        <f t="shared" si="87"/>
        <v>0</v>
      </c>
      <c r="CN90" s="370"/>
      <c r="CO90" s="351">
        <f t="shared" si="88"/>
        <v>0</v>
      </c>
      <c r="CP90" s="159"/>
      <c r="CQ90" s="106">
        <f t="shared" si="89"/>
        <v>0</v>
      </c>
      <c r="CR90" s="1097">
        <f t="shared" si="90"/>
        <v>0</v>
      </c>
      <c r="CS90" s="803">
        <f t="shared" si="91"/>
        <v>0</v>
      </c>
      <c r="CT90" s="215"/>
      <c r="CU90" s="217"/>
      <c r="CV90" s="217"/>
      <c r="CW90" s="217"/>
      <c r="CX90" s="217"/>
      <c r="CY90" s="217"/>
      <c r="CZ90" s="217"/>
      <c r="DA90" s="218"/>
      <c r="EF90" s="1068"/>
      <c r="ET90" s="475"/>
    </row>
    <row r="91" spans="2:150" ht="15">
      <c r="B91" s="310"/>
      <c r="C91" s="989">
        <f t="shared" si="92"/>
        <v>11</v>
      </c>
      <c r="D91" s="168"/>
      <c r="E91" s="316"/>
      <c r="F91" s="316"/>
      <c r="G91" s="77"/>
      <c r="H91" s="316"/>
      <c r="I91" s="77"/>
      <c r="J91" s="316"/>
      <c r="K91" s="37" t="s">
        <v>428</v>
      </c>
      <c r="L91" s="318"/>
      <c r="M91" s="319">
        <f t="shared" si="62"/>
        <v>0</v>
      </c>
      <c r="N91" s="318"/>
      <c r="O91" s="319">
        <f t="shared" si="63"/>
        <v>0</v>
      </c>
      <c r="P91" s="37" t="s">
        <v>411</v>
      </c>
      <c r="Q91" s="37" t="s">
        <v>3</v>
      </c>
      <c r="R91" s="150">
        <f>INDEX(Subrates!$C$56:$I$69,MATCH(P91,Subrates!$B$56:$B$69,0),MATCH(Q91,Subrates!$C$55:$I$55,0))</f>
        <v>1.9221853757639424</v>
      </c>
      <c r="S91" s="156">
        <f t="shared" si="64"/>
        <v>8904.769113128099</v>
      </c>
      <c r="T91" s="351">
        <f t="shared" si="65"/>
        <v>0</v>
      </c>
      <c r="U91" s="351">
        <f t="shared" si="93"/>
        <v>0</v>
      </c>
      <c r="V91" s="73"/>
      <c r="W91" s="318"/>
      <c r="X91" s="324">
        <f t="shared" si="66"/>
        <v>0</v>
      </c>
      <c r="Y91" s="37" t="s">
        <v>125</v>
      </c>
      <c r="Z91" s="37" t="s">
        <v>349</v>
      </c>
      <c r="AA91" s="63">
        <f t="shared" si="67"/>
        <v>6.2664411871606829</v>
      </c>
      <c r="AB91" s="351">
        <f t="shared" si="68"/>
        <v>0</v>
      </c>
      <c r="AC91" s="316">
        <f t="shared" si="69"/>
        <v>0</v>
      </c>
      <c r="AD91" s="136"/>
      <c r="AE91" s="139">
        <f t="shared" si="70"/>
        <v>1</v>
      </c>
      <c r="AF91" s="318"/>
      <c r="AG91" s="319">
        <f t="shared" si="71"/>
        <v>0</v>
      </c>
      <c r="AH91" s="37" t="s">
        <v>125</v>
      </c>
      <c r="AI91" s="37" t="s">
        <v>349</v>
      </c>
      <c r="AJ91" s="63">
        <f t="shared" si="72"/>
        <v>6.2664411871606829</v>
      </c>
      <c r="AK91" s="408">
        <f t="shared" si="73"/>
        <v>0</v>
      </c>
      <c r="AL91" s="37" t="s">
        <v>411</v>
      </c>
      <c r="AM91" s="37" t="s">
        <v>3</v>
      </c>
      <c r="AN91" s="150">
        <f t="shared" si="74"/>
        <v>1.9221853757639424</v>
      </c>
      <c r="AO91" s="408">
        <f t="shared" si="75"/>
        <v>0</v>
      </c>
      <c r="AP91" s="351">
        <f t="shared" si="76"/>
        <v>0</v>
      </c>
      <c r="AQ91" s="318"/>
      <c r="AR91" s="63">
        <f>Subrates!$C$94</f>
        <v>2.2000000000000002</v>
      </c>
      <c r="AS91" s="318"/>
      <c r="AT91" s="63">
        <f>Subrates!$C$95</f>
        <v>13.200000000000001</v>
      </c>
      <c r="AU91" s="318"/>
      <c r="AV91" s="63">
        <f>Subrates!$C$96</f>
        <v>14.3</v>
      </c>
      <c r="AW91" s="351">
        <f t="shared" si="77"/>
        <v>0</v>
      </c>
      <c r="AX91" s="316"/>
      <c r="AY91" s="406">
        <f>Subrates!$C$106</f>
        <v>21234.52910306484</v>
      </c>
      <c r="AZ91" s="351">
        <f t="shared" si="78"/>
        <v>0</v>
      </c>
      <c r="BA91" s="63">
        <f>Subrates!$C$105</f>
        <v>2885.2856380177936</v>
      </c>
      <c r="BB91" s="1139">
        <f t="shared" si="79"/>
        <v>0</v>
      </c>
      <c r="BC91" s="73"/>
      <c r="BD91" s="318"/>
      <c r="BE91" s="319">
        <f t="shared" si="80"/>
        <v>0</v>
      </c>
      <c r="BF91" s="37" t="s">
        <v>125</v>
      </c>
      <c r="BG91" s="383" t="s">
        <v>348</v>
      </c>
      <c r="BH91" s="63">
        <f t="shared" si="81"/>
        <v>4.8064250364478198</v>
      </c>
      <c r="BI91" s="408">
        <f t="shared" si="82"/>
        <v>0</v>
      </c>
      <c r="BJ91" s="149" t="s">
        <v>2026</v>
      </c>
      <c r="BK91" s="48" t="s">
        <v>485</v>
      </c>
      <c r="BL91" s="63">
        <f>IF(BJ91=Lists!$B$11,0,VLOOKUP(BK91,Long_distance_values_subs,Subrates!$C$5,FALSE))</f>
        <v>0</v>
      </c>
      <c r="BM91" s="63">
        <f>IF(BJ91=Local,0,Subrates!$D$122)</f>
        <v>0</v>
      </c>
      <c r="BN91" s="1140"/>
      <c r="BO91" s="412">
        <f>IF(BN91="",BE91*VLOOKUP(BK91,Long_distance_values_subs,Subrates!$H$5,FALSE)*BL91+BE91*BM91,BE91*BN91)</f>
        <v>0</v>
      </c>
      <c r="BP91" s="351">
        <f t="shared" si="94"/>
        <v>0</v>
      </c>
      <c r="BQ91" s="316"/>
      <c r="BR91" s="195" t="s">
        <v>48</v>
      </c>
      <c r="BS91" s="1096" t="str">
        <f>IF(BR91=Lists!$B$18,"N/A",VLOOKUP(BR91,Lists!$B$18:$D$26,Lists!$C$3,FALSE))</f>
        <v>N/A</v>
      </c>
      <c r="BT91" s="63">
        <f>IF(BR91=Lists!$B$18,0,VLOOKUP(BS91,Amend_TOV,TOV!$F$1,FALSE))</f>
        <v>0</v>
      </c>
      <c r="BU91" s="117"/>
      <c r="BV91" s="316"/>
      <c r="BW91" s="195" t="s">
        <v>48</v>
      </c>
      <c r="BX91" s="1096" t="str">
        <f>IF(BW91=Lists!$B$18,"N/A",VLOOKUP(BW91,Lists!$B$18:$D$26,Lists!$C$3,FALSE))</f>
        <v>N/A</v>
      </c>
      <c r="BY91" s="63">
        <f>IF(BW91=Lists!$B$18,0,VLOOKUP(BX91,Amend_TOV,TOV!$F$1,FALSE))</f>
        <v>0</v>
      </c>
      <c r="BZ91" s="117"/>
      <c r="CA91" s="316"/>
      <c r="CB91" s="195" t="s">
        <v>48</v>
      </c>
      <c r="CC91" s="1096" t="str">
        <f>IF(CB91=Lists!$B$18,"N/A",VLOOKUP(CB91,Lists!$B$18:$D$26,Lists!$C$3,FALSE))</f>
        <v>N/A</v>
      </c>
      <c r="CD91" s="63">
        <f>IF(CB91=Lists!$B$18,0,VLOOKUP(CC91,Amend_TOV,TOV!$F$1,FALSE))</f>
        <v>0</v>
      </c>
      <c r="CE91" s="117"/>
      <c r="CF91" s="351">
        <f t="shared" si="83"/>
        <v>0</v>
      </c>
      <c r="CG91" s="316">
        <f t="shared" si="84"/>
        <v>0</v>
      </c>
      <c r="CH91" s="208">
        <v>1</v>
      </c>
      <c r="CI91" s="208"/>
      <c r="CJ91" s="67">
        <f t="shared" si="85"/>
        <v>0</v>
      </c>
      <c r="CK91" s="16" t="str">
        <f t="shared" si="95"/>
        <v>No Alert</v>
      </c>
      <c r="CL91" s="351">
        <f t="shared" si="86"/>
        <v>0</v>
      </c>
      <c r="CM91" s="351">
        <f t="shared" si="87"/>
        <v>0</v>
      </c>
      <c r="CN91" s="370"/>
      <c r="CO91" s="351">
        <f t="shared" si="88"/>
        <v>0</v>
      </c>
      <c r="CP91" s="159"/>
      <c r="CQ91" s="106">
        <f t="shared" si="89"/>
        <v>0</v>
      </c>
      <c r="CR91" s="1097">
        <f t="shared" si="90"/>
        <v>0</v>
      </c>
      <c r="CS91" s="803">
        <f t="shared" si="91"/>
        <v>0</v>
      </c>
      <c r="CT91" s="215"/>
      <c r="CU91" s="217"/>
      <c r="CV91" s="217"/>
      <c r="CW91" s="217"/>
      <c r="CX91" s="217"/>
      <c r="CY91" s="217"/>
      <c r="CZ91" s="217"/>
      <c r="DA91" s="218"/>
      <c r="EF91" s="1068"/>
      <c r="ET91" s="475"/>
    </row>
    <row r="92" spans="2:150" ht="15">
      <c r="B92" s="310"/>
      <c r="C92" s="989">
        <f t="shared" si="92"/>
        <v>12</v>
      </c>
      <c r="D92" s="168"/>
      <c r="E92" s="316"/>
      <c r="F92" s="316"/>
      <c r="G92" s="77"/>
      <c r="H92" s="316"/>
      <c r="I92" s="77"/>
      <c r="J92" s="316"/>
      <c r="K92" s="37" t="s">
        <v>428</v>
      </c>
      <c r="L92" s="318"/>
      <c r="M92" s="319">
        <f t="shared" si="62"/>
        <v>0</v>
      </c>
      <c r="N92" s="318"/>
      <c r="O92" s="319">
        <f t="shared" si="63"/>
        <v>0</v>
      </c>
      <c r="P92" s="37" t="s">
        <v>411</v>
      </c>
      <c r="Q92" s="37" t="s">
        <v>3</v>
      </c>
      <c r="R92" s="150">
        <f>INDEX(Subrates!$C$56:$I$69,MATCH(P92,Subrates!$B$56:$B$69,0),MATCH(Q92,Subrates!$C$55:$I$55,0))</f>
        <v>1.9221853757639424</v>
      </c>
      <c r="S92" s="156">
        <f t="shared" si="64"/>
        <v>8904.769113128099</v>
      </c>
      <c r="T92" s="351">
        <f t="shared" si="65"/>
        <v>0</v>
      </c>
      <c r="U92" s="351">
        <f t="shared" si="93"/>
        <v>0</v>
      </c>
      <c r="V92" s="73"/>
      <c r="W92" s="318"/>
      <c r="X92" s="324">
        <f t="shared" si="66"/>
        <v>0</v>
      </c>
      <c r="Y92" s="37" t="s">
        <v>125</v>
      </c>
      <c r="Z92" s="37" t="s">
        <v>349</v>
      </c>
      <c r="AA92" s="63">
        <f t="shared" si="67"/>
        <v>6.2664411871606829</v>
      </c>
      <c r="AB92" s="351">
        <f t="shared" si="68"/>
        <v>0</v>
      </c>
      <c r="AC92" s="316">
        <f t="shared" si="69"/>
        <v>0</v>
      </c>
      <c r="AD92" s="136"/>
      <c r="AE92" s="139">
        <f t="shared" si="70"/>
        <v>1</v>
      </c>
      <c r="AF92" s="318"/>
      <c r="AG92" s="319">
        <f t="shared" si="71"/>
        <v>0</v>
      </c>
      <c r="AH92" s="37" t="s">
        <v>125</v>
      </c>
      <c r="AI92" s="37" t="s">
        <v>349</v>
      </c>
      <c r="AJ92" s="63">
        <f t="shared" si="72"/>
        <v>6.2664411871606829</v>
      </c>
      <c r="AK92" s="408">
        <f t="shared" si="73"/>
        <v>0</v>
      </c>
      <c r="AL92" s="37" t="s">
        <v>411</v>
      </c>
      <c r="AM92" s="37" t="s">
        <v>3</v>
      </c>
      <c r="AN92" s="150">
        <f t="shared" si="74"/>
        <v>1.9221853757639424</v>
      </c>
      <c r="AO92" s="408">
        <f t="shared" si="75"/>
        <v>0</v>
      </c>
      <c r="AP92" s="351">
        <f t="shared" si="76"/>
        <v>0</v>
      </c>
      <c r="AQ92" s="318"/>
      <c r="AR92" s="63">
        <f>Subrates!$C$94</f>
        <v>2.2000000000000002</v>
      </c>
      <c r="AS92" s="318"/>
      <c r="AT92" s="63">
        <f>Subrates!$C$95</f>
        <v>13.200000000000001</v>
      </c>
      <c r="AU92" s="318"/>
      <c r="AV92" s="63">
        <f>Subrates!$C$96</f>
        <v>14.3</v>
      </c>
      <c r="AW92" s="351">
        <f t="shared" si="77"/>
        <v>0</v>
      </c>
      <c r="AX92" s="316"/>
      <c r="AY92" s="406">
        <f>Subrates!$C$106</f>
        <v>21234.52910306484</v>
      </c>
      <c r="AZ92" s="351">
        <f t="shared" si="78"/>
        <v>0</v>
      </c>
      <c r="BA92" s="63">
        <f>Subrates!$C$105</f>
        <v>2885.2856380177936</v>
      </c>
      <c r="BB92" s="1139">
        <f t="shared" si="79"/>
        <v>0</v>
      </c>
      <c r="BC92" s="73"/>
      <c r="BD92" s="318"/>
      <c r="BE92" s="319">
        <f t="shared" si="80"/>
        <v>0</v>
      </c>
      <c r="BF92" s="37" t="s">
        <v>125</v>
      </c>
      <c r="BG92" s="383" t="s">
        <v>348</v>
      </c>
      <c r="BH92" s="63">
        <f t="shared" si="81"/>
        <v>4.8064250364478198</v>
      </c>
      <c r="BI92" s="408">
        <f t="shared" si="82"/>
        <v>0</v>
      </c>
      <c r="BJ92" s="149" t="s">
        <v>2026</v>
      </c>
      <c r="BK92" s="48" t="s">
        <v>485</v>
      </c>
      <c r="BL92" s="63">
        <f>IF(BJ92=Lists!$B$11,0,VLOOKUP(BK92,Long_distance_values_subs,Subrates!$C$5,FALSE))</f>
        <v>0</v>
      </c>
      <c r="BM92" s="63">
        <f>IF(BJ92=Local,0,Subrates!$D$122)</f>
        <v>0</v>
      </c>
      <c r="BN92" s="1140"/>
      <c r="BO92" s="412">
        <f>IF(BN92="",BE92*VLOOKUP(BK92,Long_distance_values_subs,Subrates!$H$5,FALSE)*BL92+BE92*BM92,BE92*BN92)</f>
        <v>0</v>
      </c>
      <c r="BP92" s="351">
        <f t="shared" si="94"/>
        <v>0</v>
      </c>
      <c r="BQ92" s="316"/>
      <c r="BR92" s="195" t="s">
        <v>48</v>
      </c>
      <c r="BS92" s="1096" t="str">
        <f>IF(BR92=Lists!$B$18,"N/A",VLOOKUP(BR92,Lists!$B$18:$D$26,Lists!$C$3,FALSE))</f>
        <v>N/A</v>
      </c>
      <c r="BT92" s="63">
        <f>IF(BR92=Lists!$B$18,0,VLOOKUP(BS92,Amend_TOV,TOV!$F$1,FALSE))</f>
        <v>0</v>
      </c>
      <c r="BU92" s="117"/>
      <c r="BV92" s="316"/>
      <c r="BW92" s="195" t="s">
        <v>48</v>
      </c>
      <c r="BX92" s="1096" t="str">
        <f>IF(BW92=Lists!$B$18,"N/A",VLOOKUP(BW92,Lists!$B$18:$D$26,Lists!$C$3,FALSE))</f>
        <v>N/A</v>
      </c>
      <c r="BY92" s="63">
        <f>IF(BW92=Lists!$B$18,0,VLOOKUP(BX92,Amend_TOV,TOV!$F$1,FALSE))</f>
        <v>0</v>
      </c>
      <c r="BZ92" s="117"/>
      <c r="CA92" s="316"/>
      <c r="CB92" s="195" t="s">
        <v>48</v>
      </c>
      <c r="CC92" s="1096" t="str">
        <f>IF(CB92=Lists!$B$18,"N/A",VLOOKUP(CB92,Lists!$B$18:$D$26,Lists!$C$3,FALSE))</f>
        <v>N/A</v>
      </c>
      <c r="CD92" s="63">
        <f>IF(CB92=Lists!$B$18,0,VLOOKUP(CC92,Amend_TOV,TOV!$F$1,FALSE))</f>
        <v>0</v>
      </c>
      <c r="CE92" s="117"/>
      <c r="CF92" s="351">
        <f t="shared" si="83"/>
        <v>0</v>
      </c>
      <c r="CG92" s="316">
        <f t="shared" si="84"/>
        <v>0</v>
      </c>
      <c r="CH92" s="208">
        <v>1</v>
      </c>
      <c r="CI92" s="208"/>
      <c r="CJ92" s="67">
        <f t="shared" si="85"/>
        <v>0</v>
      </c>
      <c r="CK92" s="16" t="str">
        <f t="shared" si="95"/>
        <v>No Alert</v>
      </c>
      <c r="CL92" s="351">
        <f t="shared" si="86"/>
        <v>0</v>
      </c>
      <c r="CM92" s="351">
        <f t="shared" si="87"/>
        <v>0</v>
      </c>
      <c r="CN92" s="370"/>
      <c r="CO92" s="351">
        <f t="shared" si="88"/>
        <v>0</v>
      </c>
      <c r="CP92" s="159"/>
      <c r="CQ92" s="106">
        <f t="shared" si="89"/>
        <v>0</v>
      </c>
      <c r="CR92" s="1097">
        <f t="shared" si="90"/>
        <v>0</v>
      </c>
      <c r="CS92" s="803">
        <f t="shared" si="91"/>
        <v>0</v>
      </c>
      <c r="CT92" s="215"/>
      <c r="CU92" s="217"/>
      <c r="CV92" s="217"/>
      <c r="CW92" s="217"/>
      <c r="CX92" s="217"/>
      <c r="CY92" s="217"/>
      <c r="CZ92" s="217"/>
      <c r="DA92" s="218"/>
      <c r="EF92" s="1068"/>
      <c r="ET92" s="475"/>
    </row>
    <row r="93" spans="2:150" ht="15">
      <c r="B93" s="310"/>
      <c r="C93" s="989">
        <f t="shared" si="92"/>
        <v>13</v>
      </c>
      <c r="D93" s="168"/>
      <c r="E93" s="316"/>
      <c r="F93" s="316"/>
      <c r="G93" s="77"/>
      <c r="H93" s="316"/>
      <c r="I93" s="77"/>
      <c r="J93" s="316"/>
      <c r="K93" s="37" t="s">
        <v>428</v>
      </c>
      <c r="L93" s="318"/>
      <c r="M93" s="319">
        <f t="shared" si="62"/>
        <v>0</v>
      </c>
      <c r="N93" s="318"/>
      <c r="O93" s="319">
        <f t="shared" si="63"/>
        <v>0</v>
      </c>
      <c r="P93" s="37" t="s">
        <v>411</v>
      </c>
      <c r="Q93" s="37" t="s">
        <v>3</v>
      </c>
      <c r="R93" s="150">
        <f>INDEX(Subrates!$C$56:$I$69,MATCH(P93,Subrates!$B$56:$B$69,0),MATCH(Q93,Subrates!$C$55:$I$55,0))</f>
        <v>1.9221853757639424</v>
      </c>
      <c r="S93" s="156">
        <f t="shared" si="64"/>
        <v>8904.769113128099</v>
      </c>
      <c r="T93" s="351">
        <f t="shared" si="65"/>
        <v>0</v>
      </c>
      <c r="U93" s="351">
        <f t="shared" si="93"/>
        <v>0</v>
      </c>
      <c r="V93" s="73"/>
      <c r="W93" s="318"/>
      <c r="X93" s="324">
        <f t="shared" si="66"/>
        <v>0</v>
      </c>
      <c r="Y93" s="37" t="s">
        <v>125</v>
      </c>
      <c r="Z93" s="37" t="s">
        <v>349</v>
      </c>
      <c r="AA93" s="63">
        <f t="shared" si="67"/>
        <v>6.2664411871606829</v>
      </c>
      <c r="AB93" s="351">
        <f t="shared" si="68"/>
        <v>0</v>
      </c>
      <c r="AC93" s="316">
        <f t="shared" si="69"/>
        <v>0</v>
      </c>
      <c r="AD93" s="136"/>
      <c r="AE93" s="139">
        <f t="shared" si="70"/>
        <v>1</v>
      </c>
      <c r="AF93" s="318"/>
      <c r="AG93" s="319">
        <f t="shared" si="71"/>
        <v>0</v>
      </c>
      <c r="AH93" s="37" t="s">
        <v>125</v>
      </c>
      <c r="AI93" s="37" t="s">
        <v>349</v>
      </c>
      <c r="AJ93" s="63">
        <f t="shared" si="72"/>
        <v>6.2664411871606829</v>
      </c>
      <c r="AK93" s="408">
        <f t="shared" si="73"/>
        <v>0</v>
      </c>
      <c r="AL93" s="37" t="s">
        <v>411</v>
      </c>
      <c r="AM93" s="37" t="s">
        <v>3</v>
      </c>
      <c r="AN93" s="150">
        <f t="shared" si="74"/>
        <v>1.9221853757639424</v>
      </c>
      <c r="AO93" s="408">
        <f t="shared" si="75"/>
        <v>0</v>
      </c>
      <c r="AP93" s="351">
        <f t="shared" si="76"/>
        <v>0</v>
      </c>
      <c r="AQ93" s="318"/>
      <c r="AR93" s="63">
        <f>Subrates!$C$94</f>
        <v>2.2000000000000002</v>
      </c>
      <c r="AS93" s="318"/>
      <c r="AT93" s="63">
        <f>Subrates!$C$95</f>
        <v>13.200000000000001</v>
      </c>
      <c r="AU93" s="318"/>
      <c r="AV93" s="63">
        <f>Subrates!$C$96</f>
        <v>14.3</v>
      </c>
      <c r="AW93" s="351">
        <f t="shared" si="77"/>
        <v>0</v>
      </c>
      <c r="AX93" s="316"/>
      <c r="AY93" s="406">
        <f>Subrates!$C$106</f>
        <v>21234.52910306484</v>
      </c>
      <c r="AZ93" s="351">
        <f t="shared" si="78"/>
        <v>0</v>
      </c>
      <c r="BA93" s="63">
        <f>Subrates!$C$105</f>
        <v>2885.2856380177936</v>
      </c>
      <c r="BB93" s="1139">
        <f t="shared" si="79"/>
        <v>0</v>
      </c>
      <c r="BC93" s="73"/>
      <c r="BD93" s="318"/>
      <c r="BE93" s="319">
        <f t="shared" si="80"/>
        <v>0</v>
      </c>
      <c r="BF93" s="37" t="s">
        <v>125</v>
      </c>
      <c r="BG93" s="383" t="s">
        <v>348</v>
      </c>
      <c r="BH93" s="63">
        <f t="shared" si="81"/>
        <v>4.8064250364478198</v>
      </c>
      <c r="BI93" s="408">
        <f t="shared" si="82"/>
        <v>0</v>
      </c>
      <c r="BJ93" s="149" t="s">
        <v>2026</v>
      </c>
      <c r="BK93" s="48" t="s">
        <v>485</v>
      </c>
      <c r="BL93" s="63">
        <f>IF(BJ93=Lists!$B$11,0,VLOOKUP(BK93,Long_distance_values_subs,Subrates!$C$5,FALSE))</f>
        <v>0</v>
      </c>
      <c r="BM93" s="63">
        <f>IF(BJ93=Local,0,Subrates!$D$122)</f>
        <v>0</v>
      </c>
      <c r="BN93" s="1140"/>
      <c r="BO93" s="412">
        <f>IF(BN93="",BE93*VLOOKUP(BK93,Long_distance_values_subs,Subrates!$H$5,FALSE)*BL93+BE93*BM93,BE93*BN93)</f>
        <v>0</v>
      </c>
      <c r="BP93" s="351">
        <f t="shared" si="94"/>
        <v>0</v>
      </c>
      <c r="BQ93" s="316"/>
      <c r="BR93" s="195" t="s">
        <v>48</v>
      </c>
      <c r="BS93" s="1096" t="str">
        <f>IF(BR93=Lists!$B$18,"N/A",VLOOKUP(BR93,Lists!$B$18:$D$26,Lists!$C$3,FALSE))</f>
        <v>N/A</v>
      </c>
      <c r="BT93" s="63">
        <f>IF(BR93=Lists!$B$18,0,VLOOKUP(BS93,Amend_TOV,TOV!$F$1,FALSE))</f>
        <v>0</v>
      </c>
      <c r="BU93" s="117"/>
      <c r="BV93" s="316"/>
      <c r="BW93" s="195" t="s">
        <v>48</v>
      </c>
      <c r="BX93" s="1096" t="str">
        <f>IF(BW93=Lists!$B$18,"N/A",VLOOKUP(BW93,Lists!$B$18:$D$26,Lists!$C$3,FALSE))</f>
        <v>N/A</v>
      </c>
      <c r="BY93" s="63">
        <f>IF(BW93=Lists!$B$18,0,VLOOKUP(BX93,Amend_TOV,TOV!$F$1,FALSE))</f>
        <v>0</v>
      </c>
      <c r="BZ93" s="117"/>
      <c r="CA93" s="316"/>
      <c r="CB93" s="195" t="s">
        <v>48</v>
      </c>
      <c r="CC93" s="1096" t="str">
        <f>IF(CB93=Lists!$B$18,"N/A",VLOOKUP(CB93,Lists!$B$18:$D$26,Lists!$C$3,FALSE))</f>
        <v>N/A</v>
      </c>
      <c r="CD93" s="63">
        <f>IF(CB93=Lists!$B$18,0,VLOOKUP(CC93,Amend_TOV,TOV!$F$1,FALSE))</f>
        <v>0</v>
      </c>
      <c r="CE93" s="117"/>
      <c r="CF93" s="351">
        <f t="shared" si="83"/>
        <v>0</v>
      </c>
      <c r="CG93" s="316">
        <f t="shared" si="84"/>
        <v>0</v>
      </c>
      <c r="CH93" s="208">
        <v>1</v>
      </c>
      <c r="CI93" s="208"/>
      <c r="CJ93" s="67">
        <f t="shared" si="85"/>
        <v>0</v>
      </c>
      <c r="CK93" s="16" t="str">
        <f t="shared" si="95"/>
        <v>No Alert</v>
      </c>
      <c r="CL93" s="351">
        <f t="shared" si="86"/>
        <v>0</v>
      </c>
      <c r="CM93" s="351">
        <f t="shared" si="87"/>
        <v>0</v>
      </c>
      <c r="CN93" s="370"/>
      <c r="CO93" s="351">
        <f t="shared" si="88"/>
        <v>0</v>
      </c>
      <c r="CP93" s="159"/>
      <c r="CQ93" s="106">
        <f t="shared" si="89"/>
        <v>0</v>
      </c>
      <c r="CR93" s="1097">
        <f t="shared" si="90"/>
        <v>0</v>
      </c>
      <c r="CS93" s="803">
        <f t="shared" si="91"/>
        <v>0</v>
      </c>
      <c r="CT93" s="215"/>
      <c r="CU93" s="217"/>
      <c r="CV93" s="217"/>
      <c r="CW93" s="217"/>
      <c r="CX93" s="217"/>
      <c r="CY93" s="217"/>
      <c r="CZ93" s="217"/>
      <c r="DA93" s="218"/>
      <c r="EF93" s="1068"/>
      <c r="ET93" s="475"/>
    </row>
    <row r="94" spans="2:150" ht="15">
      <c r="B94" s="310"/>
      <c r="C94" s="989">
        <f t="shared" si="92"/>
        <v>14</v>
      </c>
      <c r="D94" s="168"/>
      <c r="E94" s="316"/>
      <c r="F94" s="316"/>
      <c r="G94" s="77"/>
      <c r="H94" s="316"/>
      <c r="I94" s="77"/>
      <c r="J94" s="316"/>
      <c r="K94" s="37" t="s">
        <v>428</v>
      </c>
      <c r="L94" s="318"/>
      <c r="M94" s="319">
        <f t="shared" si="62"/>
        <v>0</v>
      </c>
      <c r="N94" s="318"/>
      <c r="O94" s="319">
        <f t="shared" si="63"/>
        <v>0</v>
      </c>
      <c r="P94" s="37" t="s">
        <v>411</v>
      </c>
      <c r="Q94" s="37" t="s">
        <v>3</v>
      </c>
      <c r="R94" s="150">
        <f>INDEX(Subrates!$C$56:$I$69,MATCH(P94,Subrates!$B$56:$B$69,0),MATCH(Q94,Subrates!$C$55:$I$55,0))</f>
        <v>1.9221853757639424</v>
      </c>
      <c r="S94" s="156">
        <f t="shared" si="64"/>
        <v>8904.769113128099</v>
      </c>
      <c r="T94" s="351">
        <f t="shared" si="65"/>
        <v>0</v>
      </c>
      <c r="U94" s="351">
        <f t="shared" si="93"/>
        <v>0</v>
      </c>
      <c r="V94" s="73"/>
      <c r="W94" s="318"/>
      <c r="X94" s="324">
        <f t="shared" si="66"/>
        <v>0</v>
      </c>
      <c r="Y94" s="37" t="s">
        <v>125</v>
      </c>
      <c r="Z94" s="37" t="s">
        <v>349</v>
      </c>
      <c r="AA94" s="63">
        <f t="shared" si="67"/>
        <v>6.2664411871606829</v>
      </c>
      <c r="AB94" s="351">
        <f t="shared" si="68"/>
        <v>0</v>
      </c>
      <c r="AC94" s="316">
        <f t="shared" si="69"/>
        <v>0</v>
      </c>
      <c r="AD94" s="136"/>
      <c r="AE94" s="139">
        <f t="shared" si="70"/>
        <v>1</v>
      </c>
      <c r="AF94" s="318"/>
      <c r="AG94" s="319">
        <f t="shared" si="71"/>
        <v>0</v>
      </c>
      <c r="AH94" s="37" t="s">
        <v>125</v>
      </c>
      <c r="AI94" s="37" t="s">
        <v>349</v>
      </c>
      <c r="AJ94" s="63">
        <f t="shared" si="72"/>
        <v>6.2664411871606829</v>
      </c>
      <c r="AK94" s="408">
        <f t="shared" si="73"/>
        <v>0</v>
      </c>
      <c r="AL94" s="37" t="s">
        <v>411</v>
      </c>
      <c r="AM94" s="37" t="s">
        <v>3</v>
      </c>
      <c r="AN94" s="150">
        <f t="shared" si="74"/>
        <v>1.9221853757639424</v>
      </c>
      <c r="AO94" s="408">
        <f t="shared" si="75"/>
        <v>0</v>
      </c>
      <c r="AP94" s="351">
        <f t="shared" si="76"/>
        <v>0</v>
      </c>
      <c r="AQ94" s="318"/>
      <c r="AR94" s="63">
        <f>Subrates!$C$94</f>
        <v>2.2000000000000002</v>
      </c>
      <c r="AS94" s="318"/>
      <c r="AT94" s="63">
        <f>Subrates!$C$95</f>
        <v>13.200000000000001</v>
      </c>
      <c r="AU94" s="318"/>
      <c r="AV94" s="63">
        <f>Subrates!$C$96</f>
        <v>14.3</v>
      </c>
      <c r="AW94" s="351">
        <f t="shared" si="77"/>
        <v>0</v>
      </c>
      <c r="AX94" s="316"/>
      <c r="AY94" s="406">
        <f>Subrates!$C$106</f>
        <v>21234.52910306484</v>
      </c>
      <c r="AZ94" s="351">
        <f t="shared" si="78"/>
        <v>0</v>
      </c>
      <c r="BA94" s="63">
        <f>Subrates!$C$105</f>
        <v>2885.2856380177936</v>
      </c>
      <c r="BB94" s="1139">
        <f t="shared" si="79"/>
        <v>0</v>
      </c>
      <c r="BC94" s="73"/>
      <c r="BD94" s="318"/>
      <c r="BE94" s="319">
        <f t="shared" si="80"/>
        <v>0</v>
      </c>
      <c r="BF94" s="37" t="s">
        <v>125</v>
      </c>
      <c r="BG94" s="383" t="s">
        <v>348</v>
      </c>
      <c r="BH94" s="63">
        <f t="shared" si="81"/>
        <v>4.8064250364478198</v>
      </c>
      <c r="BI94" s="408">
        <f t="shared" si="82"/>
        <v>0</v>
      </c>
      <c r="BJ94" s="149" t="s">
        <v>2026</v>
      </c>
      <c r="BK94" s="48" t="s">
        <v>485</v>
      </c>
      <c r="BL94" s="63">
        <f>IF(BJ94=Lists!$B$11,0,VLOOKUP(BK94,Long_distance_values_subs,Subrates!$C$5,FALSE))</f>
        <v>0</v>
      </c>
      <c r="BM94" s="63">
        <f>IF(BJ94=Local,0,Subrates!$D$122)</f>
        <v>0</v>
      </c>
      <c r="BN94" s="1140"/>
      <c r="BO94" s="412">
        <f>IF(BN94="",BE94*VLOOKUP(BK94,Long_distance_values_subs,Subrates!$H$5,FALSE)*BL94+BE94*BM94,BE94*BN94)</f>
        <v>0</v>
      </c>
      <c r="BP94" s="351">
        <f t="shared" si="94"/>
        <v>0</v>
      </c>
      <c r="BQ94" s="316"/>
      <c r="BR94" s="195" t="s">
        <v>48</v>
      </c>
      <c r="BS94" s="1096" t="str">
        <f>IF(BR94=Lists!$B$18,"N/A",VLOOKUP(BR94,Lists!$B$18:$D$26,Lists!$C$3,FALSE))</f>
        <v>N/A</v>
      </c>
      <c r="BT94" s="63">
        <f>IF(BR94=Lists!$B$18,0,VLOOKUP(BS94,Amend_TOV,TOV!$F$1,FALSE))</f>
        <v>0</v>
      </c>
      <c r="BU94" s="117"/>
      <c r="BV94" s="316"/>
      <c r="BW94" s="195" t="s">
        <v>48</v>
      </c>
      <c r="BX94" s="1096" t="str">
        <f>IF(BW94=Lists!$B$18,"N/A",VLOOKUP(BW94,Lists!$B$18:$D$26,Lists!$C$3,FALSE))</f>
        <v>N/A</v>
      </c>
      <c r="BY94" s="63">
        <f>IF(BW94=Lists!$B$18,0,VLOOKUP(BX94,Amend_TOV,TOV!$F$1,FALSE))</f>
        <v>0</v>
      </c>
      <c r="BZ94" s="117"/>
      <c r="CA94" s="316"/>
      <c r="CB94" s="195" t="s">
        <v>48</v>
      </c>
      <c r="CC94" s="1096" t="str">
        <f>IF(CB94=Lists!$B$18,"N/A",VLOOKUP(CB94,Lists!$B$18:$D$26,Lists!$C$3,FALSE))</f>
        <v>N/A</v>
      </c>
      <c r="CD94" s="63">
        <f>IF(CB94=Lists!$B$18,0,VLOOKUP(CC94,Amend_TOV,TOV!$F$1,FALSE))</f>
        <v>0</v>
      </c>
      <c r="CE94" s="117"/>
      <c r="CF94" s="351">
        <f t="shared" si="83"/>
        <v>0</v>
      </c>
      <c r="CG94" s="316">
        <f t="shared" si="84"/>
        <v>0</v>
      </c>
      <c r="CH94" s="208">
        <v>1</v>
      </c>
      <c r="CI94" s="208"/>
      <c r="CJ94" s="67">
        <f t="shared" si="85"/>
        <v>0</v>
      </c>
      <c r="CK94" s="16" t="str">
        <f t="shared" si="95"/>
        <v>No Alert</v>
      </c>
      <c r="CL94" s="351">
        <f t="shared" si="86"/>
        <v>0</v>
      </c>
      <c r="CM94" s="351">
        <f t="shared" si="87"/>
        <v>0</v>
      </c>
      <c r="CN94" s="370"/>
      <c r="CO94" s="351">
        <f t="shared" si="88"/>
        <v>0</v>
      </c>
      <c r="CP94" s="159"/>
      <c r="CQ94" s="106">
        <f t="shared" si="89"/>
        <v>0</v>
      </c>
      <c r="CR94" s="1097">
        <f t="shared" si="90"/>
        <v>0</v>
      </c>
      <c r="CS94" s="803">
        <f t="shared" si="91"/>
        <v>0</v>
      </c>
      <c r="CT94" s="215"/>
      <c r="CU94" s="217"/>
      <c r="CV94" s="217"/>
      <c r="CW94" s="217"/>
      <c r="CX94" s="217"/>
      <c r="CY94" s="217"/>
      <c r="CZ94" s="217"/>
      <c r="DA94" s="218"/>
      <c r="EF94" s="1068"/>
      <c r="ET94" s="475"/>
    </row>
    <row r="95" spans="2:150" ht="15">
      <c r="B95" s="310"/>
      <c r="C95" s="989">
        <f t="shared" si="92"/>
        <v>15</v>
      </c>
      <c r="D95" s="168"/>
      <c r="E95" s="316"/>
      <c r="F95" s="316"/>
      <c r="G95" s="77"/>
      <c r="H95" s="316"/>
      <c r="I95" s="77"/>
      <c r="J95" s="316"/>
      <c r="K95" s="37" t="s">
        <v>428</v>
      </c>
      <c r="L95" s="318"/>
      <c r="M95" s="319">
        <f t="shared" si="62"/>
        <v>0</v>
      </c>
      <c r="N95" s="318"/>
      <c r="O95" s="319">
        <f t="shared" si="63"/>
        <v>0</v>
      </c>
      <c r="P95" s="37" t="s">
        <v>411</v>
      </c>
      <c r="Q95" s="37" t="s">
        <v>3</v>
      </c>
      <c r="R95" s="150">
        <f>INDEX(Subrates!$C$56:$I$69,MATCH(P95,Subrates!$B$56:$B$69,0),MATCH(Q95,Subrates!$C$55:$I$55,0))</f>
        <v>1.9221853757639424</v>
      </c>
      <c r="S95" s="156">
        <f t="shared" si="64"/>
        <v>8904.769113128099</v>
      </c>
      <c r="T95" s="351">
        <f t="shared" si="65"/>
        <v>0</v>
      </c>
      <c r="U95" s="351">
        <f t="shared" si="93"/>
        <v>0</v>
      </c>
      <c r="V95" s="73"/>
      <c r="W95" s="318"/>
      <c r="X95" s="324">
        <f t="shared" si="66"/>
        <v>0</v>
      </c>
      <c r="Y95" s="37" t="s">
        <v>125</v>
      </c>
      <c r="Z95" s="37" t="s">
        <v>349</v>
      </c>
      <c r="AA95" s="63">
        <f t="shared" si="67"/>
        <v>6.2664411871606829</v>
      </c>
      <c r="AB95" s="351">
        <f t="shared" si="68"/>
        <v>0</v>
      </c>
      <c r="AC95" s="316">
        <f t="shared" si="69"/>
        <v>0</v>
      </c>
      <c r="AD95" s="136"/>
      <c r="AE95" s="139">
        <f t="shared" si="70"/>
        <v>1</v>
      </c>
      <c r="AF95" s="318"/>
      <c r="AG95" s="319">
        <f t="shared" si="71"/>
        <v>0</v>
      </c>
      <c r="AH95" s="37" t="s">
        <v>125</v>
      </c>
      <c r="AI95" s="37" t="s">
        <v>349</v>
      </c>
      <c r="AJ95" s="63">
        <f t="shared" si="72"/>
        <v>6.2664411871606829</v>
      </c>
      <c r="AK95" s="408">
        <f t="shared" si="73"/>
        <v>0</v>
      </c>
      <c r="AL95" s="37" t="s">
        <v>411</v>
      </c>
      <c r="AM95" s="37" t="s">
        <v>3</v>
      </c>
      <c r="AN95" s="150">
        <f t="shared" si="74"/>
        <v>1.9221853757639424</v>
      </c>
      <c r="AO95" s="408">
        <f t="shared" si="75"/>
        <v>0</v>
      </c>
      <c r="AP95" s="351">
        <f t="shared" si="76"/>
        <v>0</v>
      </c>
      <c r="AQ95" s="318"/>
      <c r="AR95" s="63">
        <f>Subrates!$C$94</f>
        <v>2.2000000000000002</v>
      </c>
      <c r="AS95" s="318"/>
      <c r="AT95" s="63">
        <f>Subrates!$C$95</f>
        <v>13.200000000000001</v>
      </c>
      <c r="AU95" s="318"/>
      <c r="AV95" s="63">
        <f>Subrates!$C$96</f>
        <v>14.3</v>
      </c>
      <c r="AW95" s="351">
        <f t="shared" si="77"/>
        <v>0</v>
      </c>
      <c r="AX95" s="316"/>
      <c r="AY95" s="406">
        <f>Subrates!$C$106</f>
        <v>21234.52910306484</v>
      </c>
      <c r="AZ95" s="351">
        <f t="shared" si="78"/>
        <v>0</v>
      </c>
      <c r="BA95" s="63">
        <f>Subrates!$C$105</f>
        <v>2885.2856380177936</v>
      </c>
      <c r="BB95" s="1139">
        <f t="shared" si="79"/>
        <v>0</v>
      </c>
      <c r="BC95" s="73"/>
      <c r="BD95" s="318"/>
      <c r="BE95" s="319">
        <f t="shared" si="80"/>
        <v>0</v>
      </c>
      <c r="BF95" s="37" t="s">
        <v>125</v>
      </c>
      <c r="BG95" s="383" t="s">
        <v>348</v>
      </c>
      <c r="BH95" s="63">
        <f t="shared" si="81"/>
        <v>4.8064250364478198</v>
      </c>
      <c r="BI95" s="408">
        <f t="shared" si="82"/>
        <v>0</v>
      </c>
      <c r="BJ95" s="149" t="s">
        <v>2026</v>
      </c>
      <c r="BK95" s="48" t="s">
        <v>485</v>
      </c>
      <c r="BL95" s="63">
        <f>IF(BJ95=Lists!$B$11,0,VLOOKUP(BK95,Long_distance_values_subs,Subrates!$C$5,FALSE))</f>
        <v>0</v>
      </c>
      <c r="BM95" s="63">
        <f>IF(BJ95=Local,0,Subrates!$D$122)</f>
        <v>0</v>
      </c>
      <c r="BN95" s="1140"/>
      <c r="BO95" s="412">
        <f>IF(BN95="",BE95*VLOOKUP(BK95,Long_distance_values_subs,Subrates!$H$5,FALSE)*BL95+BE95*BM95,BE95*BN95)</f>
        <v>0</v>
      </c>
      <c r="BP95" s="351">
        <f t="shared" si="94"/>
        <v>0</v>
      </c>
      <c r="BQ95" s="316"/>
      <c r="BR95" s="195" t="s">
        <v>48</v>
      </c>
      <c r="BS95" s="1096" t="str">
        <f>IF(BR95=Lists!$B$18,"N/A",VLOOKUP(BR95,Lists!$B$18:$D$26,Lists!$C$3,FALSE))</f>
        <v>N/A</v>
      </c>
      <c r="BT95" s="63">
        <f>IF(BR95=Lists!$B$18,0,VLOOKUP(BS95,Amend_TOV,TOV!$F$1,FALSE))</f>
        <v>0</v>
      </c>
      <c r="BU95" s="117"/>
      <c r="BV95" s="316"/>
      <c r="BW95" s="195" t="s">
        <v>48</v>
      </c>
      <c r="BX95" s="1096" t="str">
        <f>IF(BW95=Lists!$B$18,"N/A",VLOOKUP(BW95,Lists!$B$18:$D$26,Lists!$C$3,FALSE))</f>
        <v>N/A</v>
      </c>
      <c r="BY95" s="63">
        <f>IF(BW95=Lists!$B$18,0,VLOOKUP(BX95,Amend_TOV,TOV!$F$1,FALSE))</f>
        <v>0</v>
      </c>
      <c r="BZ95" s="117"/>
      <c r="CA95" s="316"/>
      <c r="CB95" s="195" t="s">
        <v>48</v>
      </c>
      <c r="CC95" s="1096" t="str">
        <f>IF(CB95=Lists!$B$18,"N/A",VLOOKUP(CB95,Lists!$B$18:$D$26,Lists!$C$3,FALSE))</f>
        <v>N/A</v>
      </c>
      <c r="CD95" s="63">
        <f>IF(CB95=Lists!$B$18,0,VLOOKUP(CC95,Amend_TOV,TOV!$F$1,FALSE))</f>
        <v>0</v>
      </c>
      <c r="CE95" s="117"/>
      <c r="CF95" s="351">
        <f t="shared" si="83"/>
        <v>0</v>
      </c>
      <c r="CG95" s="316">
        <f t="shared" si="84"/>
        <v>0</v>
      </c>
      <c r="CH95" s="208">
        <v>1</v>
      </c>
      <c r="CI95" s="208"/>
      <c r="CJ95" s="67">
        <f t="shared" si="85"/>
        <v>0</v>
      </c>
      <c r="CK95" s="16" t="str">
        <f t="shared" si="95"/>
        <v>No Alert</v>
      </c>
      <c r="CL95" s="351">
        <f t="shared" si="86"/>
        <v>0</v>
      </c>
      <c r="CM95" s="351">
        <f t="shared" si="87"/>
        <v>0</v>
      </c>
      <c r="CN95" s="370"/>
      <c r="CO95" s="351">
        <f t="shared" si="88"/>
        <v>0</v>
      </c>
      <c r="CP95" s="159"/>
      <c r="CQ95" s="106">
        <f t="shared" si="89"/>
        <v>0</v>
      </c>
      <c r="CR95" s="1097">
        <f t="shared" si="90"/>
        <v>0</v>
      </c>
      <c r="CS95" s="803">
        <f t="shared" si="91"/>
        <v>0</v>
      </c>
      <c r="CT95" s="215"/>
      <c r="CU95" s="217"/>
      <c r="CV95" s="217"/>
      <c r="CW95" s="217"/>
      <c r="CX95" s="217"/>
      <c r="CY95" s="217"/>
      <c r="CZ95" s="217"/>
      <c r="DA95" s="218"/>
      <c r="EF95" s="1068"/>
      <c r="ET95" s="475"/>
    </row>
    <row r="96" spans="2:150" ht="15">
      <c r="B96" s="310"/>
      <c r="C96" s="989">
        <f t="shared" si="92"/>
        <v>16</v>
      </c>
      <c r="D96" s="168"/>
      <c r="E96" s="316"/>
      <c r="F96" s="316"/>
      <c r="G96" s="77"/>
      <c r="H96" s="316"/>
      <c r="I96" s="77"/>
      <c r="J96" s="316"/>
      <c r="K96" s="37" t="s">
        <v>428</v>
      </c>
      <c r="L96" s="318"/>
      <c r="M96" s="319">
        <f t="shared" si="62"/>
        <v>0</v>
      </c>
      <c r="N96" s="318"/>
      <c r="O96" s="319">
        <f t="shared" si="63"/>
        <v>0</v>
      </c>
      <c r="P96" s="37" t="s">
        <v>411</v>
      </c>
      <c r="Q96" s="37" t="s">
        <v>3</v>
      </c>
      <c r="R96" s="150">
        <f>INDEX(Subrates!$C$56:$I$69,MATCH(P96,Subrates!$B$56:$B$69,0),MATCH(Q96,Subrates!$C$55:$I$55,0))</f>
        <v>1.9221853757639424</v>
      </c>
      <c r="S96" s="156">
        <f t="shared" si="64"/>
        <v>8904.769113128099</v>
      </c>
      <c r="T96" s="351">
        <f t="shared" si="65"/>
        <v>0</v>
      </c>
      <c r="U96" s="351">
        <f t="shared" si="93"/>
        <v>0</v>
      </c>
      <c r="V96" s="73"/>
      <c r="W96" s="318"/>
      <c r="X96" s="324">
        <f t="shared" si="66"/>
        <v>0</v>
      </c>
      <c r="Y96" s="37" t="s">
        <v>125</v>
      </c>
      <c r="Z96" s="37" t="s">
        <v>349</v>
      </c>
      <c r="AA96" s="63">
        <f t="shared" si="67"/>
        <v>6.2664411871606829</v>
      </c>
      <c r="AB96" s="351">
        <f t="shared" si="68"/>
        <v>0</v>
      </c>
      <c r="AC96" s="316">
        <f t="shared" si="69"/>
        <v>0</v>
      </c>
      <c r="AD96" s="136"/>
      <c r="AE96" s="139">
        <f t="shared" si="70"/>
        <v>1</v>
      </c>
      <c r="AF96" s="318"/>
      <c r="AG96" s="319">
        <f t="shared" si="71"/>
        <v>0</v>
      </c>
      <c r="AH96" s="37" t="s">
        <v>125</v>
      </c>
      <c r="AI96" s="37" t="s">
        <v>349</v>
      </c>
      <c r="AJ96" s="63">
        <f t="shared" si="72"/>
        <v>6.2664411871606829</v>
      </c>
      <c r="AK96" s="408">
        <f t="shared" si="73"/>
        <v>0</v>
      </c>
      <c r="AL96" s="37" t="s">
        <v>411</v>
      </c>
      <c r="AM96" s="37" t="s">
        <v>3</v>
      </c>
      <c r="AN96" s="150">
        <f t="shared" si="74"/>
        <v>1.9221853757639424</v>
      </c>
      <c r="AO96" s="408">
        <f t="shared" si="75"/>
        <v>0</v>
      </c>
      <c r="AP96" s="351">
        <f t="shared" si="76"/>
        <v>0</v>
      </c>
      <c r="AQ96" s="318"/>
      <c r="AR96" s="63">
        <f>Subrates!$C$94</f>
        <v>2.2000000000000002</v>
      </c>
      <c r="AS96" s="318"/>
      <c r="AT96" s="63">
        <f>Subrates!$C$95</f>
        <v>13.200000000000001</v>
      </c>
      <c r="AU96" s="318"/>
      <c r="AV96" s="63">
        <f>Subrates!$C$96</f>
        <v>14.3</v>
      </c>
      <c r="AW96" s="351">
        <f t="shared" si="77"/>
        <v>0</v>
      </c>
      <c r="AX96" s="316"/>
      <c r="AY96" s="406">
        <f>Subrates!$C$106</f>
        <v>21234.52910306484</v>
      </c>
      <c r="AZ96" s="351">
        <f t="shared" si="78"/>
        <v>0</v>
      </c>
      <c r="BA96" s="63">
        <f>Subrates!$C$105</f>
        <v>2885.2856380177936</v>
      </c>
      <c r="BB96" s="1139">
        <f t="shared" si="79"/>
        <v>0</v>
      </c>
      <c r="BC96" s="73"/>
      <c r="BD96" s="318"/>
      <c r="BE96" s="319">
        <f t="shared" si="80"/>
        <v>0</v>
      </c>
      <c r="BF96" s="37" t="s">
        <v>125</v>
      </c>
      <c r="BG96" s="383" t="s">
        <v>348</v>
      </c>
      <c r="BH96" s="63">
        <f t="shared" si="81"/>
        <v>4.8064250364478198</v>
      </c>
      <c r="BI96" s="408">
        <f t="shared" si="82"/>
        <v>0</v>
      </c>
      <c r="BJ96" s="149" t="s">
        <v>2026</v>
      </c>
      <c r="BK96" s="48" t="s">
        <v>485</v>
      </c>
      <c r="BL96" s="63">
        <f>IF(BJ96=Lists!$B$11,0,VLOOKUP(BK96,Long_distance_values_subs,Subrates!$C$5,FALSE))</f>
        <v>0</v>
      </c>
      <c r="BM96" s="63">
        <f>IF(BJ96=Local,0,Subrates!$D$122)</f>
        <v>0</v>
      </c>
      <c r="BN96" s="1140"/>
      <c r="BO96" s="412">
        <f>IF(BN96="",BE96*VLOOKUP(BK96,Long_distance_values_subs,Subrates!$H$5,FALSE)*BL96+BE96*BM96,BE96*BN96)</f>
        <v>0</v>
      </c>
      <c r="BP96" s="351">
        <f t="shared" si="94"/>
        <v>0</v>
      </c>
      <c r="BQ96" s="316"/>
      <c r="BR96" s="195" t="s">
        <v>48</v>
      </c>
      <c r="BS96" s="1096" t="str">
        <f>IF(BR96=Lists!$B$18,"N/A",VLOOKUP(BR96,Lists!$B$18:$D$26,Lists!$C$3,FALSE))</f>
        <v>N/A</v>
      </c>
      <c r="BT96" s="63">
        <f>IF(BR96=Lists!$B$18,0,VLOOKUP(BS96,Amend_TOV,TOV!$F$1,FALSE))</f>
        <v>0</v>
      </c>
      <c r="BU96" s="117"/>
      <c r="BV96" s="316"/>
      <c r="BW96" s="195" t="s">
        <v>48</v>
      </c>
      <c r="BX96" s="1096" t="str">
        <f>IF(BW96=Lists!$B$18,"N/A",VLOOKUP(BW96,Lists!$B$18:$D$26,Lists!$C$3,FALSE))</f>
        <v>N/A</v>
      </c>
      <c r="BY96" s="63">
        <f>IF(BW96=Lists!$B$18,0,VLOOKUP(BX96,Amend_TOV,TOV!$F$1,FALSE))</f>
        <v>0</v>
      </c>
      <c r="BZ96" s="117"/>
      <c r="CA96" s="316"/>
      <c r="CB96" s="195" t="s">
        <v>48</v>
      </c>
      <c r="CC96" s="1096" t="str">
        <f>IF(CB96=Lists!$B$18,"N/A",VLOOKUP(CB96,Lists!$B$18:$D$26,Lists!$C$3,FALSE))</f>
        <v>N/A</v>
      </c>
      <c r="CD96" s="63">
        <f>IF(CB96=Lists!$B$18,0,VLOOKUP(CC96,Amend_TOV,TOV!$F$1,FALSE))</f>
        <v>0</v>
      </c>
      <c r="CE96" s="117"/>
      <c r="CF96" s="351">
        <f t="shared" si="83"/>
        <v>0</v>
      </c>
      <c r="CG96" s="316">
        <f t="shared" si="84"/>
        <v>0</v>
      </c>
      <c r="CH96" s="208">
        <v>1</v>
      </c>
      <c r="CI96" s="208"/>
      <c r="CJ96" s="67">
        <f t="shared" si="85"/>
        <v>0</v>
      </c>
      <c r="CK96" s="16" t="str">
        <f t="shared" si="95"/>
        <v>No Alert</v>
      </c>
      <c r="CL96" s="351">
        <f t="shared" si="86"/>
        <v>0</v>
      </c>
      <c r="CM96" s="351">
        <f t="shared" si="87"/>
        <v>0</v>
      </c>
      <c r="CN96" s="370"/>
      <c r="CO96" s="351">
        <f t="shared" si="88"/>
        <v>0</v>
      </c>
      <c r="CP96" s="159"/>
      <c r="CQ96" s="106">
        <f t="shared" si="89"/>
        <v>0</v>
      </c>
      <c r="CR96" s="1097">
        <f t="shared" si="90"/>
        <v>0</v>
      </c>
      <c r="CS96" s="803">
        <f t="shared" si="91"/>
        <v>0</v>
      </c>
      <c r="CT96" s="215"/>
      <c r="CU96" s="217"/>
      <c r="CV96" s="217"/>
      <c r="CW96" s="217"/>
      <c r="CX96" s="217"/>
      <c r="CY96" s="217"/>
      <c r="CZ96" s="217"/>
      <c r="DA96" s="218"/>
      <c r="EF96" s="1068"/>
      <c r="ET96" s="475"/>
    </row>
    <row r="97" spans="2:150" ht="15">
      <c r="B97" s="310"/>
      <c r="C97" s="989">
        <f t="shared" si="92"/>
        <v>17</v>
      </c>
      <c r="D97" s="168"/>
      <c r="E97" s="316"/>
      <c r="F97" s="316"/>
      <c r="G97" s="77"/>
      <c r="H97" s="316"/>
      <c r="I97" s="77"/>
      <c r="J97" s="316"/>
      <c r="K97" s="37" t="s">
        <v>428</v>
      </c>
      <c r="L97" s="318"/>
      <c r="M97" s="319">
        <f t="shared" si="62"/>
        <v>0</v>
      </c>
      <c r="N97" s="318"/>
      <c r="O97" s="319">
        <f t="shared" si="63"/>
        <v>0</v>
      </c>
      <c r="P97" s="37" t="s">
        <v>411</v>
      </c>
      <c r="Q97" s="37" t="s">
        <v>3</v>
      </c>
      <c r="R97" s="150">
        <f>INDEX(Subrates!$C$56:$I$69,MATCH(P97,Subrates!$B$56:$B$69,0),MATCH(Q97,Subrates!$C$55:$I$55,0))</f>
        <v>1.9221853757639424</v>
      </c>
      <c r="S97" s="156">
        <f t="shared" si="64"/>
        <v>8904.769113128099</v>
      </c>
      <c r="T97" s="351">
        <f t="shared" si="65"/>
        <v>0</v>
      </c>
      <c r="U97" s="351">
        <f t="shared" si="93"/>
        <v>0</v>
      </c>
      <c r="V97" s="73"/>
      <c r="W97" s="318"/>
      <c r="X97" s="324">
        <f t="shared" si="66"/>
        <v>0</v>
      </c>
      <c r="Y97" s="37" t="s">
        <v>125</v>
      </c>
      <c r="Z97" s="37" t="s">
        <v>349</v>
      </c>
      <c r="AA97" s="63">
        <f t="shared" si="67"/>
        <v>6.2664411871606829</v>
      </c>
      <c r="AB97" s="351">
        <f t="shared" si="68"/>
        <v>0</v>
      </c>
      <c r="AC97" s="316">
        <f t="shared" si="69"/>
        <v>0</v>
      </c>
      <c r="AD97" s="136"/>
      <c r="AE97" s="139">
        <f t="shared" si="70"/>
        <v>1</v>
      </c>
      <c r="AF97" s="318"/>
      <c r="AG97" s="319">
        <f t="shared" si="71"/>
        <v>0</v>
      </c>
      <c r="AH97" s="37" t="s">
        <v>125</v>
      </c>
      <c r="AI97" s="37" t="s">
        <v>349</v>
      </c>
      <c r="AJ97" s="63">
        <f t="shared" si="72"/>
        <v>6.2664411871606829</v>
      </c>
      <c r="AK97" s="408">
        <f t="shared" si="73"/>
        <v>0</v>
      </c>
      <c r="AL97" s="37" t="s">
        <v>411</v>
      </c>
      <c r="AM97" s="37" t="s">
        <v>3</v>
      </c>
      <c r="AN97" s="150">
        <f t="shared" si="74"/>
        <v>1.9221853757639424</v>
      </c>
      <c r="AO97" s="408">
        <f t="shared" si="75"/>
        <v>0</v>
      </c>
      <c r="AP97" s="351">
        <f t="shared" si="76"/>
        <v>0</v>
      </c>
      <c r="AQ97" s="318"/>
      <c r="AR97" s="63">
        <f>Subrates!$C$94</f>
        <v>2.2000000000000002</v>
      </c>
      <c r="AS97" s="318"/>
      <c r="AT97" s="63">
        <f>Subrates!$C$95</f>
        <v>13.200000000000001</v>
      </c>
      <c r="AU97" s="318"/>
      <c r="AV97" s="63">
        <f>Subrates!$C$96</f>
        <v>14.3</v>
      </c>
      <c r="AW97" s="351">
        <f t="shared" si="77"/>
        <v>0</v>
      </c>
      <c r="AX97" s="316"/>
      <c r="AY97" s="63">
        <f>Subrates!$C$106</f>
        <v>21234.52910306484</v>
      </c>
      <c r="AZ97" s="351">
        <f t="shared" si="78"/>
        <v>0</v>
      </c>
      <c r="BA97" s="63">
        <f>Subrates!$C$105</f>
        <v>2885.2856380177936</v>
      </c>
      <c r="BB97" s="1139">
        <f t="shared" si="79"/>
        <v>0</v>
      </c>
      <c r="BC97" s="73"/>
      <c r="BD97" s="318"/>
      <c r="BE97" s="319">
        <f t="shared" si="80"/>
        <v>0</v>
      </c>
      <c r="BF97" s="37" t="s">
        <v>125</v>
      </c>
      <c r="BG97" s="383" t="s">
        <v>348</v>
      </c>
      <c r="BH97" s="63">
        <f t="shared" si="81"/>
        <v>4.8064250364478198</v>
      </c>
      <c r="BI97" s="408">
        <f t="shared" si="82"/>
        <v>0</v>
      </c>
      <c r="BJ97" s="149" t="s">
        <v>2026</v>
      </c>
      <c r="BK97" s="48" t="s">
        <v>485</v>
      </c>
      <c r="BL97" s="63">
        <f>IF(BJ97=Lists!$B$11,0,VLOOKUP(BK97,Long_distance_values_subs,Subrates!$C$5,FALSE))</f>
        <v>0</v>
      </c>
      <c r="BM97" s="63">
        <f>IF(BJ97=Local,0,Subrates!$D$122)</f>
        <v>0</v>
      </c>
      <c r="BN97" s="1140"/>
      <c r="BO97" s="412">
        <f>IF(BN97="",BE97*VLOOKUP(BK97,Long_distance_values_subs,Subrates!$H$5,FALSE)*BL97+BE97*BM97,BE97*BN97)</f>
        <v>0</v>
      </c>
      <c r="BP97" s="351">
        <f t="shared" si="94"/>
        <v>0</v>
      </c>
      <c r="BQ97" s="316"/>
      <c r="BR97" s="195" t="s">
        <v>48</v>
      </c>
      <c r="BS97" s="1096" t="str">
        <f>IF(BR97=Lists!$B$18,"N/A",VLOOKUP(BR97,Lists!$B$18:$D$26,Lists!$C$3,FALSE))</f>
        <v>N/A</v>
      </c>
      <c r="BT97" s="63">
        <f>IF(BR97=Lists!$B$18,0,VLOOKUP(BS97,Amend_TOV,TOV!$F$1,FALSE))</f>
        <v>0</v>
      </c>
      <c r="BU97" s="117"/>
      <c r="BV97" s="316"/>
      <c r="BW97" s="195" t="s">
        <v>48</v>
      </c>
      <c r="BX97" s="1096" t="str">
        <f>IF(BW97=Lists!$B$18,"N/A",VLOOKUP(BW97,Lists!$B$18:$D$26,Lists!$C$3,FALSE))</f>
        <v>N/A</v>
      </c>
      <c r="BY97" s="63">
        <f>IF(BW97=Lists!$B$18,0,VLOOKUP(BX97,Amend_TOV,TOV!$F$1,FALSE))</f>
        <v>0</v>
      </c>
      <c r="BZ97" s="117"/>
      <c r="CA97" s="316"/>
      <c r="CB97" s="195" t="s">
        <v>48</v>
      </c>
      <c r="CC97" s="1096" t="str">
        <f>IF(CB97=Lists!$B$18,"N/A",VLOOKUP(CB97,Lists!$B$18:$D$26,Lists!$C$3,FALSE))</f>
        <v>N/A</v>
      </c>
      <c r="CD97" s="63">
        <f>IF(CB97=Lists!$B$18,0,VLOOKUP(CC97,Amend_TOV,TOV!$F$1,FALSE))</f>
        <v>0</v>
      </c>
      <c r="CE97" s="117"/>
      <c r="CF97" s="351">
        <f t="shared" si="83"/>
        <v>0</v>
      </c>
      <c r="CG97" s="316">
        <f t="shared" si="84"/>
        <v>0</v>
      </c>
      <c r="CH97" s="208">
        <v>1</v>
      </c>
      <c r="CI97" s="208"/>
      <c r="CJ97" s="67">
        <f t="shared" si="85"/>
        <v>0</v>
      </c>
      <c r="CK97" s="16" t="str">
        <f t="shared" si="95"/>
        <v>No Alert</v>
      </c>
      <c r="CL97" s="351">
        <f t="shared" si="86"/>
        <v>0</v>
      </c>
      <c r="CM97" s="351">
        <f t="shared" si="87"/>
        <v>0</v>
      </c>
      <c r="CN97" s="370"/>
      <c r="CO97" s="351">
        <f t="shared" si="88"/>
        <v>0</v>
      </c>
      <c r="CP97" s="159"/>
      <c r="CQ97" s="106">
        <f t="shared" si="89"/>
        <v>0</v>
      </c>
      <c r="CR97" s="1097">
        <f t="shared" si="90"/>
        <v>0</v>
      </c>
      <c r="CS97" s="803">
        <f t="shared" si="91"/>
        <v>0</v>
      </c>
      <c r="CT97" s="215"/>
      <c r="CU97" s="217"/>
      <c r="CV97" s="217"/>
      <c r="CW97" s="217"/>
      <c r="CX97" s="217"/>
      <c r="CY97" s="217"/>
      <c r="CZ97" s="217"/>
      <c r="DA97" s="218"/>
      <c r="EF97" s="1068"/>
      <c r="ET97" s="475"/>
    </row>
    <row r="98" spans="2:150" ht="12.75">
      <c r="B98" s="582"/>
      <c r="C98" s="582"/>
      <c r="D98" s="736"/>
      <c r="E98" s="868"/>
      <c r="F98" s="868"/>
      <c r="G98" s="898"/>
      <c r="H98" s="868"/>
      <c r="I98" s="898"/>
      <c r="J98" s="868"/>
      <c r="K98" s="736"/>
      <c r="L98" s="323"/>
      <c r="M98" s="323"/>
      <c r="N98" s="323"/>
      <c r="O98" s="323"/>
      <c r="P98" s="1098"/>
      <c r="Q98" s="520"/>
      <c r="R98" s="520"/>
      <c r="S98" s="520"/>
      <c r="T98" s="520"/>
      <c r="U98" s="23"/>
      <c r="V98" s="131"/>
      <c r="W98" s="323"/>
      <c r="X98" s="323"/>
      <c r="Y98" s="520"/>
      <c r="Z98" s="520"/>
      <c r="AA98" s="768"/>
      <c r="AB98" s="54"/>
      <c r="AC98" s="323"/>
      <c r="AD98" s="131"/>
      <c r="AE98" s="131"/>
      <c r="AF98" s="323"/>
      <c r="AG98" s="323"/>
      <c r="AH98" s="736"/>
      <c r="AI98" s="736"/>
      <c r="AJ98" s="520"/>
      <c r="AK98" s="54"/>
      <c r="AL98" s="23"/>
      <c r="AM98" s="520"/>
      <c r="AN98" s="520"/>
      <c r="AO98" s="54"/>
      <c r="AP98" s="54"/>
      <c r="AQ98" s="868"/>
      <c r="AR98" s="520"/>
      <c r="AS98" s="868"/>
      <c r="AT98" s="520"/>
      <c r="AU98" s="868"/>
      <c r="AV98" s="520"/>
      <c r="AW98" s="54"/>
      <c r="AX98" s="870"/>
      <c r="AY98" s="872"/>
      <c r="AZ98" s="1099"/>
      <c r="BA98" s="872"/>
      <c r="BB98" s="54"/>
      <c r="BC98" s="131"/>
      <c r="BD98" s="323"/>
      <c r="BE98" s="323"/>
      <c r="BF98" s="520"/>
      <c r="BG98" s="495"/>
      <c r="BH98" s="520"/>
      <c r="BI98" s="54"/>
      <c r="BJ98" s="520"/>
      <c r="BK98" s="520"/>
      <c r="BL98" s="520"/>
      <c r="BM98" s="520"/>
      <c r="BN98" s="520"/>
      <c r="BO98" s="872"/>
      <c r="BP98" s="1099"/>
      <c r="BQ98" s="323"/>
      <c r="BR98" s="1098"/>
      <c r="BS98" s="1098"/>
      <c r="BT98" s="520"/>
      <c r="BU98" s="520"/>
      <c r="BV98" s="870"/>
      <c r="BW98" s="1098"/>
      <c r="BX98" s="1098"/>
      <c r="BY98" s="520"/>
      <c r="BZ98" s="520"/>
      <c r="CA98" s="870"/>
      <c r="CB98" s="1098"/>
      <c r="CC98" s="1098"/>
      <c r="CD98" s="520"/>
      <c r="CE98" s="520"/>
      <c r="CF98" s="1099"/>
      <c r="CG98" s="323"/>
      <c r="CH98" s="520"/>
      <c r="CI98" s="520"/>
      <c r="CJ98" s="520"/>
      <c r="CK98" s="520"/>
      <c r="CL98" s="54"/>
      <c r="CM98" s="54"/>
      <c r="CN98" s="1099"/>
      <c r="CO98" s="872"/>
      <c r="CP98" s="1099"/>
      <c r="CQ98" s="109"/>
      <c r="CR98" s="872"/>
      <c r="CS98" s="872"/>
      <c r="CT98" s="520"/>
      <c r="CU98" s="520"/>
      <c r="CV98" s="520"/>
      <c r="CW98" s="520"/>
      <c r="CX98" s="520"/>
      <c r="CY98" s="520"/>
      <c r="CZ98" s="520"/>
      <c r="DA98" s="520"/>
      <c r="DB98" s="520"/>
      <c r="DC98" s="520"/>
      <c r="DD98" s="520"/>
      <c r="DE98" s="520"/>
      <c r="DF98" s="520"/>
      <c r="DG98" s="520"/>
      <c r="DH98" s="520"/>
      <c r="DI98" s="520"/>
      <c r="DJ98" s="520"/>
      <c r="EF98" s="1068"/>
      <c r="ET98" s="475"/>
    </row>
    <row r="99" spans="2:150" ht="15">
      <c r="B99" s="520"/>
      <c r="C99" s="520"/>
      <c r="D99" s="520"/>
      <c r="E99" s="372">
        <f>SUM(E80:E97)</f>
        <v>0</v>
      </c>
      <c r="F99" s="372">
        <f>SUM(F80:F97)</f>
        <v>0</v>
      </c>
      <c r="G99" s="1100"/>
      <c r="H99" s="372">
        <f>SUM(H80:H97)</f>
        <v>0</v>
      </c>
      <c r="I99" s="898"/>
      <c r="J99" s="372">
        <f>SUM(J80:J97)</f>
        <v>0</v>
      </c>
      <c r="K99" s="899"/>
      <c r="L99" s="372">
        <f>SUM(L80:L97)</f>
        <v>0</v>
      </c>
      <c r="M99" s="372">
        <f>SUM(M80:M97)</f>
        <v>0</v>
      </c>
      <c r="N99" s="372">
        <f>SUM(N80:N97)</f>
        <v>0</v>
      </c>
      <c r="O99" s="372">
        <f>SUM(O80:O97)</f>
        <v>0</v>
      </c>
      <c r="P99" s="899"/>
      <c r="Q99" s="520"/>
      <c r="R99" s="520"/>
      <c r="S99" s="520"/>
      <c r="T99" s="351">
        <f>SUM(T80:T98)</f>
        <v>0</v>
      </c>
      <c r="U99" s="351">
        <f>SUM(U80:U98)</f>
        <v>0</v>
      </c>
      <c r="V99" s="1100"/>
      <c r="W99" s="372">
        <f>SUM(W80:W97)</f>
        <v>0</v>
      </c>
      <c r="X99" s="372">
        <f>SUM(X80:X97)</f>
        <v>0</v>
      </c>
      <c r="Y99" s="520"/>
      <c r="Z99" s="520"/>
      <c r="AA99" s="768"/>
      <c r="AB99" s="351">
        <f>SUM(AB80:AB98)</f>
        <v>0</v>
      </c>
      <c r="AC99" s="372">
        <f>SUM(AC80:AC97)</f>
        <v>0</v>
      </c>
      <c r="AD99" s="898"/>
      <c r="AE99" s="898"/>
      <c r="AF99" s="372">
        <f t="shared" ref="AF99:AG99" si="96">SUM(AF80:AF97)</f>
        <v>0</v>
      </c>
      <c r="AG99" s="372">
        <f t="shared" si="96"/>
        <v>0</v>
      </c>
      <c r="AH99" s="520"/>
      <c r="AI99" s="520"/>
      <c r="AJ99" s="520"/>
      <c r="AK99" s="351">
        <f>SUM(AK80:AK98)</f>
        <v>0</v>
      </c>
      <c r="AL99" s="520"/>
      <c r="AM99" s="520"/>
      <c r="AN99" s="520"/>
      <c r="AO99" s="351">
        <f>SUM(AO80:AO98)</f>
        <v>0</v>
      </c>
      <c r="AP99" s="351">
        <f>SUM(AP80:AP98)</f>
        <v>0</v>
      </c>
      <c r="AQ99" s="372">
        <f>SUM(AQ80:AQ97)</f>
        <v>0</v>
      </c>
      <c r="AR99" s="520"/>
      <c r="AS99" s="372">
        <f>SUM(AS80:AS97)</f>
        <v>0</v>
      </c>
      <c r="AT99" s="520"/>
      <c r="AU99" s="372">
        <f>SUM(AU80:AU97)</f>
        <v>0</v>
      </c>
      <c r="AV99" s="520"/>
      <c r="AW99" s="351">
        <f>SUM(AW80:AW98)</f>
        <v>0</v>
      </c>
      <c r="AX99" s="372">
        <f>SUM(AX80:AX97)</f>
        <v>0</v>
      </c>
      <c r="AY99" s="872"/>
      <c r="AZ99" s="351">
        <f>SUM(AZ80:AZ98)</f>
        <v>0</v>
      </c>
      <c r="BA99" s="872"/>
      <c r="BB99" s="351">
        <f t="shared" ref="BB99" si="97">SUM(BB80:BB98)</f>
        <v>0</v>
      </c>
      <c r="BC99" s="898"/>
      <c r="BD99" s="868"/>
      <c r="BE99" s="372">
        <f>SUM(BE80:BE98)</f>
        <v>0</v>
      </c>
      <c r="BF99" s="520"/>
      <c r="BG99" s="520"/>
      <c r="BH99" s="520"/>
      <c r="BI99" s="227">
        <f>SUM(BI80:BI98)</f>
        <v>0</v>
      </c>
      <c r="BJ99" s="520"/>
      <c r="BK99" s="520"/>
      <c r="BL99" s="520"/>
      <c r="BM99" s="520"/>
      <c r="BN99" s="520"/>
      <c r="BO99" s="351">
        <f>SUM(BO80:BO98)</f>
        <v>0</v>
      </c>
      <c r="BP99" s="351">
        <f>SUM(BP80:BP98)</f>
        <v>0</v>
      </c>
      <c r="BQ99" s="372">
        <f>SUM(BQ80:BQ98)</f>
        <v>0</v>
      </c>
      <c r="BR99" s="1101"/>
      <c r="BS99" s="1101"/>
      <c r="BT99" s="520"/>
      <c r="BU99" s="520"/>
      <c r="BV99" s="372">
        <f>SUM(BV80:BV98)</f>
        <v>0</v>
      </c>
      <c r="BW99" s="1101"/>
      <c r="BX99" s="1101"/>
      <c r="BY99" s="520"/>
      <c r="BZ99" s="520"/>
      <c r="CA99" s="329">
        <f>SUM(CA80:CA98)</f>
        <v>0</v>
      </c>
      <c r="CB99" s="1101"/>
      <c r="CC99" s="1101"/>
      <c r="CD99" s="520"/>
      <c r="CE99" s="520"/>
      <c r="CF99" s="351">
        <f>SUM(CF80:CF98)</f>
        <v>0</v>
      </c>
      <c r="CG99" s="329">
        <f>SUM(CG80:CG98)</f>
        <v>0</v>
      </c>
      <c r="CH99" s="520"/>
      <c r="CI99" s="520"/>
      <c r="CJ99" s="520"/>
      <c r="CK99" s="520"/>
      <c r="CL99" s="351">
        <f>SUM(CL80:CL98)</f>
        <v>0</v>
      </c>
      <c r="CM99" s="351">
        <f>SUM(CM80:CM98)</f>
        <v>0</v>
      </c>
      <c r="CN99" s="872"/>
      <c r="CO99" s="351">
        <f t="shared" ref="CO99:CQ99" si="98">SUM(CO80:CO98)</f>
        <v>0</v>
      </c>
      <c r="CP99" s="227">
        <f t="shared" si="98"/>
        <v>0</v>
      </c>
      <c r="CQ99" s="264">
        <f t="shared" si="98"/>
        <v>0</v>
      </c>
      <c r="CR99" s="404">
        <f>IF(E99=0,0,CQ99/E99)</f>
        <v>0</v>
      </c>
      <c r="CS99" s="872"/>
      <c r="EF99" s="1068"/>
      <c r="ET99" s="475"/>
    </row>
    <row r="100" spans="2:150" ht="12.75">
      <c r="B100" s="1073"/>
      <c r="C100" s="1073"/>
      <c r="D100" s="1073"/>
      <c r="E100" s="1073"/>
      <c r="F100" s="1073"/>
      <c r="G100" s="1073"/>
      <c r="H100" s="1073"/>
      <c r="I100" s="1073"/>
      <c r="J100" s="1073"/>
      <c r="K100" s="1073"/>
      <c r="L100" s="1073"/>
      <c r="M100" s="1073"/>
      <c r="N100" s="1073"/>
      <c r="O100" s="1073"/>
      <c r="P100" s="1073"/>
      <c r="Q100" s="1073"/>
      <c r="R100" s="1073"/>
      <c r="S100" s="1073"/>
      <c r="T100" s="1073"/>
      <c r="U100" s="1073"/>
      <c r="V100" s="1074"/>
      <c r="W100" s="1074"/>
      <c r="X100" s="1073"/>
      <c r="Y100" s="1073"/>
      <c r="Z100" s="1073"/>
      <c r="AA100" s="1073"/>
      <c r="AB100" s="1074"/>
      <c r="AC100" s="1074"/>
      <c r="AD100" s="1074"/>
      <c r="AE100" s="1074"/>
      <c r="AF100" s="1118"/>
      <c r="AG100" s="1118"/>
      <c r="AH100" s="1073"/>
      <c r="AI100" s="1073"/>
      <c r="AJ100" s="1073"/>
      <c r="AK100" s="1073"/>
      <c r="AL100" s="1073"/>
      <c r="AM100" s="1073"/>
      <c r="AN100" s="1073"/>
      <c r="AO100" s="1073"/>
      <c r="AP100" s="1073"/>
      <c r="AQ100" s="1118"/>
      <c r="AR100" s="1074"/>
      <c r="AS100" s="1074"/>
      <c r="AT100" s="1073"/>
      <c r="AU100" s="1119"/>
      <c r="AV100" s="1073"/>
      <c r="AW100" s="1073"/>
      <c r="AX100" s="1074"/>
      <c r="AY100" s="1073"/>
      <c r="AZ100" s="1073"/>
      <c r="BA100" s="1073"/>
      <c r="BB100" s="1073"/>
      <c r="BC100" s="1073"/>
      <c r="BD100" s="1074"/>
      <c r="BE100" s="1074"/>
      <c r="BF100" s="1074"/>
      <c r="BG100" s="1073"/>
      <c r="BH100" s="1073"/>
      <c r="BI100" s="1073"/>
      <c r="BJ100" s="1073"/>
      <c r="BK100" s="1073"/>
      <c r="BL100" s="1073"/>
      <c r="BM100" s="1073"/>
      <c r="BN100" s="1073"/>
      <c r="BO100" s="1073"/>
      <c r="BP100" s="1073"/>
      <c r="BQ100" s="1073"/>
      <c r="BR100" s="1073"/>
      <c r="BS100" s="1073"/>
      <c r="BT100" s="1073"/>
      <c r="BU100" s="1073"/>
      <c r="BV100" s="1120"/>
      <c r="BW100" s="1073"/>
      <c r="BX100" s="1073"/>
      <c r="BY100" s="1073"/>
      <c r="BZ100" s="1073"/>
      <c r="CA100" s="1073"/>
      <c r="CB100" s="1073"/>
      <c r="CC100" s="1073"/>
      <c r="CD100" s="1073"/>
      <c r="CE100" s="1073"/>
      <c r="CF100" s="1073"/>
      <c r="CG100" s="1121"/>
      <c r="CH100" s="1073"/>
      <c r="CI100" s="1073"/>
      <c r="CJ100" s="1073"/>
      <c r="CK100" s="1073"/>
      <c r="CL100" s="1074"/>
      <c r="CM100" s="1073"/>
      <c r="CN100" s="1073"/>
      <c r="CO100" s="1073"/>
      <c r="CP100" s="1073"/>
      <c r="CQ100" s="1073"/>
      <c r="CR100" s="1122"/>
      <c r="CS100" s="1105"/>
      <c r="EG100" s="1068"/>
      <c r="ET100" s="475"/>
    </row>
    <row r="101" spans="2:150" ht="12.75">
      <c r="E101" s="475"/>
      <c r="F101" s="475"/>
      <c r="G101" s="475"/>
      <c r="H101" s="475"/>
      <c r="I101" s="475"/>
      <c r="J101" s="475"/>
      <c r="K101" s="475"/>
      <c r="L101" s="475"/>
      <c r="M101" s="475"/>
      <c r="N101" s="475"/>
      <c r="O101" s="475"/>
      <c r="P101" s="475"/>
      <c r="Q101" s="475"/>
      <c r="R101" s="475"/>
      <c r="S101" s="475"/>
      <c r="T101" s="475"/>
      <c r="U101" s="475"/>
      <c r="X101" s="475"/>
      <c r="Y101" s="475"/>
      <c r="Z101" s="475"/>
      <c r="AA101" s="475"/>
      <c r="AF101" s="795"/>
      <c r="AG101" s="795"/>
      <c r="AH101" s="475"/>
      <c r="AI101" s="475"/>
      <c r="AJ101" s="475"/>
      <c r="AK101" s="475"/>
      <c r="AL101" s="475"/>
      <c r="AM101" s="475"/>
      <c r="AN101" s="475"/>
      <c r="AO101" s="475"/>
      <c r="AP101" s="475"/>
      <c r="AQ101" s="795"/>
      <c r="AT101" s="475"/>
      <c r="AU101" s="434"/>
      <c r="AV101" s="475"/>
      <c r="AW101" s="475"/>
      <c r="AY101" s="475"/>
      <c r="AZ101" s="475"/>
      <c r="BA101" s="475"/>
      <c r="BB101" s="475"/>
      <c r="BC101" s="475"/>
      <c r="BE101" s="474"/>
      <c r="BH101" s="475"/>
      <c r="BV101" s="1123"/>
      <c r="CG101" s="1068"/>
      <c r="CL101" s="474"/>
      <c r="EG101" s="1068"/>
      <c r="ET101" s="475"/>
    </row>
    <row r="102" spans="2:150" ht="12.75">
      <c r="E102" s="475"/>
      <c r="F102" s="475"/>
      <c r="G102" s="475"/>
      <c r="H102" s="475"/>
      <c r="I102" s="475"/>
      <c r="J102" s="475"/>
      <c r="K102" s="475"/>
      <c r="L102" s="475"/>
      <c r="M102" s="475"/>
      <c r="N102" s="475"/>
      <c r="O102" s="475"/>
      <c r="P102" s="475"/>
      <c r="Q102" s="475"/>
      <c r="R102" s="475"/>
      <c r="V102" s="475"/>
      <c r="W102" s="434"/>
      <c r="X102" s="475"/>
      <c r="Y102" s="475"/>
      <c r="AD102" s="475"/>
      <c r="AE102" s="475"/>
      <c r="AF102" s="475"/>
      <c r="AG102" s="475"/>
      <c r="AH102" s="475"/>
      <c r="AI102" s="475"/>
      <c r="AL102" s="475"/>
      <c r="AM102" s="475"/>
      <c r="AN102" s="475"/>
      <c r="AO102" s="475"/>
      <c r="AU102" s="1075" t="str">
        <f>IF(OR(AU105="",AU105=0),"No Alert","Enter justification")</f>
        <v>No Alert</v>
      </c>
      <c r="AV102" s="1075" t="str">
        <f>IF(OR(AV105="",AV105=0),"No Alert","Enter justification")</f>
        <v>No Alert</v>
      </c>
      <c r="AW102" s="475"/>
      <c r="AX102" s="475"/>
      <c r="AY102" s="475"/>
      <c r="AZ102" s="475"/>
      <c r="BA102" s="475"/>
      <c r="BB102" s="475"/>
      <c r="BC102" s="475"/>
      <c r="BD102" s="475"/>
      <c r="BF102" s="475"/>
      <c r="BH102" s="475"/>
      <c r="BN102" s="474"/>
      <c r="BT102" s="474"/>
      <c r="BU102" s="474"/>
      <c r="BV102" s="474"/>
      <c r="BW102" s="474"/>
      <c r="CK102" s="1068"/>
      <c r="CP102" s="474"/>
      <c r="EK102" s="1068"/>
      <c r="ET102" s="475"/>
    </row>
    <row r="103" spans="2:150" ht="12.75">
      <c r="B103" s="434"/>
      <c r="C103" s="475" t="s">
        <v>1521</v>
      </c>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4"/>
      <c r="AJ103" s="434"/>
      <c r="AK103" s="434"/>
      <c r="AL103" s="434"/>
      <c r="AM103" s="434"/>
      <c r="AN103" s="434"/>
      <c r="AO103" s="434"/>
      <c r="AP103" s="434"/>
      <c r="AQ103" s="434"/>
      <c r="AR103" s="434"/>
      <c r="AS103" s="434"/>
      <c r="AT103" s="475" t="s">
        <v>1521</v>
      </c>
      <c r="AU103" s="1124" t="str">
        <f>TOVNum_Pasture</f>
        <v>#14.40</v>
      </c>
      <c r="AV103" s="1124" t="str">
        <f>TOVNum_Native</f>
        <v>#14.41</v>
      </c>
      <c r="AX103" s="434"/>
      <c r="AY103" s="434"/>
      <c r="AZ103" s="434"/>
      <c r="BA103" s="434"/>
      <c r="BB103" s="434"/>
      <c r="BC103" s="475"/>
      <c r="BD103" s="434"/>
      <c r="BF103" s="475"/>
      <c r="BH103" s="475"/>
      <c r="DW103" s="1068"/>
      <c r="ET103" s="475"/>
    </row>
    <row r="104" spans="2:150" ht="12.75">
      <c r="B104" s="434"/>
      <c r="C104" s="475" t="s">
        <v>1780</v>
      </c>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4"/>
      <c r="AN104" s="434"/>
      <c r="AO104" s="434"/>
      <c r="AP104" s="434"/>
      <c r="AQ104" s="434"/>
      <c r="AR104" s="434"/>
      <c r="AS104" s="434"/>
      <c r="AT104" s="475" t="s">
        <v>1780</v>
      </c>
      <c r="AU104" s="63">
        <f>Seed_pasture_rate</f>
        <v>1655.5</v>
      </c>
      <c r="AV104" s="63">
        <f>Seed_native_rate</f>
        <v>4196.5</v>
      </c>
      <c r="AX104" s="434"/>
      <c r="AY104" s="434"/>
      <c r="AZ104" s="434"/>
      <c r="BA104" s="434"/>
      <c r="BB104" s="434"/>
      <c r="BC104" s="475"/>
      <c r="BD104" s="434"/>
      <c r="BF104" s="475"/>
      <c r="BH104" s="475"/>
      <c r="DW104" s="1068"/>
      <c r="ET104" s="475"/>
    </row>
    <row r="105" spans="2:150" ht="12.75">
      <c r="B105" s="434"/>
      <c r="C105" s="475" t="s">
        <v>1556</v>
      </c>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c r="AJ105" s="434"/>
      <c r="AK105" s="434"/>
      <c r="AL105" s="434"/>
      <c r="AM105" s="434"/>
      <c r="AN105" s="434"/>
      <c r="AO105" s="434"/>
      <c r="AP105" s="434"/>
      <c r="AQ105" s="434"/>
      <c r="AR105" s="434"/>
      <c r="AS105" s="434"/>
      <c r="AT105" s="475" t="s">
        <v>1556</v>
      </c>
      <c r="AU105" s="117"/>
      <c r="AV105" s="117"/>
      <c r="AW105" s="434"/>
      <c r="AX105" s="434"/>
      <c r="AY105" s="434"/>
      <c r="AZ105" s="434"/>
      <c r="BA105" s="434"/>
      <c r="BB105" s="434"/>
      <c r="BC105" s="475"/>
      <c r="BD105" s="475"/>
      <c r="BF105" s="475"/>
      <c r="BH105" s="475"/>
      <c r="DV105" s="1068"/>
      <c r="ET105" s="475"/>
    </row>
    <row r="106" spans="2:150">
      <c r="C106" s="475" t="s">
        <v>1</v>
      </c>
      <c r="I106" s="475"/>
      <c r="K106" s="475"/>
      <c r="L106" s="789" t="s">
        <v>1599</v>
      </c>
      <c r="M106" s="135">
        <v>0.15</v>
      </c>
      <c r="P106" s="475"/>
      <c r="Q106" s="475"/>
      <c r="R106" s="475"/>
      <c r="S106" s="475"/>
      <c r="T106" s="475"/>
      <c r="U106" s="475"/>
      <c r="V106" s="475"/>
      <c r="W106" s="475"/>
      <c r="X106" s="475"/>
      <c r="Y106" s="475"/>
      <c r="AC106" s="475"/>
      <c r="AD106" s="475"/>
      <c r="AH106" s="475"/>
      <c r="AI106" s="475"/>
      <c r="AM106" s="475"/>
      <c r="AN106" s="475"/>
      <c r="AO106" s="475"/>
      <c r="AQ106" s="475"/>
      <c r="AR106" s="475"/>
      <c r="AS106" s="475"/>
      <c r="AT106" s="475" t="s">
        <v>1</v>
      </c>
      <c r="AU106" s="475"/>
      <c r="AV106" s="475"/>
      <c r="AW106" s="475"/>
      <c r="AX106" s="475"/>
      <c r="AY106" s="475"/>
      <c r="AZ106" s="475"/>
      <c r="BA106" s="475"/>
      <c r="BB106" s="475"/>
      <c r="BC106" s="475"/>
      <c r="BD106" s="475"/>
      <c r="BF106" s="475"/>
      <c r="BH106" s="475"/>
      <c r="DV106" s="1068"/>
      <c r="ET106" s="475"/>
    </row>
    <row r="107" spans="2:150" ht="12.75">
      <c r="B107" s="284" t="s">
        <v>26</v>
      </c>
      <c r="C107" s="1069" t="s">
        <v>2050</v>
      </c>
      <c r="D107" s="944"/>
      <c r="E107" s="855" t="s">
        <v>2051</v>
      </c>
      <c r="F107" s="1078"/>
      <c r="G107" s="1078"/>
      <c r="H107" s="1078"/>
      <c r="I107" s="1078"/>
      <c r="J107" s="1078"/>
      <c r="K107" s="1078"/>
      <c r="L107" s="1078"/>
      <c r="M107" s="878" t="s">
        <v>2052</v>
      </c>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1078"/>
      <c r="AJ107" s="1078"/>
      <c r="AK107" s="1078"/>
      <c r="AL107" s="1078"/>
      <c r="AM107" s="1078"/>
      <c r="AN107" s="1078"/>
      <c r="AO107" s="1078"/>
      <c r="AP107" s="1078"/>
      <c r="AQ107" s="1078"/>
      <c r="AR107" s="1078"/>
      <c r="AS107" s="1078"/>
      <c r="AT107" s="1079"/>
      <c r="AU107" s="1078"/>
      <c r="AV107" s="1078"/>
      <c r="AW107" s="1078"/>
      <c r="AX107" s="1078"/>
      <c r="AY107" s="1079"/>
      <c r="AZ107" s="475"/>
      <c r="BA107" s="475"/>
      <c r="BB107" s="475"/>
      <c r="BC107" s="475"/>
      <c r="BD107" s="475"/>
      <c r="BF107" s="475"/>
      <c r="BH107" s="475"/>
      <c r="DV107" s="1068"/>
      <c r="ET107" s="475"/>
    </row>
    <row r="108" spans="2:150" ht="48">
      <c r="B108" s="954" t="s">
        <v>1517</v>
      </c>
      <c r="C108" s="954" t="s">
        <v>27</v>
      </c>
      <c r="D108" s="954" t="s">
        <v>1583</v>
      </c>
      <c r="E108" s="1109" t="s">
        <v>2053</v>
      </c>
      <c r="F108" s="1110" t="s">
        <v>2054</v>
      </c>
      <c r="G108" s="1109" t="s">
        <v>1918</v>
      </c>
      <c r="H108" s="1109" t="s">
        <v>1919</v>
      </c>
      <c r="I108" s="1110" t="s">
        <v>1922</v>
      </c>
      <c r="J108" s="1111" t="s">
        <v>1923</v>
      </c>
      <c r="K108" s="1109" t="s">
        <v>1924</v>
      </c>
      <c r="L108" s="1109" t="s">
        <v>1926</v>
      </c>
      <c r="M108" s="1109" t="s">
        <v>2055</v>
      </c>
      <c r="N108" s="1109" t="s">
        <v>1624</v>
      </c>
      <c r="O108" s="1109" t="s">
        <v>1625</v>
      </c>
      <c r="P108" s="1110" t="s">
        <v>1700</v>
      </c>
      <c r="Q108" s="1112" t="s">
        <v>1991</v>
      </c>
      <c r="R108" s="1109" t="s">
        <v>1826</v>
      </c>
      <c r="S108" s="1109" t="s">
        <v>1836</v>
      </c>
      <c r="T108" s="954" t="s">
        <v>1993</v>
      </c>
      <c r="U108" s="954" t="s">
        <v>1994</v>
      </c>
      <c r="V108" s="1109" t="s">
        <v>1995</v>
      </c>
      <c r="W108" s="1109" t="s">
        <v>1996</v>
      </c>
      <c r="X108" s="1109" t="s">
        <v>2044</v>
      </c>
      <c r="Y108" s="954" t="s">
        <v>1998</v>
      </c>
      <c r="Z108" s="1109" t="s">
        <v>1999</v>
      </c>
      <c r="AA108" s="955" t="s">
        <v>2000</v>
      </c>
      <c r="AB108" s="1112" t="s">
        <v>2001</v>
      </c>
      <c r="AC108" s="1109" t="s">
        <v>2002</v>
      </c>
      <c r="AD108" s="1109" t="s">
        <v>2003</v>
      </c>
      <c r="AE108" s="1109" t="s">
        <v>2004</v>
      </c>
      <c r="AF108" s="955" t="s">
        <v>2005</v>
      </c>
      <c r="AG108" s="1112" t="s">
        <v>2001</v>
      </c>
      <c r="AH108" s="1109" t="s">
        <v>2006</v>
      </c>
      <c r="AI108" s="1109" t="s">
        <v>2007</v>
      </c>
      <c r="AJ108" s="1109" t="s">
        <v>2008</v>
      </c>
      <c r="AK108" s="955" t="s">
        <v>2009</v>
      </c>
      <c r="AL108" s="1112" t="s">
        <v>2001</v>
      </c>
      <c r="AM108" s="1109" t="s">
        <v>2010</v>
      </c>
      <c r="AN108" s="1109" t="s">
        <v>2011</v>
      </c>
      <c r="AO108" s="1109" t="s">
        <v>2012</v>
      </c>
      <c r="AP108" s="1109" t="s">
        <v>1626</v>
      </c>
      <c r="AQ108" s="1109" t="s">
        <v>1627</v>
      </c>
      <c r="AR108" s="1109" t="s">
        <v>1628</v>
      </c>
      <c r="AS108" s="1109" t="s">
        <v>1629</v>
      </c>
      <c r="AT108" s="1109" t="s">
        <v>1630</v>
      </c>
      <c r="AU108" s="1109" t="s">
        <v>2013</v>
      </c>
      <c r="AV108" s="1109" t="s">
        <v>2014</v>
      </c>
      <c r="AW108" s="1109" t="s">
        <v>1644</v>
      </c>
      <c r="AX108" s="1109" t="s">
        <v>2045</v>
      </c>
      <c r="AY108" s="1141" t="s">
        <v>2021</v>
      </c>
      <c r="AZ108" s="775" t="s">
        <v>2056</v>
      </c>
      <c r="BA108" s="954" t="s">
        <v>2023</v>
      </c>
      <c r="BB108" s="1088"/>
      <c r="BC108" s="776" t="s">
        <v>1645</v>
      </c>
      <c r="BD108" s="777"/>
      <c r="BE108" s="777"/>
      <c r="BF108" s="777"/>
      <c r="BG108" s="777"/>
      <c r="BH108" s="777"/>
      <c r="BI108" s="777"/>
      <c r="BJ108" s="778"/>
      <c r="DV108" s="1068"/>
      <c r="ET108" s="475"/>
    </row>
    <row r="109" spans="2:150" ht="12.75">
      <c r="B109" s="770"/>
      <c r="C109" s="770"/>
      <c r="D109" s="1125"/>
      <c r="E109" s="1125"/>
      <c r="F109" s="1125"/>
      <c r="G109" s="1125"/>
      <c r="H109" s="1125"/>
      <c r="I109" s="160" t="s">
        <v>1646</v>
      </c>
      <c r="J109" s="160" t="s">
        <v>1646</v>
      </c>
      <c r="K109" s="1125"/>
      <c r="L109" s="1125"/>
      <c r="M109" s="375" t="s">
        <v>2025</v>
      </c>
      <c r="N109" s="1125"/>
      <c r="O109" s="1125"/>
      <c r="P109" s="160" t="s">
        <v>1646</v>
      </c>
      <c r="Q109" s="160" t="s">
        <v>1646</v>
      </c>
      <c r="R109" s="225" t="str">
        <f>Subrates_Table_1</f>
        <v>Subrates Table 1</v>
      </c>
      <c r="S109" s="1125"/>
      <c r="T109" s="160" t="s">
        <v>1646</v>
      </c>
      <c r="U109" s="160" t="s">
        <v>1646</v>
      </c>
      <c r="V109" s="770"/>
      <c r="W109" s="770"/>
      <c r="X109" s="770"/>
      <c r="Y109" s="1125"/>
      <c r="Z109" s="1125"/>
      <c r="AA109" s="160" t="s">
        <v>1646</v>
      </c>
      <c r="AB109" s="1125"/>
      <c r="AC109" s="770"/>
      <c r="AD109" s="770"/>
      <c r="AE109" s="268"/>
      <c r="AF109" s="160" t="s">
        <v>1646</v>
      </c>
      <c r="AG109" s="1125"/>
      <c r="AH109" s="269"/>
      <c r="AI109" s="770"/>
      <c r="AJ109" s="270"/>
      <c r="AK109" s="160" t="s">
        <v>1646</v>
      </c>
      <c r="AL109" s="1125"/>
      <c r="AM109" s="269"/>
      <c r="AN109" s="770"/>
      <c r="AO109" s="1125"/>
      <c r="AP109" s="1125"/>
      <c r="AQ109" s="1125"/>
      <c r="AR109" s="1125"/>
      <c r="AS109" s="1125"/>
      <c r="AT109" s="1125"/>
      <c r="AU109" s="770"/>
      <c r="AV109" s="770"/>
      <c r="AW109" s="1125"/>
      <c r="AX109" s="1125"/>
      <c r="AY109" s="1125"/>
      <c r="AZ109" s="1125"/>
      <c r="BA109" s="1125"/>
      <c r="BB109" s="770"/>
      <c r="BC109" s="748"/>
      <c r="BE109" s="474"/>
      <c r="BG109" s="474"/>
      <c r="BI109" s="474"/>
      <c r="BJ109" s="779"/>
      <c r="DV109" s="1068"/>
      <c r="ET109" s="475"/>
    </row>
    <row r="110" spans="2:150" ht="15">
      <c r="B110" s="309"/>
      <c r="C110" s="554">
        <v>1</v>
      </c>
      <c r="D110" s="171"/>
      <c r="E110" s="316"/>
      <c r="F110" s="413"/>
      <c r="G110" s="318"/>
      <c r="H110" s="333">
        <f t="shared" ref="H110:H119" si="99">IF(G110="",E110*10000*F110,G110)</f>
        <v>0</v>
      </c>
      <c r="I110" s="15" t="s">
        <v>411</v>
      </c>
      <c r="J110" s="15" t="s">
        <v>3</v>
      </c>
      <c r="K110" s="25">
        <f t="shared" ref="K110:K119" si="100">INDEX(Dozer_Push_Values,MATCH(I110,Dozer_Push_Length,0),MATCH(J110,Dozers,0))</f>
        <v>1.9221853757639424</v>
      </c>
      <c r="L110" s="351">
        <f t="shared" ref="L110:L119" si="101">IFERROR(K110*(H110),"E")</f>
        <v>0</v>
      </c>
      <c r="M110" s="73"/>
      <c r="N110" s="318"/>
      <c r="O110" s="319">
        <f t="shared" ref="O110:O119" si="102">IF(N110&lt;&gt;"",N110,E110*10000*IF(M110&gt;0,M110,$M$106))</f>
        <v>0</v>
      </c>
      <c r="P110" s="15" t="s">
        <v>125</v>
      </c>
      <c r="Q110" s="383" t="s">
        <v>348</v>
      </c>
      <c r="R110" s="22">
        <f t="shared" ref="R110:R119" si="103">IF(T110=Local,INDEX(Load_and_Haul_Values,MATCH(P110,Load_and_Haul,0),MATCH(Q110,Load_Haul_Fleet_size,0)),0)</f>
        <v>4.8064250364478198</v>
      </c>
      <c r="S110" s="351">
        <f t="shared" ref="S110:S119" si="104">R110*O110</f>
        <v>0</v>
      </c>
      <c r="T110" s="39" t="s">
        <v>2026</v>
      </c>
      <c r="U110" s="1142" t="s">
        <v>485</v>
      </c>
      <c r="V110" s="22">
        <f>IF(T110=Local,0,VLOOKUP(U110,Long_distance_values_subs,Subrates!$C$5,FALSE))</f>
        <v>0</v>
      </c>
      <c r="W110" s="22">
        <f>IF(T110=Local,0,Subrates!$D$122)</f>
        <v>0</v>
      </c>
      <c r="X110" s="1143"/>
      <c r="Y110" s="158">
        <f>IF(X110="",O110*VLOOKUP(U110,Long_distance_values_subs,Subrates!$H$5,FALSE)*V110+O110*W110,O110*X110)</f>
        <v>0</v>
      </c>
      <c r="Z110" s="332"/>
      <c r="AA110" s="338" t="s">
        <v>48</v>
      </c>
      <c r="AB110" s="1096" t="str">
        <f>IF(AA110=Lists!$B$18,"N/A",VLOOKUP(AA110,Lists!$B$18:$D$26,Lists!$C$3,FALSE))</f>
        <v>N/A</v>
      </c>
      <c r="AC110" s="22">
        <f>IF(AA110=Lists!$B$18,0,VLOOKUP(AB110,Amend_TOV,TOV!$F$1,FALSE))</f>
        <v>0</v>
      </c>
      <c r="AD110" s="117"/>
      <c r="AE110" s="332"/>
      <c r="AF110" s="17" t="s">
        <v>48</v>
      </c>
      <c r="AG110" s="367" t="str">
        <f>IF(AF110=Lists!$B$18,"N/A",VLOOKUP(AF110,Lists!$B$18:$D$26,Lists!$C$3,FALSE))</f>
        <v>N/A</v>
      </c>
      <c r="AH110" s="22">
        <f>IF(AF110=Lists!$B$18,0,VLOOKUP(AG110,Amend_TOV,TOV!$F$1,FALSE))</f>
        <v>0</v>
      </c>
      <c r="AI110" s="117"/>
      <c r="AJ110" s="332"/>
      <c r="AK110" s="338" t="s">
        <v>48</v>
      </c>
      <c r="AL110" s="1096" t="str">
        <f>IF(AK110=Lists!$B$18,"N/A",VLOOKUP(AK110,Lists!$B$18:$D$26,Lists!$C$3,FALSE))</f>
        <v>N/A</v>
      </c>
      <c r="AM110" s="22">
        <f>IF(AK110=Lists!$B$18,0,VLOOKUP(AL110,Amend_TOV,TOV!$F$1,FALSE))</f>
        <v>0</v>
      </c>
      <c r="AN110" s="117"/>
      <c r="AO110" s="347">
        <f t="shared" ref="AO110:AO119" si="105">(Z110*IF(AD110="",AC110,AD110))+(AE110*IF(AI110="",AH110,AI110))+(AJ110*IF(AN110="",AM110,AN110))</f>
        <v>0</v>
      </c>
      <c r="AP110" s="316">
        <f t="shared" ref="AP110:AP119" si="106">E110</f>
        <v>0</v>
      </c>
      <c r="AQ110" s="31">
        <v>1</v>
      </c>
      <c r="AR110" s="31"/>
      <c r="AS110" s="9">
        <f t="shared" ref="AS110:AS119" si="107">100%-AR110-AQ110</f>
        <v>0</v>
      </c>
      <c r="AT110" s="7" t="str">
        <f t="shared" ref="AT110:AT119" si="108">IF(AS110&lt;0%,"Error","No Alert")</f>
        <v>No Alert</v>
      </c>
      <c r="AU110" s="415">
        <f t="shared" ref="AU110:AU119" si="109">$AP110*AQ110*IF(AU$105="",AU$104,AU$105)</f>
        <v>0</v>
      </c>
      <c r="AV110" s="415">
        <f t="shared" ref="AV110:AV119" si="110">$AP110*AR110*IF(AV$105="",AV$104,AV$105)</f>
        <v>0</v>
      </c>
      <c r="AW110" s="351">
        <f>AU110+AV110</f>
        <v>0</v>
      </c>
      <c r="AX110" s="351">
        <f t="shared" ref="AX110:AX119" si="111">AO110+S110+Y110</f>
        <v>0</v>
      </c>
      <c r="AY110" s="12"/>
      <c r="AZ110" s="119">
        <f t="shared" ref="AZ110:AZ119" si="112">L110+AW110+AX110+AY110</f>
        <v>0</v>
      </c>
      <c r="BA110" s="1126">
        <f t="shared" ref="BA110:BA119" si="113">IF(E110=0,0,AZ110/E110)</f>
        <v>0</v>
      </c>
      <c r="BB110" s="1127">
        <f t="shared" ref="BB110:BB119" si="114">IFERROR(AZ110,"Error")</f>
        <v>0</v>
      </c>
      <c r="BC110" s="215"/>
      <c r="BD110" s="217"/>
      <c r="BE110" s="217"/>
      <c r="BF110" s="217"/>
      <c r="BG110" s="217"/>
      <c r="BH110" s="217"/>
      <c r="BI110" s="217"/>
      <c r="BJ110" s="218"/>
      <c r="DV110" s="1068"/>
      <c r="ET110" s="475"/>
    </row>
    <row r="111" spans="2:150" ht="15">
      <c r="B111" s="309"/>
      <c r="C111" s="554">
        <f t="shared" ref="C111:C119" si="115">C110+1</f>
        <v>2</v>
      </c>
      <c r="D111" s="171"/>
      <c r="E111" s="316"/>
      <c r="F111" s="413"/>
      <c r="G111" s="318"/>
      <c r="H111" s="333">
        <f t="shared" si="99"/>
        <v>0</v>
      </c>
      <c r="I111" s="15" t="s">
        <v>411</v>
      </c>
      <c r="J111" s="15" t="s">
        <v>3</v>
      </c>
      <c r="K111" s="25">
        <f t="shared" si="100"/>
        <v>1.9221853757639424</v>
      </c>
      <c r="L111" s="351">
        <f t="shared" si="101"/>
        <v>0</v>
      </c>
      <c r="M111" s="73"/>
      <c r="N111" s="318"/>
      <c r="O111" s="319">
        <f t="shared" si="102"/>
        <v>0</v>
      </c>
      <c r="P111" s="15" t="s">
        <v>125</v>
      </c>
      <c r="Q111" s="383" t="s">
        <v>348</v>
      </c>
      <c r="R111" s="22">
        <f t="shared" si="103"/>
        <v>4.8064250364478198</v>
      </c>
      <c r="S111" s="351">
        <f t="shared" si="104"/>
        <v>0</v>
      </c>
      <c r="T111" s="39" t="s">
        <v>2026</v>
      </c>
      <c r="U111" s="1142" t="s">
        <v>485</v>
      </c>
      <c r="V111" s="22">
        <f>IF(T111=Local,0,VLOOKUP(U111,Long_distance_values_subs,Subrates!$C$5,FALSE))</f>
        <v>0</v>
      </c>
      <c r="W111" s="22">
        <f>IF(T111=Local,0,Subrates!$D$122)</f>
        <v>0</v>
      </c>
      <c r="X111" s="1143"/>
      <c r="Y111" s="158">
        <f>IF(X111="",O111*VLOOKUP(U111,Long_distance_values_subs,Subrates!$H$5,FALSE)*V111+O111*W111,O111*X111)</f>
        <v>0</v>
      </c>
      <c r="Z111" s="332"/>
      <c r="AA111" s="338" t="s">
        <v>48</v>
      </c>
      <c r="AB111" s="1096" t="str">
        <f>IF(AA111=Lists!$B$18,"N/A",VLOOKUP(AA111,Lists!$B$18:$D$26,Lists!$C$3,FALSE))</f>
        <v>N/A</v>
      </c>
      <c r="AC111" s="22">
        <f>IF(AA111=Lists!$B$18,0,VLOOKUP(AB111,Amend_TOV,TOV!$F$1,FALSE))</f>
        <v>0</v>
      </c>
      <c r="AD111" s="117"/>
      <c r="AE111" s="332"/>
      <c r="AF111" s="17" t="s">
        <v>48</v>
      </c>
      <c r="AG111" s="367" t="str">
        <f>IF(AF111=Lists!$B$18,"N/A",VLOOKUP(AF111,Lists!$B$18:$D$26,Lists!$C$3,FALSE))</f>
        <v>N/A</v>
      </c>
      <c r="AH111" s="22">
        <f>IF(AF111=Lists!$B$18,0,VLOOKUP(AG111,Amend_TOV,TOV!$F$1,FALSE))</f>
        <v>0</v>
      </c>
      <c r="AI111" s="117"/>
      <c r="AJ111" s="332"/>
      <c r="AK111" s="338" t="s">
        <v>48</v>
      </c>
      <c r="AL111" s="1096" t="str">
        <f>IF(AK111=Lists!$B$18,"N/A",VLOOKUP(AK111,Lists!$B$18:$D$26,Lists!$C$3,FALSE))</f>
        <v>N/A</v>
      </c>
      <c r="AM111" s="22">
        <f>IF(AK111=Lists!$B$18,0,VLOOKUP(AL111,Amend_TOV,TOV!$F$1,FALSE))</f>
        <v>0</v>
      </c>
      <c r="AN111" s="117"/>
      <c r="AO111" s="347">
        <f t="shared" si="105"/>
        <v>0</v>
      </c>
      <c r="AP111" s="316">
        <f t="shared" si="106"/>
        <v>0</v>
      </c>
      <c r="AQ111" s="31">
        <v>1</v>
      </c>
      <c r="AR111" s="31"/>
      <c r="AS111" s="9">
        <f t="shared" si="107"/>
        <v>0</v>
      </c>
      <c r="AT111" s="7" t="str">
        <f t="shared" si="108"/>
        <v>No Alert</v>
      </c>
      <c r="AU111" s="415">
        <f t="shared" si="109"/>
        <v>0</v>
      </c>
      <c r="AV111" s="415">
        <f t="shared" si="110"/>
        <v>0</v>
      </c>
      <c r="AW111" s="351">
        <f t="shared" ref="AW111:AW119" si="116">AU111+AV111</f>
        <v>0</v>
      </c>
      <c r="AX111" s="351">
        <f t="shared" si="111"/>
        <v>0</v>
      </c>
      <c r="AY111" s="12"/>
      <c r="AZ111" s="119">
        <f t="shared" si="112"/>
        <v>0</v>
      </c>
      <c r="BA111" s="1126">
        <f t="shared" si="113"/>
        <v>0</v>
      </c>
      <c r="BB111" s="1127">
        <f t="shared" si="114"/>
        <v>0</v>
      </c>
      <c r="BC111" s="215"/>
      <c r="BD111" s="217"/>
      <c r="BE111" s="217"/>
      <c r="BF111" s="217"/>
      <c r="BG111" s="217"/>
      <c r="BH111" s="217"/>
      <c r="BI111" s="217"/>
      <c r="BJ111" s="218"/>
      <c r="DV111" s="1068"/>
      <c r="ET111" s="475"/>
    </row>
    <row r="112" spans="2:150" ht="15">
      <c r="B112" s="309"/>
      <c r="C112" s="554">
        <f t="shared" si="115"/>
        <v>3</v>
      </c>
      <c r="D112" s="171"/>
      <c r="E112" s="316"/>
      <c r="F112" s="413"/>
      <c r="G112" s="318"/>
      <c r="H112" s="333">
        <f t="shared" si="99"/>
        <v>0</v>
      </c>
      <c r="I112" s="15" t="s">
        <v>411</v>
      </c>
      <c r="J112" s="15" t="s">
        <v>3</v>
      </c>
      <c r="K112" s="25">
        <f t="shared" si="100"/>
        <v>1.9221853757639424</v>
      </c>
      <c r="L112" s="351">
        <f t="shared" si="101"/>
        <v>0</v>
      </c>
      <c r="M112" s="73"/>
      <c r="N112" s="318"/>
      <c r="O112" s="319">
        <f t="shared" si="102"/>
        <v>0</v>
      </c>
      <c r="P112" s="15" t="s">
        <v>125</v>
      </c>
      <c r="Q112" s="383" t="s">
        <v>348</v>
      </c>
      <c r="R112" s="22">
        <f t="shared" si="103"/>
        <v>4.8064250364478198</v>
      </c>
      <c r="S112" s="351">
        <f t="shared" si="104"/>
        <v>0</v>
      </c>
      <c r="T112" s="39" t="s">
        <v>2026</v>
      </c>
      <c r="U112" s="1142" t="s">
        <v>485</v>
      </c>
      <c r="V112" s="22">
        <f>IF(T112=Local,0,VLOOKUP(U112,Long_distance_values_subs,Subrates!$C$5,FALSE))</f>
        <v>0</v>
      </c>
      <c r="W112" s="22">
        <f>IF(T112=Local,0,Subrates!$D$122)</f>
        <v>0</v>
      </c>
      <c r="X112" s="1143"/>
      <c r="Y112" s="158">
        <f>IF(X112="",O112*VLOOKUP(U112,Long_distance_values_subs,Subrates!$H$5,FALSE)*V112+O112*W112,O112*X112)</f>
        <v>0</v>
      </c>
      <c r="Z112" s="332"/>
      <c r="AA112" s="338" t="s">
        <v>48</v>
      </c>
      <c r="AB112" s="1096" t="str">
        <f>IF(AA112=Lists!$B$18,"N/A",VLOOKUP(AA112,Lists!$B$18:$D$26,Lists!$C$3,FALSE))</f>
        <v>N/A</v>
      </c>
      <c r="AC112" s="22">
        <f>IF(AA112=Lists!$B$18,0,VLOOKUP(AB112,Amend_TOV,TOV!$F$1,FALSE))</f>
        <v>0</v>
      </c>
      <c r="AD112" s="117"/>
      <c r="AE112" s="332"/>
      <c r="AF112" s="17" t="s">
        <v>48</v>
      </c>
      <c r="AG112" s="367" t="str">
        <f>IF(AF112=Lists!$B$18,"N/A",VLOOKUP(AF112,Lists!$B$18:$D$26,Lists!$C$3,FALSE))</f>
        <v>N/A</v>
      </c>
      <c r="AH112" s="22">
        <f>IF(AF112=Lists!$B$18,0,VLOOKUP(AG112,Amend_TOV,TOV!$F$1,FALSE))</f>
        <v>0</v>
      </c>
      <c r="AI112" s="117"/>
      <c r="AJ112" s="332"/>
      <c r="AK112" s="338" t="s">
        <v>48</v>
      </c>
      <c r="AL112" s="1096" t="str">
        <f>IF(AK112=Lists!$B$18,"N/A",VLOOKUP(AK112,Lists!$B$18:$D$26,Lists!$C$3,FALSE))</f>
        <v>N/A</v>
      </c>
      <c r="AM112" s="22">
        <f>IF(AK112=Lists!$B$18,0,VLOOKUP(AL112,Amend_TOV,TOV!$F$1,FALSE))</f>
        <v>0</v>
      </c>
      <c r="AN112" s="117"/>
      <c r="AO112" s="347">
        <f t="shared" si="105"/>
        <v>0</v>
      </c>
      <c r="AP112" s="316">
        <f t="shared" si="106"/>
        <v>0</v>
      </c>
      <c r="AQ112" s="31">
        <v>1</v>
      </c>
      <c r="AR112" s="31"/>
      <c r="AS112" s="9">
        <f t="shared" si="107"/>
        <v>0</v>
      </c>
      <c r="AT112" s="7" t="str">
        <f t="shared" si="108"/>
        <v>No Alert</v>
      </c>
      <c r="AU112" s="415">
        <f t="shared" si="109"/>
        <v>0</v>
      </c>
      <c r="AV112" s="415">
        <f t="shared" si="110"/>
        <v>0</v>
      </c>
      <c r="AW112" s="351">
        <f t="shared" si="116"/>
        <v>0</v>
      </c>
      <c r="AX112" s="351">
        <f t="shared" si="111"/>
        <v>0</v>
      </c>
      <c r="AY112" s="12"/>
      <c r="AZ112" s="119">
        <f t="shared" si="112"/>
        <v>0</v>
      </c>
      <c r="BA112" s="1126">
        <f t="shared" si="113"/>
        <v>0</v>
      </c>
      <c r="BB112" s="1127">
        <f t="shared" si="114"/>
        <v>0</v>
      </c>
      <c r="BC112" s="215"/>
      <c r="BD112" s="217"/>
      <c r="BE112" s="217"/>
      <c r="BF112" s="217"/>
      <c r="BG112" s="217"/>
      <c r="BH112" s="217"/>
      <c r="BI112" s="217"/>
      <c r="BJ112" s="218"/>
      <c r="DV112" s="1068"/>
      <c r="ET112" s="475"/>
    </row>
    <row r="113" spans="1:150" ht="15">
      <c r="B113" s="309"/>
      <c r="C113" s="554">
        <f t="shared" si="115"/>
        <v>4</v>
      </c>
      <c r="D113" s="171"/>
      <c r="E113" s="316"/>
      <c r="F113" s="413"/>
      <c r="G113" s="318"/>
      <c r="H113" s="333">
        <f t="shared" si="99"/>
        <v>0</v>
      </c>
      <c r="I113" s="15" t="s">
        <v>411</v>
      </c>
      <c r="J113" s="15" t="s">
        <v>3</v>
      </c>
      <c r="K113" s="25">
        <f t="shared" si="100"/>
        <v>1.9221853757639424</v>
      </c>
      <c r="L113" s="351">
        <f t="shared" si="101"/>
        <v>0</v>
      </c>
      <c r="M113" s="73"/>
      <c r="N113" s="318"/>
      <c r="O113" s="319">
        <f t="shared" si="102"/>
        <v>0</v>
      </c>
      <c r="P113" s="15" t="s">
        <v>125</v>
      </c>
      <c r="Q113" s="383" t="s">
        <v>348</v>
      </c>
      <c r="R113" s="22">
        <f t="shared" si="103"/>
        <v>4.8064250364478198</v>
      </c>
      <c r="S113" s="351">
        <f t="shared" si="104"/>
        <v>0</v>
      </c>
      <c r="T113" s="39" t="s">
        <v>2026</v>
      </c>
      <c r="U113" s="1142" t="s">
        <v>485</v>
      </c>
      <c r="V113" s="22">
        <f>IF(T113=Local,0,VLOOKUP(U113,Long_distance_values_subs,Subrates!$C$5,FALSE))</f>
        <v>0</v>
      </c>
      <c r="W113" s="22">
        <f>IF(T113=Local,0,Subrates!$D$122)</f>
        <v>0</v>
      </c>
      <c r="X113" s="1143"/>
      <c r="Y113" s="158">
        <f>IF(X113="",O113*VLOOKUP(U113,Long_distance_values_subs,Subrates!$H$5,FALSE)*V113+O113*W113,O113*X113)</f>
        <v>0</v>
      </c>
      <c r="Z113" s="332"/>
      <c r="AA113" s="338" t="s">
        <v>48</v>
      </c>
      <c r="AB113" s="1096" t="str">
        <f>IF(AA113=Lists!$B$18,"N/A",VLOOKUP(AA113,Lists!$B$18:$D$26,Lists!$C$3,FALSE))</f>
        <v>N/A</v>
      </c>
      <c r="AC113" s="22">
        <f>IF(AA113=Lists!$B$18,0,VLOOKUP(AB113,Amend_TOV,TOV!$F$1,FALSE))</f>
        <v>0</v>
      </c>
      <c r="AD113" s="117"/>
      <c r="AE113" s="332"/>
      <c r="AF113" s="17" t="s">
        <v>48</v>
      </c>
      <c r="AG113" s="367" t="str">
        <f>IF(AF113=Lists!$B$18,"N/A",VLOOKUP(AF113,Lists!$B$18:$D$26,Lists!$C$3,FALSE))</f>
        <v>N/A</v>
      </c>
      <c r="AH113" s="22">
        <f>IF(AF113=Lists!$B$18,0,VLOOKUP(AG113,Amend_TOV,TOV!$F$1,FALSE))</f>
        <v>0</v>
      </c>
      <c r="AI113" s="117"/>
      <c r="AJ113" s="332"/>
      <c r="AK113" s="338" t="s">
        <v>48</v>
      </c>
      <c r="AL113" s="1096" t="str">
        <f>IF(AK113=Lists!$B$18,"N/A",VLOOKUP(AK113,Lists!$B$18:$D$26,Lists!$C$3,FALSE))</f>
        <v>N/A</v>
      </c>
      <c r="AM113" s="22">
        <f>IF(AK113=Lists!$B$18,0,VLOOKUP(AL113,Amend_TOV,TOV!$F$1,FALSE))</f>
        <v>0</v>
      </c>
      <c r="AN113" s="117"/>
      <c r="AO113" s="347">
        <f t="shared" si="105"/>
        <v>0</v>
      </c>
      <c r="AP113" s="316">
        <f t="shared" si="106"/>
        <v>0</v>
      </c>
      <c r="AQ113" s="31">
        <v>1</v>
      </c>
      <c r="AR113" s="31"/>
      <c r="AS113" s="9">
        <f t="shared" si="107"/>
        <v>0</v>
      </c>
      <c r="AT113" s="7" t="str">
        <f t="shared" si="108"/>
        <v>No Alert</v>
      </c>
      <c r="AU113" s="415">
        <f t="shared" si="109"/>
        <v>0</v>
      </c>
      <c r="AV113" s="415">
        <f t="shared" si="110"/>
        <v>0</v>
      </c>
      <c r="AW113" s="351">
        <f t="shared" si="116"/>
        <v>0</v>
      </c>
      <c r="AX113" s="351">
        <f t="shared" si="111"/>
        <v>0</v>
      </c>
      <c r="AY113" s="12"/>
      <c r="AZ113" s="119">
        <f t="shared" si="112"/>
        <v>0</v>
      </c>
      <c r="BA113" s="1126">
        <f t="shared" si="113"/>
        <v>0</v>
      </c>
      <c r="BB113" s="1127">
        <f t="shared" si="114"/>
        <v>0</v>
      </c>
      <c r="BC113" s="215"/>
      <c r="BD113" s="217"/>
      <c r="BE113" s="217"/>
      <c r="BF113" s="217"/>
      <c r="BG113" s="217"/>
      <c r="BH113" s="217"/>
      <c r="BI113" s="217"/>
      <c r="BJ113" s="218"/>
      <c r="DV113" s="1068"/>
      <c r="ET113" s="475"/>
    </row>
    <row r="114" spans="1:150" ht="15">
      <c r="B114" s="309"/>
      <c r="C114" s="554">
        <f t="shared" si="115"/>
        <v>5</v>
      </c>
      <c r="D114" s="171"/>
      <c r="E114" s="316"/>
      <c r="F114" s="413"/>
      <c r="G114" s="318"/>
      <c r="H114" s="333">
        <f t="shared" si="99"/>
        <v>0</v>
      </c>
      <c r="I114" s="15" t="s">
        <v>411</v>
      </c>
      <c r="J114" s="15" t="s">
        <v>3</v>
      </c>
      <c r="K114" s="25">
        <f t="shared" si="100"/>
        <v>1.9221853757639424</v>
      </c>
      <c r="L114" s="351">
        <f t="shared" si="101"/>
        <v>0</v>
      </c>
      <c r="M114" s="73"/>
      <c r="N114" s="318"/>
      <c r="O114" s="319">
        <f t="shared" si="102"/>
        <v>0</v>
      </c>
      <c r="P114" s="15" t="s">
        <v>125</v>
      </c>
      <c r="Q114" s="383" t="s">
        <v>348</v>
      </c>
      <c r="R114" s="22">
        <f t="shared" si="103"/>
        <v>4.8064250364478198</v>
      </c>
      <c r="S114" s="351">
        <f t="shared" si="104"/>
        <v>0</v>
      </c>
      <c r="T114" s="39" t="s">
        <v>2026</v>
      </c>
      <c r="U114" s="1142" t="s">
        <v>485</v>
      </c>
      <c r="V114" s="22">
        <f>IF(T114=Local,0,VLOOKUP(U114,Long_distance_values_subs,Subrates!$C$5,FALSE))</f>
        <v>0</v>
      </c>
      <c r="W114" s="22">
        <f>IF(T114=Local,0,Subrates!$D$122)</f>
        <v>0</v>
      </c>
      <c r="X114" s="1143"/>
      <c r="Y114" s="158">
        <f>IF(X114="",O114*VLOOKUP(U114,Long_distance_values_subs,Subrates!$H$5,FALSE)*V114+O114*W114,O114*X114)</f>
        <v>0</v>
      </c>
      <c r="Z114" s="332"/>
      <c r="AA114" s="338" t="s">
        <v>48</v>
      </c>
      <c r="AB114" s="1096" t="str">
        <f>IF(AA114=Lists!$B$18,"N/A",VLOOKUP(AA114,Lists!$B$18:$D$26,Lists!$C$3,FALSE))</f>
        <v>N/A</v>
      </c>
      <c r="AC114" s="22">
        <f>IF(AA114=Lists!$B$18,0,VLOOKUP(AB114,Amend_TOV,TOV!$F$1,FALSE))</f>
        <v>0</v>
      </c>
      <c r="AD114" s="117"/>
      <c r="AE114" s="332"/>
      <c r="AF114" s="17" t="s">
        <v>48</v>
      </c>
      <c r="AG114" s="367" t="str">
        <f>IF(AF114=Lists!$B$18,"N/A",VLOOKUP(AF114,Lists!$B$18:$D$26,Lists!$C$3,FALSE))</f>
        <v>N/A</v>
      </c>
      <c r="AH114" s="22">
        <f>IF(AF114=Lists!$B$18,0,VLOOKUP(AG114,Amend_TOV,TOV!$F$1,FALSE))</f>
        <v>0</v>
      </c>
      <c r="AI114" s="117"/>
      <c r="AJ114" s="332"/>
      <c r="AK114" s="338" t="s">
        <v>48</v>
      </c>
      <c r="AL114" s="1096" t="str">
        <f>IF(AK114=Lists!$B$18,"N/A",VLOOKUP(AK114,Lists!$B$18:$D$26,Lists!$C$3,FALSE))</f>
        <v>N/A</v>
      </c>
      <c r="AM114" s="22">
        <f>IF(AK114=Lists!$B$18,0,VLOOKUP(AL114,Amend_TOV,TOV!$F$1,FALSE))</f>
        <v>0</v>
      </c>
      <c r="AN114" s="117"/>
      <c r="AO114" s="347">
        <f t="shared" si="105"/>
        <v>0</v>
      </c>
      <c r="AP114" s="316">
        <f t="shared" si="106"/>
        <v>0</v>
      </c>
      <c r="AQ114" s="31">
        <v>1</v>
      </c>
      <c r="AR114" s="31"/>
      <c r="AS114" s="9">
        <f t="shared" si="107"/>
        <v>0</v>
      </c>
      <c r="AT114" s="7" t="str">
        <f t="shared" si="108"/>
        <v>No Alert</v>
      </c>
      <c r="AU114" s="415">
        <f t="shared" si="109"/>
        <v>0</v>
      </c>
      <c r="AV114" s="415">
        <f t="shared" si="110"/>
        <v>0</v>
      </c>
      <c r="AW114" s="351">
        <f t="shared" si="116"/>
        <v>0</v>
      </c>
      <c r="AX114" s="351">
        <f t="shared" si="111"/>
        <v>0</v>
      </c>
      <c r="AY114" s="12"/>
      <c r="AZ114" s="119">
        <f t="shared" si="112"/>
        <v>0</v>
      </c>
      <c r="BA114" s="1126">
        <f t="shared" si="113"/>
        <v>0</v>
      </c>
      <c r="BB114" s="1127">
        <f t="shared" si="114"/>
        <v>0</v>
      </c>
      <c r="BC114" s="215"/>
      <c r="BD114" s="217"/>
      <c r="BE114" s="217"/>
      <c r="BF114" s="217"/>
      <c r="BG114" s="217"/>
      <c r="BH114" s="217"/>
      <c r="BI114" s="217"/>
      <c r="BJ114" s="218"/>
      <c r="DV114" s="1068"/>
      <c r="ET114" s="475"/>
    </row>
    <row r="115" spans="1:150" ht="15">
      <c r="B115" s="309"/>
      <c r="C115" s="554">
        <f t="shared" si="115"/>
        <v>6</v>
      </c>
      <c r="D115" s="171"/>
      <c r="E115" s="316"/>
      <c r="F115" s="413"/>
      <c r="G115" s="318"/>
      <c r="H115" s="333">
        <f t="shared" si="99"/>
        <v>0</v>
      </c>
      <c r="I115" s="15" t="s">
        <v>411</v>
      </c>
      <c r="J115" s="15" t="s">
        <v>3</v>
      </c>
      <c r="K115" s="25">
        <f t="shared" si="100"/>
        <v>1.9221853757639424</v>
      </c>
      <c r="L115" s="351">
        <f t="shared" si="101"/>
        <v>0</v>
      </c>
      <c r="M115" s="73"/>
      <c r="N115" s="318"/>
      <c r="O115" s="319">
        <f t="shared" si="102"/>
        <v>0</v>
      </c>
      <c r="P115" s="15" t="s">
        <v>125</v>
      </c>
      <c r="Q115" s="383" t="s">
        <v>348</v>
      </c>
      <c r="R115" s="22">
        <f t="shared" si="103"/>
        <v>4.8064250364478198</v>
      </c>
      <c r="S115" s="351">
        <f t="shared" si="104"/>
        <v>0</v>
      </c>
      <c r="T115" s="39" t="s">
        <v>2026</v>
      </c>
      <c r="U115" s="1142" t="s">
        <v>485</v>
      </c>
      <c r="V115" s="22">
        <f>IF(T115=Local,0,VLOOKUP(U115,Long_distance_values_subs,Subrates!$C$5,FALSE))</f>
        <v>0</v>
      </c>
      <c r="W115" s="22">
        <f>IF(T115=Local,0,Subrates!$D$122)</f>
        <v>0</v>
      </c>
      <c r="X115" s="1143"/>
      <c r="Y115" s="158">
        <f>IF(X115="",O115*VLOOKUP(U115,Long_distance_values_subs,Subrates!$H$5,FALSE)*V115+O115*W115,O115*X115)</f>
        <v>0</v>
      </c>
      <c r="Z115" s="332"/>
      <c r="AA115" s="338" t="s">
        <v>48</v>
      </c>
      <c r="AB115" s="1096" t="str">
        <f>IF(AA115=Lists!$B$18,"N/A",VLOOKUP(AA115,Lists!$B$18:$D$26,Lists!$C$3,FALSE))</f>
        <v>N/A</v>
      </c>
      <c r="AC115" s="22">
        <f>IF(AA115=Lists!$B$18,0,VLOOKUP(AB115,Amend_TOV,TOV!$F$1,FALSE))</f>
        <v>0</v>
      </c>
      <c r="AD115" s="117"/>
      <c r="AE115" s="332"/>
      <c r="AF115" s="17" t="s">
        <v>48</v>
      </c>
      <c r="AG115" s="367" t="str">
        <f>IF(AF115=Lists!$B$18,"N/A",VLOOKUP(AF115,Lists!$B$18:$D$26,Lists!$C$3,FALSE))</f>
        <v>N/A</v>
      </c>
      <c r="AH115" s="22">
        <f>IF(AF115=Lists!$B$18,0,VLOOKUP(AG115,Amend_TOV,TOV!$F$1,FALSE))</f>
        <v>0</v>
      </c>
      <c r="AI115" s="117"/>
      <c r="AJ115" s="332"/>
      <c r="AK115" s="338" t="s">
        <v>48</v>
      </c>
      <c r="AL115" s="1096" t="str">
        <f>IF(AK115=Lists!$B$18,"N/A",VLOOKUP(AK115,Lists!$B$18:$D$26,Lists!$C$3,FALSE))</f>
        <v>N/A</v>
      </c>
      <c r="AM115" s="22">
        <f>IF(AK115=Lists!$B$18,0,VLOOKUP(AL115,Amend_TOV,TOV!$F$1,FALSE))</f>
        <v>0</v>
      </c>
      <c r="AN115" s="117"/>
      <c r="AO115" s="347">
        <f t="shared" si="105"/>
        <v>0</v>
      </c>
      <c r="AP115" s="316">
        <f t="shared" si="106"/>
        <v>0</v>
      </c>
      <c r="AQ115" s="31">
        <v>1</v>
      </c>
      <c r="AR115" s="31"/>
      <c r="AS115" s="9">
        <f t="shared" si="107"/>
        <v>0</v>
      </c>
      <c r="AT115" s="7" t="str">
        <f t="shared" si="108"/>
        <v>No Alert</v>
      </c>
      <c r="AU115" s="415">
        <f t="shared" si="109"/>
        <v>0</v>
      </c>
      <c r="AV115" s="415">
        <f t="shared" si="110"/>
        <v>0</v>
      </c>
      <c r="AW115" s="351">
        <f t="shared" si="116"/>
        <v>0</v>
      </c>
      <c r="AX115" s="351">
        <f t="shared" si="111"/>
        <v>0</v>
      </c>
      <c r="AY115" s="12"/>
      <c r="AZ115" s="119">
        <f t="shared" si="112"/>
        <v>0</v>
      </c>
      <c r="BA115" s="1126">
        <f t="shared" si="113"/>
        <v>0</v>
      </c>
      <c r="BB115" s="1127">
        <f t="shared" si="114"/>
        <v>0</v>
      </c>
      <c r="BC115" s="215"/>
      <c r="BD115" s="217"/>
      <c r="BE115" s="217"/>
      <c r="BF115" s="217"/>
      <c r="BG115" s="217"/>
      <c r="BH115" s="217"/>
      <c r="BI115" s="217"/>
      <c r="BJ115" s="218"/>
      <c r="DV115" s="1068"/>
      <c r="ET115" s="475"/>
    </row>
    <row r="116" spans="1:150" ht="15">
      <c r="B116" s="309"/>
      <c r="C116" s="554">
        <f t="shared" si="115"/>
        <v>7</v>
      </c>
      <c r="D116" s="171"/>
      <c r="E116" s="316"/>
      <c r="F116" s="413"/>
      <c r="G116" s="318"/>
      <c r="H116" s="333">
        <f t="shared" si="99"/>
        <v>0</v>
      </c>
      <c r="I116" s="15" t="s">
        <v>411</v>
      </c>
      <c r="J116" s="15" t="s">
        <v>3</v>
      </c>
      <c r="K116" s="25">
        <f t="shared" si="100"/>
        <v>1.9221853757639424</v>
      </c>
      <c r="L116" s="351">
        <f t="shared" si="101"/>
        <v>0</v>
      </c>
      <c r="M116" s="73"/>
      <c r="N116" s="318"/>
      <c r="O116" s="319">
        <f t="shared" si="102"/>
        <v>0</v>
      </c>
      <c r="P116" s="15" t="s">
        <v>125</v>
      </c>
      <c r="Q116" s="383" t="s">
        <v>348</v>
      </c>
      <c r="R116" s="22">
        <f t="shared" si="103"/>
        <v>4.8064250364478198</v>
      </c>
      <c r="S116" s="351">
        <f t="shared" si="104"/>
        <v>0</v>
      </c>
      <c r="T116" s="39" t="s">
        <v>2026</v>
      </c>
      <c r="U116" s="1142" t="s">
        <v>485</v>
      </c>
      <c r="V116" s="22">
        <f>IF(T116=Local,0,VLOOKUP(U116,Long_distance_values_subs,Subrates!$C$5,FALSE))</f>
        <v>0</v>
      </c>
      <c r="W116" s="22">
        <f>IF(T116=Local,0,Subrates!$D$122)</f>
        <v>0</v>
      </c>
      <c r="X116" s="1143"/>
      <c r="Y116" s="158">
        <f>IF(X116="",O116*VLOOKUP(U116,Long_distance_values_subs,Subrates!$H$5,FALSE)*V116+O116*W116,O116*X116)</f>
        <v>0</v>
      </c>
      <c r="Z116" s="332"/>
      <c r="AA116" s="338" t="s">
        <v>48</v>
      </c>
      <c r="AB116" s="1096" t="str">
        <f>IF(AA116=Lists!$B$18,"N/A",VLOOKUP(AA116,Lists!$B$18:$D$26,Lists!$C$3,FALSE))</f>
        <v>N/A</v>
      </c>
      <c r="AC116" s="22">
        <f>IF(AA116=Lists!$B$18,0,VLOOKUP(AB116,Amend_TOV,TOV!$F$1,FALSE))</f>
        <v>0</v>
      </c>
      <c r="AD116" s="117"/>
      <c r="AE116" s="332"/>
      <c r="AF116" s="17" t="s">
        <v>48</v>
      </c>
      <c r="AG116" s="367" t="str">
        <f>IF(AF116=Lists!$B$18,"N/A",VLOOKUP(AF116,Lists!$B$18:$D$26,Lists!$C$3,FALSE))</f>
        <v>N/A</v>
      </c>
      <c r="AH116" s="22">
        <f>IF(AF116=Lists!$B$18,0,VLOOKUP(AG116,Amend_TOV,TOV!$F$1,FALSE))</f>
        <v>0</v>
      </c>
      <c r="AI116" s="117"/>
      <c r="AJ116" s="332"/>
      <c r="AK116" s="338" t="s">
        <v>48</v>
      </c>
      <c r="AL116" s="1096" t="str">
        <f>IF(AK116=Lists!$B$18,"N/A",VLOOKUP(AK116,Lists!$B$18:$D$26,Lists!$C$3,FALSE))</f>
        <v>N/A</v>
      </c>
      <c r="AM116" s="22">
        <f>IF(AK116=Lists!$B$18,0,VLOOKUP(AL116,Amend_TOV,TOV!$F$1,FALSE))</f>
        <v>0</v>
      </c>
      <c r="AN116" s="117"/>
      <c r="AO116" s="347">
        <f t="shared" si="105"/>
        <v>0</v>
      </c>
      <c r="AP116" s="316">
        <f t="shared" si="106"/>
        <v>0</v>
      </c>
      <c r="AQ116" s="31">
        <v>1</v>
      </c>
      <c r="AR116" s="31"/>
      <c r="AS116" s="9">
        <f t="shared" si="107"/>
        <v>0</v>
      </c>
      <c r="AT116" s="7" t="str">
        <f t="shared" si="108"/>
        <v>No Alert</v>
      </c>
      <c r="AU116" s="415">
        <f t="shared" si="109"/>
        <v>0</v>
      </c>
      <c r="AV116" s="415">
        <f t="shared" si="110"/>
        <v>0</v>
      </c>
      <c r="AW116" s="351">
        <f t="shared" si="116"/>
        <v>0</v>
      </c>
      <c r="AX116" s="351">
        <f t="shared" si="111"/>
        <v>0</v>
      </c>
      <c r="AY116" s="12"/>
      <c r="AZ116" s="119">
        <f t="shared" si="112"/>
        <v>0</v>
      </c>
      <c r="BA116" s="1126">
        <f t="shared" si="113"/>
        <v>0</v>
      </c>
      <c r="BB116" s="1127">
        <f t="shared" si="114"/>
        <v>0</v>
      </c>
      <c r="BC116" s="215"/>
      <c r="BD116" s="217"/>
      <c r="BE116" s="217"/>
      <c r="BF116" s="217"/>
      <c r="BG116" s="217"/>
      <c r="BH116" s="217"/>
      <c r="BI116" s="217"/>
      <c r="BJ116" s="218"/>
      <c r="DV116" s="1068"/>
      <c r="ET116" s="475"/>
    </row>
    <row r="117" spans="1:150" ht="15">
      <c r="B117" s="309"/>
      <c r="C117" s="554">
        <f t="shared" si="115"/>
        <v>8</v>
      </c>
      <c r="D117" s="171"/>
      <c r="E117" s="316"/>
      <c r="F117" s="413"/>
      <c r="G117" s="318"/>
      <c r="H117" s="333">
        <f t="shared" si="99"/>
        <v>0</v>
      </c>
      <c r="I117" s="15" t="s">
        <v>411</v>
      </c>
      <c r="J117" s="15" t="s">
        <v>3</v>
      </c>
      <c r="K117" s="25">
        <f t="shared" si="100"/>
        <v>1.9221853757639424</v>
      </c>
      <c r="L117" s="351">
        <f t="shared" si="101"/>
        <v>0</v>
      </c>
      <c r="M117" s="73"/>
      <c r="N117" s="318"/>
      <c r="O117" s="319">
        <f t="shared" si="102"/>
        <v>0</v>
      </c>
      <c r="P117" s="15" t="s">
        <v>125</v>
      </c>
      <c r="Q117" s="383" t="s">
        <v>348</v>
      </c>
      <c r="R117" s="22">
        <f t="shared" si="103"/>
        <v>4.8064250364478198</v>
      </c>
      <c r="S117" s="351">
        <f t="shared" si="104"/>
        <v>0</v>
      </c>
      <c r="T117" s="39" t="s">
        <v>2026</v>
      </c>
      <c r="U117" s="1142" t="s">
        <v>485</v>
      </c>
      <c r="V117" s="22">
        <f>IF(T117=Local,0,VLOOKUP(U117,Long_distance_values_subs,Subrates!$C$5,FALSE))</f>
        <v>0</v>
      </c>
      <c r="W117" s="22">
        <f>IF(T117=Local,0,Subrates!$D$122)</f>
        <v>0</v>
      </c>
      <c r="X117" s="1143"/>
      <c r="Y117" s="158">
        <f>IF(X117="",O117*VLOOKUP(U117,Long_distance_values_subs,Subrates!$H$5,FALSE)*V117+O117*W117,O117*X117)</f>
        <v>0</v>
      </c>
      <c r="Z117" s="332"/>
      <c r="AA117" s="338" t="s">
        <v>48</v>
      </c>
      <c r="AB117" s="1096" t="str">
        <f>IF(AA117=Lists!$B$18,"N/A",VLOOKUP(AA117,Lists!$B$18:$D$26,Lists!$C$3,FALSE))</f>
        <v>N/A</v>
      </c>
      <c r="AC117" s="22">
        <f>IF(AA117=Lists!$B$18,0,VLOOKUP(AB117,Amend_TOV,TOV!$F$1,FALSE))</f>
        <v>0</v>
      </c>
      <c r="AD117" s="117"/>
      <c r="AE117" s="332"/>
      <c r="AF117" s="17" t="s">
        <v>48</v>
      </c>
      <c r="AG117" s="367" t="str">
        <f>IF(AF117=Lists!$B$18,"N/A",VLOOKUP(AF117,Lists!$B$18:$D$26,Lists!$C$3,FALSE))</f>
        <v>N/A</v>
      </c>
      <c r="AH117" s="22">
        <f>IF(AF117=Lists!$B$18,0,VLOOKUP(AG117,Amend_TOV,TOV!$F$1,FALSE))</f>
        <v>0</v>
      </c>
      <c r="AI117" s="117"/>
      <c r="AJ117" s="332"/>
      <c r="AK117" s="338" t="s">
        <v>48</v>
      </c>
      <c r="AL117" s="1096" t="str">
        <f>IF(AK117=Lists!$B$18,"N/A",VLOOKUP(AK117,Lists!$B$18:$D$26,Lists!$C$3,FALSE))</f>
        <v>N/A</v>
      </c>
      <c r="AM117" s="22">
        <f>IF(AK117=Lists!$B$18,0,VLOOKUP(AL117,Amend_TOV,TOV!$F$1,FALSE))</f>
        <v>0</v>
      </c>
      <c r="AN117" s="117"/>
      <c r="AO117" s="347">
        <f t="shared" si="105"/>
        <v>0</v>
      </c>
      <c r="AP117" s="316">
        <f t="shared" si="106"/>
        <v>0</v>
      </c>
      <c r="AQ117" s="31">
        <v>1</v>
      </c>
      <c r="AR117" s="31"/>
      <c r="AS117" s="9">
        <f t="shared" si="107"/>
        <v>0</v>
      </c>
      <c r="AT117" s="7" t="str">
        <f t="shared" si="108"/>
        <v>No Alert</v>
      </c>
      <c r="AU117" s="415">
        <f t="shared" si="109"/>
        <v>0</v>
      </c>
      <c r="AV117" s="415">
        <f t="shared" si="110"/>
        <v>0</v>
      </c>
      <c r="AW117" s="351">
        <f t="shared" si="116"/>
        <v>0</v>
      </c>
      <c r="AX117" s="351">
        <f t="shared" si="111"/>
        <v>0</v>
      </c>
      <c r="AY117" s="12"/>
      <c r="AZ117" s="119">
        <f t="shared" si="112"/>
        <v>0</v>
      </c>
      <c r="BA117" s="1126">
        <f t="shared" si="113"/>
        <v>0</v>
      </c>
      <c r="BB117" s="1127">
        <f t="shared" si="114"/>
        <v>0</v>
      </c>
      <c r="BC117" s="215"/>
      <c r="BD117" s="217"/>
      <c r="BE117" s="217"/>
      <c r="BF117" s="217"/>
      <c r="BG117" s="217"/>
      <c r="BH117" s="217"/>
      <c r="BI117" s="217"/>
      <c r="BJ117" s="218"/>
      <c r="DV117" s="1068"/>
      <c r="ET117" s="475"/>
    </row>
    <row r="118" spans="1:150" ht="15">
      <c r="B118" s="309"/>
      <c r="C118" s="554">
        <f t="shared" si="115"/>
        <v>9</v>
      </c>
      <c r="D118" s="171"/>
      <c r="E118" s="316"/>
      <c r="F118" s="413"/>
      <c r="G118" s="318"/>
      <c r="H118" s="333">
        <f t="shared" si="99"/>
        <v>0</v>
      </c>
      <c r="I118" s="15" t="s">
        <v>411</v>
      </c>
      <c r="J118" s="15" t="s">
        <v>3</v>
      </c>
      <c r="K118" s="25">
        <f t="shared" si="100"/>
        <v>1.9221853757639424</v>
      </c>
      <c r="L118" s="351">
        <f t="shared" si="101"/>
        <v>0</v>
      </c>
      <c r="M118" s="73"/>
      <c r="N118" s="318"/>
      <c r="O118" s="319">
        <f t="shared" si="102"/>
        <v>0</v>
      </c>
      <c r="P118" s="15" t="s">
        <v>125</v>
      </c>
      <c r="Q118" s="383" t="s">
        <v>348</v>
      </c>
      <c r="R118" s="22">
        <f t="shared" si="103"/>
        <v>4.8064250364478198</v>
      </c>
      <c r="S118" s="351">
        <f t="shared" si="104"/>
        <v>0</v>
      </c>
      <c r="T118" s="39" t="s">
        <v>2026</v>
      </c>
      <c r="U118" s="1142" t="s">
        <v>485</v>
      </c>
      <c r="V118" s="22">
        <f>IF(T118=Local,0,VLOOKUP(U118,Long_distance_values_subs,Subrates!$C$5,FALSE))</f>
        <v>0</v>
      </c>
      <c r="W118" s="22">
        <f>IF(T118=Local,0,Subrates!$D$122)</f>
        <v>0</v>
      </c>
      <c r="X118" s="1143"/>
      <c r="Y118" s="158">
        <f>IF(X118="",O118*VLOOKUP(U118,Long_distance_values_subs,Subrates!$H$5,FALSE)*V118+O118*W118,O118*X118)</f>
        <v>0</v>
      </c>
      <c r="Z118" s="332"/>
      <c r="AA118" s="338" t="s">
        <v>48</v>
      </c>
      <c r="AB118" s="1096" t="str">
        <f>IF(AA118=Lists!$B$18,"N/A",VLOOKUP(AA118,Lists!$B$18:$D$26,Lists!$C$3,FALSE))</f>
        <v>N/A</v>
      </c>
      <c r="AC118" s="22">
        <f>IF(AA118=Lists!$B$18,0,VLOOKUP(AB118,Amend_TOV,TOV!$F$1,FALSE))</f>
        <v>0</v>
      </c>
      <c r="AD118" s="117"/>
      <c r="AE118" s="332"/>
      <c r="AF118" s="17" t="s">
        <v>48</v>
      </c>
      <c r="AG118" s="367" t="str">
        <f>IF(AF118=Lists!$B$18,"N/A",VLOOKUP(AF118,Lists!$B$18:$D$26,Lists!$C$3,FALSE))</f>
        <v>N/A</v>
      </c>
      <c r="AH118" s="22">
        <f>IF(AF118=Lists!$B$18,0,VLOOKUP(AG118,Amend_TOV,TOV!$F$1,FALSE))</f>
        <v>0</v>
      </c>
      <c r="AI118" s="117"/>
      <c r="AJ118" s="332"/>
      <c r="AK118" s="338" t="s">
        <v>48</v>
      </c>
      <c r="AL118" s="1096" t="str">
        <f>IF(AK118=Lists!$B$18,"N/A",VLOOKUP(AK118,Lists!$B$18:$D$26,Lists!$C$3,FALSE))</f>
        <v>N/A</v>
      </c>
      <c r="AM118" s="22">
        <f>IF(AK118=Lists!$B$18,0,VLOOKUP(AL118,Amend_TOV,TOV!$F$1,FALSE))</f>
        <v>0</v>
      </c>
      <c r="AN118" s="117"/>
      <c r="AO118" s="347">
        <f t="shared" si="105"/>
        <v>0</v>
      </c>
      <c r="AP118" s="316">
        <f t="shared" si="106"/>
        <v>0</v>
      </c>
      <c r="AQ118" s="31">
        <v>1</v>
      </c>
      <c r="AR118" s="31"/>
      <c r="AS118" s="9">
        <f t="shared" si="107"/>
        <v>0</v>
      </c>
      <c r="AT118" s="7" t="str">
        <f t="shared" si="108"/>
        <v>No Alert</v>
      </c>
      <c r="AU118" s="415">
        <f t="shared" si="109"/>
        <v>0</v>
      </c>
      <c r="AV118" s="415">
        <f t="shared" si="110"/>
        <v>0</v>
      </c>
      <c r="AW118" s="351">
        <f t="shared" si="116"/>
        <v>0</v>
      </c>
      <c r="AX118" s="351">
        <f t="shared" si="111"/>
        <v>0</v>
      </c>
      <c r="AY118" s="12"/>
      <c r="AZ118" s="119">
        <f t="shared" si="112"/>
        <v>0</v>
      </c>
      <c r="BA118" s="1126">
        <f t="shared" si="113"/>
        <v>0</v>
      </c>
      <c r="BB118" s="1127">
        <f t="shared" si="114"/>
        <v>0</v>
      </c>
      <c r="BC118" s="215"/>
      <c r="BD118" s="217"/>
      <c r="BE118" s="217"/>
      <c r="BF118" s="217"/>
      <c r="BG118" s="217"/>
      <c r="BH118" s="217"/>
      <c r="BI118" s="217"/>
      <c r="BJ118" s="218"/>
      <c r="DV118" s="1068"/>
      <c r="ET118" s="475"/>
    </row>
    <row r="119" spans="1:150" ht="15">
      <c r="B119" s="309"/>
      <c r="C119" s="554">
        <f t="shared" si="115"/>
        <v>10</v>
      </c>
      <c r="D119" s="171"/>
      <c r="E119" s="316"/>
      <c r="F119" s="413"/>
      <c r="G119" s="318"/>
      <c r="H119" s="333">
        <f t="shared" si="99"/>
        <v>0</v>
      </c>
      <c r="I119" s="15" t="s">
        <v>411</v>
      </c>
      <c r="J119" s="15" t="s">
        <v>3</v>
      </c>
      <c r="K119" s="25">
        <f t="shared" si="100"/>
        <v>1.9221853757639424</v>
      </c>
      <c r="L119" s="351">
        <f t="shared" si="101"/>
        <v>0</v>
      </c>
      <c r="M119" s="73"/>
      <c r="N119" s="318"/>
      <c r="O119" s="319">
        <f t="shared" si="102"/>
        <v>0</v>
      </c>
      <c r="P119" s="15" t="s">
        <v>125</v>
      </c>
      <c r="Q119" s="383" t="s">
        <v>348</v>
      </c>
      <c r="R119" s="22">
        <f t="shared" si="103"/>
        <v>4.8064250364478198</v>
      </c>
      <c r="S119" s="351">
        <f t="shared" si="104"/>
        <v>0</v>
      </c>
      <c r="T119" s="39" t="s">
        <v>2026</v>
      </c>
      <c r="U119" s="1142" t="s">
        <v>485</v>
      </c>
      <c r="V119" s="22">
        <f>IF(T119=Local,0,VLOOKUP(U119,Long_distance_values_subs,Subrates!$C$5,FALSE))</f>
        <v>0</v>
      </c>
      <c r="W119" s="22">
        <f>IF(T119=Local,0,Subrates!$D$122)</f>
        <v>0</v>
      </c>
      <c r="X119" s="1143"/>
      <c r="Y119" s="158">
        <f>IF(X119="",O119*VLOOKUP(U119,Long_distance_values_subs,Subrates!$H$5,FALSE)*V119+O119*W119,O119*X119)</f>
        <v>0</v>
      </c>
      <c r="Z119" s="332"/>
      <c r="AA119" s="338" t="s">
        <v>48</v>
      </c>
      <c r="AB119" s="1096" t="str">
        <f>IF(AA119=Lists!$B$18,"N/A",VLOOKUP(AA119,Lists!$B$18:$D$26,Lists!$C$3,FALSE))</f>
        <v>N/A</v>
      </c>
      <c r="AC119" s="22">
        <f>IF(AA119=Lists!$B$18,0,VLOOKUP(AB119,Amend_TOV,TOV!$F$1,FALSE))</f>
        <v>0</v>
      </c>
      <c r="AD119" s="117"/>
      <c r="AE119" s="332"/>
      <c r="AF119" s="17" t="s">
        <v>48</v>
      </c>
      <c r="AG119" s="367" t="str">
        <f>IF(AF119=Lists!$B$18,"N/A",VLOOKUP(AF119,Lists!$B$18:$D$26,Lists!$C$3,FALSE))</f>
        <v>N/A</v>
      </c>
      <c r="AH119" s="22">
        <f>IF(AF119=Lists!$B$18,0,VLOOKUP(AG119,Amend_TOV,TOV!$F$1,FALSE))</f>
        <v>0</v>
      </c>
      <c r="AI119" s="117"/>
      <c r="AJ119" s="332"/>
      <c r="AK119" s="338" t="s">
        <v>48</v>
      </c>
      <c r="AL119" s="1096" t="str">
        <f>IF(AK119=Lists!$B$18,"N/A",VLOOKUP(AK119,Lists!$B$18:$D$26,Lists!$C$3,FALSE))</f>
        <v>N/A</v>
      </c>
      <c r="AM119" s="22">
        <f>IF(AK119=Lists!$B$18,0,VLOOKUP(AL119,Amend_TOV,TOV!$F$1,FALSE))</f>
        <v>0</v>
      </c>
      <c r="AN119" s="117"/>
      <c r="AO119" s="347">
        <f t="shared" si="105"/>
        <v>0</v>
      </c>
      <c r="AP119" s="316">
        <f t="shared" si="106"/>
        <v>0</v>
      </c>
      <c r="AQ119" s="31">
        <v>1</v>
      </c>
      <c r="AR119" s="31"/>
      <c r="AS119" s="9">
        <f t="shared" si="107"/>
        <v>0</v>
      </c>
      <c r="AT119" s="7" t="str">
        <f t="shared" si="108"/>
        <v>No Alert</v>
      </c>
      <c r="AU119" s="415">
        <f t="shared" si="109"/>
        <v>0</v>
      </c>
      <c r="AV119" s="415">
        <f t="shared" si="110"/>
        <v>0</v>
      </c>
      <c r="AW119" s="351">
        <f t="shared" si="116"/>
        <v>0</v>
      </c>
      <c r="AX119" s="351">
        <f t="shared" si="111"/>
        <v>0</v>
      </c>
      <c r="AY119" s="12"/>
      <c r="AZ119" s="119">
        <f t="shared" si="112"/>
        <v>0</v>
      </c>
      <c r="BA119" s="1126">
        <f t="shared" si="113"/>
        <v>0</v>
      </c>
      <c r="BB119" s="1127">
        <f t="shared" si="114"/>
        <v>0</v>
      </c>
      <c r="BC119" s="215"/>
      <c r="BD119" s="217"/>
      <c r="BE119" s="217"/>
      <c r="BF119" s="217"/>
      <c r="BG119" s="217"/>
      <c r="BH119" s="217"/>
      <c r="BI119" s="217"/>
      <c r="BJ119" s="218"/>
      <c r="DV119" s="1068"/>
      <c r="ET119" s="475"/>
    </row>
    <row r="120" spans="1:150" ht="12.75">
      <c r="B120" s="579"/>
      <c r="C120" s="1128"/>
      <c r="D120" s="1129"/>
      <c r="E120" s="795"/>
      <c r="F120" s="1040"/>
      <c r="G120" s="334"/>
      <c r="H120" s="334"/>
      <c r="I120" s="1130"/>
      <c r="J120" s="475"/>
      <c r="K120" s="475"/>
      <c r="L120" s="1105"/>
      <c r="M120" s="137"/>
      <c r="N120" s="334"/>
      <c r="O120" s="334"/>
      <c r="P120" s="475"/>
      <c r="Q120" s="434"/>
      <c r="R120" s="475"/>
      <c r="S120" s="414"/>
      <c r="T120" s="475"/>
      <c r="U120" s="475"/>
      <c r="V120" s="475"/>
      <c r="W120" s="475"/>
      <c r="X120" s="475"/>
      <c r="Y120" s="475"/>
      <c r="Z120" s="334"/>
      <c r="AA120" s="1130"/>
      <c r="AB120" s="1130"/>
      <c r="AC120" s="1130"/>
      <c r="AD120" s="475"/>
      <c r="AE120" s="1001"/>
      <c r="AF120" s="1130"/>
      <c r="AG120" s="1130"/>
      <c r="AH120" s="475"/>
      <c r="AI120" s="475"/>
      <c r="AJ120" s="1001"/>
      <c r="AK120" s="1130"/>
      <c r="AL120" s="1130"/>
      <c r="AM120" s="475"/>
      <c r="AN120" s="475"/>
      <c r="AO120" s="434"/>
      <c r="AP120" s="334"/>
      <c r="AQ120" s="475"/>
      <c r="AR120" s="475"/>
      <c r="AS120" s="475"/>
      <c r="AT120" s="475"/>
      <c r="AU120" s="1105"/>
      <c r="AV120" s="1105"/>
      <c r="AW120" s="414"/>
      <c r="AX120" s="953"/>
      <c r="AY120" s="434"/>
      <c r="AZ120" s="120"/>
      <c r="BA120" s="1131"/>
      <c r="BB120" s="475"/>
      <c r="BC120" s="475"/>
      <c r="BD120" s="475"/>
      <c r="BF120" s="475"/>
      <c r="BH120" s="475"/>
      <c r="DV120" s="1068"/>
      <c r="ET120" s="475"/>
    </row>
    <row r="121" spans="1:150" ht="15">
      <c r="A121" s="804"/>
      <c r="E121" s="372">
        <f>SUM(E109:E119)</f>
        <v>0</v>
      </c>
      <c r="F121" s="1040"/>
      <c r="G121" s="372">
        <f>SUM(G109:G119)</f>
        <v>0</v>
      </c>
      <c r="H121" s="372">
        <f>SUM(H109:H119)</f>
        <v>0</v>
      </c>
      <c r="I121" s="475"/>
      <c r="J121" s="475"/>
      <c r="K121" s="475"/>
      <c r="L121" s="35">
        <f>SUM(L110:L119)</f>
        <v>0</v>
      </c>
      <c r="M121" s="1040"/>
      <c r="N121" s="795"/>
      <c r="O121" s="372">
        <f>SUM(O109:O120)</f>
        <v>0</v>
      </c>
      <c r="P121" s="475"/>
      <c r="Q121" s="475"/>
      <c r="R121" s="475"/>
      <c r="S121" s="351">
        <f>SUM(S110:S119)</f>
        <v>0</v>
      </c>
      <c r="T121" s="475"/>
      <c r="U121" s="8"/>
      <c r="V121" s="475"/>
      <c r="W121" s="475"/>
      <c r="X121" s="475"/>
      <c r="Y121" s="347">
        <f>SUM(Y110:Y119)</f>
        <v>0</v>
      </c>
      <c r="Z121" s="372">
        <f>SUM(Z109:Z120)</f>
        <v>0</v>
      </c>
      <c r="AA121" s="1132"/>
      <c r="AB121" s="1132"/>
      <c r="AC121" s="1132"/>
      <c r="AD121" s="475"/>
      <c r="AE121" s="372">
        <f>SUM(AE109:AE120)</f>
        <v>0</v>
      </c>
      <c r="AF121" s="1132"/>
      <c r="AG121" s="1132"/>
      <c r="AH121" s="475"/>
      <c r="AI121" s="475"/>
      <c r="AJ121" s="372">
        <f>SUM(AJ109:AJ120)</f>
        <v>0</v>
      </c>
      <c r="AK121" s="1132"/>
      <c r="AL121" s="1132"/>
      <c r="AM121" s="475"/>
      <c r="AN121" s="475"/>
      <c r="AO121" s="347">
        <f>SUM(AO109:AO120)</f>
        <v>0</v>
      </c>
      <c r="AP121" s="372">
        <f>SUM(AP109:AP120)</f>
        <v>0</v>
      </c>
      <c r="AQ121" s="475"/>
      <c r="AR121" s="475"/>
      <c r="AS121" s="475"/>
      <c r="AT121" s="1133"/>
      <c r="AU121" s="1105"/>
      <c r="AV121" s="1105"/>
      <c r="AW121" s="351">
        <f>SUM(AW109:AW120)</f>
        <v>0</v>
      </c>
      <c r="AX121" s="351">
        <f>SUM(AX109:AX120)</f>
        <v>0</v>
      </c>
      <c r="AY121" s="347">
        <f>SUM(AY109:AY120)</f>
        <v>0</v>
      </c>
      <c r="AZ121" s="271">
        <f>SUM(AZ109:AZ120)</f>
        <v>0</v>
      </c>
      <c r="BA121" s="18">
        <f>IF(E121=0,0,AZ121/E121)</f>
        <v>0</v>
      </c>
      <c r="BB121" s="475"/>
      <c r="BC121" s="475"/>
      <c r="BD121" s="475"/>
      <c r="BF121" s="475"/>
      <c r="BH121" s="475"/>
      <c r="DV121" s="1068"/>
      <c r="ET121" s="475"/>
    </row>
    <row r="122" spans="1:150">
      <c r="F122" s="1040"/>
      <c r="Y122" s="475"/>
      <c r="AY122" s="475"/>
      <c r="BA122" s="475"/>
      <c r="BB122" s="475"/>
      <c r="BC122" s="475"/>
      <c r="BD122" s="475"/>
      <c r="BF122" s="475"/>
      <c r="BH122" s="475"/>
      <c r="DV122" s="1068"/>
      <c r="ET122" s="475"/>
    </row>
    <row r="123" spans="1:150">
      <c r="BE123" s="474"/>
      <c r="BG123" s="474"/>
      <c r="BI123" s="474"/>
      <c r="BJ123" s="474"/>
      <c r="BK123" s="474"/>
      <c r="BL123" s="474"/>
      <c r="BM123" s="474"/>
      <c r="BO123" s="474"/>
      <c r="BQ123" s="474"/>
      <c r="EM123" s="1068"/>
      <c r="ET123" s="475"/>
    </row>
    <row r="124" spans="1:150">
      <c r="AZ124" s="475"/>
      <c r="BB124" s="475"/>
      <c r="BD124" s="475"/>
      <c r="BF124" s="475"/>
      <c r="BH124" s="475"/>
      <c r="EO124" s="1068"/>
      <c r="ET124" s="475"/>
    </row>
  </sheetData>
  <sheetProtection algorithmName="SHA-512" hashValue="q3VD+GwbRpMKlIz2JDJudPrm01tf6PBEhNIH3oZs4qachIyB1e65Q+gw2VmrE0VEb+I0BO5s44tNWHIWrqKO4w==" saltValue="bTTTpCU5axsMuOG55u6Esg==" spinCount="100000" sheet="1" objects="1" scenarios="1" autoFilter="0"/>
  <dataConsolidate/>
  <phoneticPr fontId="15" type="noConversion"/>
  <conditionalFormatting sqref="I19:I38 DW46:DX46 DF52:DF68 DK52:DK68 DP52:DP68 EC52:EC68 CL76:CM76 BU81:BU97 BZ81:BZ97 CE81:CE97 CN81:CN97 AU105:AV105 AD110:AD119 AI110:AI119 AN110:AN119">
    <cfRule type="cellIs" dxfId="332" priority="5" operator="notEqual">
      <formula>""</formula>
    </cfRule>
  </conditionalFormatting>
  <conditionalFormatting sqref="K19:AM38">
    <cfRule type="expression" dxfId="331" priority="4">
      <formula>$I19&lt;&gt;""</formula>
    </cfRule>
  </conditionalFormatting>
  <conditionalFormatting sqref="R109">
    <cfRule type="containsText" dxfId="330" priority="6" operator="containsText" text="ok">
      <formula>NOT(ISERROR(SEARCH("ok",R109)))</formula>
    </cfRule>
    <cfRule type="containsText" dxfId="329" priority="7" operator="containsText" text="Enter">
      <formula>NOT(ISERROR(SEARCH("Enter",R109)))</formula>
    </cfRule>
  </conditionalFormatting>
  <conditionalFormatting sqref="R81:S97">
    <cfRule type="cellIs" dxfId="328" priority="32" operator="equal">
      <formula>"Dozer too small"</formula>
    </cfRule>
  </conditionalFormatting>
  <conditionalFormatting sqref="S52:W68">
    <cfRule type="containsText" dxfId="327" priority="88" operator="containsText" text="NR">
      <formula>NOT(ISERROR(SEARCH("NR",S52)))</formula>
    </cfRule>
  </conditionalFormatting>
  <conditionalFormatting sqref="T52:T68">
    <cfRule type="cellIs" dxfId="326" priority="36" operator="equal">
      <formula>"Dozer too small"</formula>
    </cfRule>
  </conditionalFormatting>
  <conditionalFormatting sqref="T110:T119">
    <cfRule type="containsText" dxfId="325" priority="49" operator="containsText" text="Long">
      <formula>NOT(ISERROR(SEARCH("Long",T110)))</formula>
    </cfRule>
  </conditionalFormatting>
  <conditionalFormatting sqref="U52:W68">
    <cfRule type="containsText" dxfId="324" priority="67" operator="containsText" text="E">
      <formula>NOT(ISERROR(SEARCH("E",U52)))</formula>
    </cfRule>
  </conditionalFormatting>
  <conditionalFormatting sqref="AD51">
    <cfRule type="containsText" dxfId="323" priority="14" operator="containsText" text="ok">
      <formula>NOT(ISERROR(SEARCH("ok",AD51)))</formula>
    </cfRule>
    <cfRule type="containsText" dxfId="322" priority="15" operator="containsText" text="Enter">
      <formula>NOT(ISERROR(SEARCH("Enter",AD51)))</formula>
    </cfRule>
  </conditionalFormatting>
  <conditionalFormatting sqref="AD81:AD97">
    <cfRule type="cellIs" dxfId="321" priority="63" operator="lessThan">
      <formula>#REF!</formula>
    </cfRule>
  </conditionalFormatting>
  <conditionalFormatting sqref="AN81:AN97">
    <cfRule type="cellIs" dxfId="320" priority="30" operator="equal">
      <formula>"Dozer too small"</formula>
    </cfRule>
  </conditionalFormatting>
  <conditionalFormatting sqref="AN81:AO97">
    <cfRule type="containsText" dxfId="319" priority="61" operator="containsText" text="NR">
      <formula>NOT(ISERROR(SEARCH("NR",AN81)))</formula>
    </cfRule>
  </conditionalFormatting>
  <conditionalFormatting sqref="AO81:AO97">
    <cfRule type="cellIs" dxfId="318" priority="31" operator="equal">
      <formula>"E"</formula>
    </cfRule>
  </conditionalFormatting>
  <conditionalFormatting sqref="AP51">
    <cfRule type="containsText" dxfId="317" priority="12" operator="containsText" text="ok">
      <formula>NOT(ISERROR(SEARCH("ok",AP51)))</formula>
    </cfRule>
    <cfRule type="containsText" dxfId="316" priority="13" operator="containsText" text="Enter">
      <formula>NOT(ISERROR(SEARCH("Enter",AP51)))</formula>
    </cfRule>
  </conditionalFormatting>
  <conditionalFormatting sqref="AT52:AT68">
    <cfRule type="containsText" dxfId="315" priority="87" operator="containsText" text="NR">
      <formula>NOT(ISERROR(SEARCH("NR",AT52)))</formula>
    </cfRule>
    <cfRule type="cellIs" dxfId="314" priority="34" operator="equal">
      <formula>"Dozer too small"</formula>
    </cfRule>
  </conditionalFormatting>
  <conditionalFormatting sqref="AU102:AV102">
    <cfRule type="containsText" dxfId="313" priority="19" operator="containsText" text="Enter">
      <formula>NOT(ISERROR(SEARCH("Enter",AU102)))</formula>
    </cfRule>
    <cfRule type="containsText" dxfId="312" priority="18" operator="containsText" text="No Alert">
      <formula>NOT(ISERROR(SEARCH("No Alert",AU102)))</formula>
    </cfRule>
  </conditionalFormatting>
  <conditionalFormatting sqref="BB110:BB119">
    <cfRule type="cellIs" dxfId="311" priority="28" operator="equal">
      <formula>"Error"</formula>
    </cfRule>
    <cfRule type="containsText" dxfId="310" priority="47" operator="containsText" text="Error">
      <formula>NOT(ISERROR(SEARCH("Error",BB110)))</formula>
    </cfRule>
  </conditionalFormatting>
  <conditionalFormatting sqref="BE52:BE68">
    <cfRule type="containsText" dxfId="309" priority="91" operator="containsText" text="Long">
      <formula>NOT(ISERROR(SEARCH("Long",BE52)))</formula>
    </cfRule>
  </conditionalFormatting>
  <conditionalFormatting sqref="BI52:BI68">
    <cfRule type="cellIs" dxfId="308" priority="2" operator="notEqual">
      <formula>""</formula>
    </cfRule>
  </conditionalFormatting>
  <conditionalFormatting sqref="BJ81:BJ97">
    <cfRule type="containsText" dxfId="307" priority="60" operator="containsText" text="Long">
      <formula>NOT(ISERROR(SEARCH("Long",BJ81)))</formula>
    </cfRule>
  </conditionalFormatting>
  <conditionalFormatting sqref="BT51">
    <cfRule type="containsText" dxfId="306" priority="10" operator="containsText" text="ok">
      <formula>NOT(ISERROR(SEARCH("ok",BT51)))</formula>
    </cfRule>
    <cfRule type="containsText" dxfId="305" priority="11" operator="containsText" text="Enter">
      <formula>NOT(ISERROR(SEARCH("Enter",BT51)))</formula>
    </cfRule>
  </conditionalFormatting>
  <conditionalFormatting sqref="BU52:BU68 BX52:BY68">
    <cfRule type="containsText" dxfId="304" priority="92" operator="containsText" text="NR">
      <formula>NOT(ISERROR(SEARCH("NR",BU52)))</formula>
    </cfRule>
  </conditionalFormatting>
  <conditionalFormatting sqref="BX52:BX68">
    <cfRule type="cellIs" dxfId="303" priority="33" operator="equal">
      <formula>"Dozer too small"</formula>
    </cfRule>
  </conditionalFormatting>
  <conditionalFormatting sqref="BY52:BY68">
    <cfRule type="containsText" dxfId="302" priority="83" operator="containsText" text="E">
      <formula>NOT(ISERROR(SEARCH("E",BY52)))</formula>
    </cfRule>
  </conditionalFormatting>
  <conditionalFormatting sqref="CK81:CK97">
    <cfRule type="containsText" dxfId="301" priority="62" operator="containsText" text="Error">
      <formula>NOT(ISERROR(SEARCH("Error",CK81)))</formula>
    </cfRule>
  </conditionalFormatting>
  <conditionalFormatting sqref="CL73:CM73">
    <cfRule type="containsText" dxfId="300" priority="17" operator="containsText" text="Enter">
      <formula>NOT(ISERROR(SEARCH("Enter",CL73)))</formula>
    </cfRule>
    <cfRule type="containsText" dxfId="299" priority="16" operator="containsText" text="No Alert">
      <formula>NOT(ISERROR(SEARCH("No Alert",CL73)))</formula>
    </cfRule>
  </conditionalFormatting>
  <conditionalFormatting sqref="CS51">
    <cfRule type="containsText" dxfId="298" priority="8" operator="containsText" text="ok">
      <formula>NOT(ISERROR(SEARCH("ok",CS51)))</formula>
    </cfRule>
    <cfRule type="containsText" dxfId="297" priority="9" operator="containsText" text="Enter">
      <formula>NOT(ISERROR(SEARCH("Enter",CS51)))</formula>
    </cfRule>
  </conditionalFormatting>
  <conditionalFormatting sqref="CS81:CS97">
    <cfRule type="cellIs" dxfId="296" priority="29" operator="equal">
      <formula>"Error"</formula>
    </cfRule>
    <cfRule type="containsText" dxfId="295" priority="59" operator="containsText" text="Error">
      <formula>NOT(ISERROR(SEARCH("Error",CS81)))</formula>
    </cfRule>
  </conditionalFormatting>
  <conditionalFormatting sqref="CU52:CU68">
    <cfRule type="containsText" dxfId="294" priority="90" operator="containsText" text="Long">
      <formula>NOT(ISERROR(SEARCH("Long",CU52)))</formula>
    </cfRule>
  </conditionalFormatting>
  <conditionalFormatting sqref="CY52:CY68">
    <cfRule type="cellIs" dxfId="293" priority="3" operator="notEqual">
      <formula>""</formula>
    </cfRule>
  </conditionalFormatting>
  <conditionalFormatting sqref="DV52:DV68 AT110:AV119">
    <cfRule type="containsText" dxfId="292" priority="93" operator="containsText" text="Error">
      <formula>NOT(ISERROR(SEARCH("Error",AT52)))</formula>
    </cfRule>
  </conditionalFormatting>
  <conditionalFormatting sqref="DW43:DX43">
    <cfRule type="containsText" dxfId="291" priority="25" operator="containsText" text="Enter">
      <formula>NOT(ISERROR(SEARCH("Enter",DW43)))</formula>
    </cfRule>
    <cfRule type="containsText" dxfId="290" priority="24" operator="containsText" text="No Alert">
      <formula>NOT(ISERROR(SEARCH("No Alert",DW43)))</formula>
    </cfRule>
  </conditionalFormatting>
  <conditionalFormatting sqref="EA46">
    <cfRule type="cellIs" dxfId="289" priority="1" operator="notEqual">
      <formula>""</formula>
    </cfRule>
  </conditionalFormatting>
  <conditionalFormatting sqref="EH52:EH68">
    <cfRule type="containsText" dxfId="288" priority="82" operator="containsText" text="Error">
      <formula>NOT(ISERROR(SEARCH("Error",EH52)))</formula>
    </cfRule>
    <cfRule type="containsText" dxfId="287" priority="84" operator="containsText" text="dozer">
      <formula>NOT(ISERROR(SEARCH("dozer",EH52)))</formula>
    </cfRule>
  </conditionalFormatting>
  <dataValidations xWindow="807" yWindow="804" count="49">
    <dataValidation type="list" allowBlank="1" showInputMessage="1" showErrorMessage="1" sqref="F19:F39 F52:F68" xr:uid="{00000000-0002-0000-0900-000032000000}">
      <formula1>Cap_Risk_Category</formula1>
    </dataValidation>
    <dataValidation allowBlank="1" showInputMessage="1" showErrorMessage="1" promptTitle="WRD1" prompt="Enter the total footprint area of the WRD that would require rehabilitation." sqref="E17" xr:uid="{D74806C9-838D-4363-944E-E8365A674803}"/>
    <dataValidation allowBlank="1" showInputMessage="1" showErrorMessage="1" promptTitle="WRD2" prompt="Use the dropdown menu to select the Risk Category for the WRD_x000a_" sqref="F17" xr:uid="{587B41E5-34E8-462F-BF7F-3C6082E4A09D}"/>
    <dataValidation allowBlank="1" showInputMessage="1" showErrorMessage="1" prompt="The default area for testing is the total footprint of the structure" sqref="DY50" xr:uid="{00DA32C6-29E8-4FBA-A710-1EDACF7A15B8}"/>
    <dataValidation allowBlank="1" showInputMessage="1" showErrorMessage="1" prompt="If blank, the default above is used" sqref="DZ50" xr:uid="{1B4695CB-86B0-4493-8A64-8783510F38F9}"/>
    <dataValidation allowBlank="1" showInputMessage="1" showErrorMessage="1" prompt="Enter total area of drains and drop stuctures required to manage water." sqref="CH50:CI50" xr:uid="{C2A71232-D234-4FAA-B479-69BC8D35F41A}"/>
    <dataValidation allowBlank="1" showInputMessage="1" showErrorMessage="1" prompt="If a value is entered, the User must provide justification in the Justification for Alternate Rates column at the end (right) of this table." sqref="CY50 BI50" xr:uid="{4C36E62C-2F7A-4372-96F6-C3EACBCC17DA}"/>
    <dataValidation allowBlank="1" showInputMessage="1" showErrorMessage="1" prompt="If no user volume is entered the volume is calculated using the area and thickness." sqref="AA50 AK50" xr:uid="{FC52C3FF-AC8F-4A9B-A5A5-779CEE994C23}"/>
    <dataValidation allowBlank="1" showInputMessage="1" showErrorMessage="1" prompt="If no User value is entered the default is used." sqref="Y50 AI50 AZ50 BO50" xr:uid="{5E373822-2CF6-403D-9786-196100430C9B}"/>
    <dataValidation allowBlank="1" showInputMessage="1" showErrorMessage="1" prompt="The User can enter a volume directly here." sqref="AJ50 BA50 BP50 CO50 Z50" xr:uid="{EF87670F-530C-46D3-9E80-42247B5E0A61}"/>
    <dataValidation allowBlank="1" showInputMessage="1" showErrorMessage="1" prompt="Enter the average slope angle of the reprofiled WRD." sqref="L50" xr:uid="{7C1755D6-149B-42A7-A0BD-9112829E367C}"/>
    <dataValidation allowBlank="1" showInputMessage="1" showErrorMessage="1" prompt="Enter total area of drains and drop stuctures required on dump" sqref="AX79:BB79" xr:uid="{00000000-0002-0000-0900-000021000000}"/>
    <dataValidation type="list" allowBlank="1" showInputMessage="1" showErrorMessage="1" sqref="Q52:Q68 AL81:AL97 BV52:BV68 P81:P97 I110:I119 AR52:AR68" xr:uid="{00000000-0002-0000-0900-000000000000}">
      <formula1>Dozer_Push_Length</formula1>
    </dataValidation>
    <dataValidation type="list" allowBlank="1" showInputMessage="1" showErrorMessage="1" sqref="BW52:BW68 AM81:AM97 AS52:AS68 J110:J119 Q81:Q97 R52:R68" xr:uid="{00000000-0002-0000-0900-000001000000}">
      <formula1>Dozers</formula1>
    </dataValidation>
    <dataValidation type="list" allowBlank="1" showInputMessage="1" showErrorMessage="1" sqref="Y81:Y97 AB52:AB68 CQ52:CQ67 BF81:BF97 P110:P119 AH81:AH97 BR52:BR69 AN52:AN68" xr:uid="{00000000-0002-0000-0900-000002000000}">
      <formula1>Load_and_Haul</formula1>
    </dataValidation>
    <dataValidation type="list" allowBlank="1" showInputMessage="1" showErrorMessage="1" sqref="K81:K97 L52:L69" xr:uid="{00000000-0002-0000-0900-000004000000}">
      <formula1>Dozer_Slope</formula1>
    </dataValidation>
    <dataValidation type="list" allowBlank="1" showInputMessage="1" showErrorMessage="1" sqref="BS69:BU69" xr:uid="{00000000-0002-0000-0900-000005000000}">
      <formula1>Fleet_Size_all</formula1>
    </dataValidation>
    <dataValidation allowBlank="1" showInputMessage="1" showErrorMessage="1" prompt="Enter the average thickness of area to be re-shaped on all flat surfaces." sqref="G79 H50 I79" xr:uid="{00000000-0002-0000-0900-000007000000}"/>
    <dataValidation allowBlank="1" showInputMessage="1" showErrorMessage="1" prompt="If the User has a total push volume for slope areas but not dimensions, enter the volume here." sqref="N79 O50" xr:uid="{00000000-0002-0000-0900-00000D000000}"/>
    <dataValidation allowBlank="1" showInputMessage="1" showErrorMessage="1" prompt="If the User has a growth media volume but not dimensions, enter the volume here." sqref="BD79 N108" xr:uid="{00000000-0002-0000-0900-000016000000}"/>
    <dataValidation allowBlank="1" showInputMessage="1" showErrorMessage="1" prompt="Select No amend if no treatment required." sqref="AK108 DM50 DH50 DC50 BR79 BW79 CB79 AA108 AF108" xr:uid="{00000000-0002-0000-0900-00002A000000}"/>
    <dataValidation allowBlank="1" showInputMessage="1" showErrorMessage="1" prompt="The default is to the total footprint of the structure but the User can change the entry." sqref="CL50" xr:uid="{00000000-0002-0000-0900-000034000000}"/>
    <dataValidation allowBlank="1" showInputMessage="1" showErrorMessage="1" prompt="Enter the total flat areas to be re-shaped." sqref="G50 F79" xr:uid="{00000000-0002-0000-0900-000006000000}"/>
    <dataValidation allowBlank="1" showInputMessage="1" showErrorMessage="1" prompt="Enter the area of slopes / battered areas to be rehabilitated." sqref="J79 I50" xr:uid="{00000000-0002-0000-0900-000008000000}"/>
    <dataValidation allowBlank="1" showInputMessage="1" showErrorMessage="1" prompt="Enter the average thickness of sloped areas to be reshaped." sqref="J50" xr:uid="{00000000-0002-0000-0900-000009000000}"/>
    <dataValidation allowBlank="1" showInputMessage="1" showErrorMessage="1" prompt="Enter the total area of access ramps" sqref="K50" xr:uid="{00000000-0002-0000-0900-00000A000000}"/>
    <dataValidation allowBlank="1" showInputMessage="1" showErrorMessage="1" prompt="If the User has a total push volume for flat areas but not dimensions, enter the volume here.  Otherwise it is calculated." sqref="L79 M50 G108" xr:uid="{00000000-0002-0000-0900-000026000000}"/>
    <dataValidation type="list" allowBlank="1" showInputMessage="1" showErrorMessage="1" sqref="AL81:AM97" xr:uid="{CED11478-CC75-4D3E-BEFB-95E1DFDE81F6}">
      <formula1>Fleet_WRD_OBD_Pits</formula1>
    </dataValidation>
    <dataValidation type="list" allowBlank="1" showInputMessage="1" showErrorMessage="1" sqref="CU52:CU68 BJ81:BJ97 T110:T119 BE52:BE68" xr:uid="{EE0318CE-6656-43A9-9042-39866A6A8475}">
      <formula1>LongHaul</formula1>
    </dataValidation>
    <dataValidation type="list" allowBlank="1" showInputMessage="1" showErrorMessage="1" sqref="CV52:CV68 U110:U119 BK81:BK97 BF52:BF68" xr:uid="{ADD2EA36-E20C-4CAE-BB7A-0EC011090A2C}">
      <formula1>Long_distance</formula1>
    </dataValidation>
    <dataValidation type="list" allowBlank="1" showInputMessage="1" showErrorMessage="1" sqref="AA110:AA119 DM52:DM67 AF110:AF119 DH52:DH67 AK110:AK119 BR81:BR97 BW81:BW97 CB81:CB97 DC52:DC68" xr:uid="{67515432-2F92-4532-87E2-B92070926C68}">
      <formula1>Amendments</formula1>
    </dataValidation>
    <dataValidation type="list" allowBlank="1" showInputMessage="1" showErrorMessage="1" sqref="BJ81:BK97" xr:uid="{3CD6A537-D8A4-4246-BF12-5BBB160D1D4C}">
      <formula1>Fleet_WRDetc_GM</formula1>
    </dataValidation>
    <dataValidation allowBlank="1" showInputMessage="1" showErrorMessage="1" prompt="Enter the average thickness of area to be re-shaped on all sloped surfaces." sqref="H79" xr:uid="{36535942-AAB0-409D-9752-D19C0F48A499}"/>
    <dataValidation allowBlank="1" showInputMessage="1" showErrorMessage="1" prompt="Enter the average slope angle of the reprofiled dump / pile." sqref="K79" xr:uid="{BA3A6648-8824-46A0-B46D-174AD17CC06E}"/>
    <dataValidation allowBlank="1" showInputMessage="1" showErrorMessage="1" prompt="See ODP Capping Values table for minimum thickness expectation.  If user entry is &lt;min, cell is red." sqref="AD79" xr:uid="{845F4EA0-4B04-4897-BBEF-84E56BBEEB2B}"/>
    <dataValidation allowBlank="1" showInputMessage="1" showErrorMessage="1" prompt="If the User has a total rock armour volume for slope areas but not dimensions, enter the volume here." sqref="W79" xr:uid="{04598C75-F84A-4CF4-B1F4-519D8CEA40C9}"/>
    <dataValidation allowBlank="1" showInputMessage="1" showErrorMessage="1" prompt="The default is to the total footprinr of the dump but the User can change the entry." sqref="BB79" xr:uid="{7D68A267-C2B6-4987-B15B-6E59DB73AD04}"/>
    <dataValidation allowBlank="1" showInputMessage="1" showErrorMessage="1" prompt="Enter the slope rock armour cover thickness.  If no value is entered, the default value shown in the Default Value row is used." sqref="V79" xr:uid="{AD316EFE-61B5-4652-978A-343219CAD0F8}"/>
    <dataValidation allowBlank="1" showInputMessage="1" showErrorMessage="1" prompt="Enter the growth medium thickness.  If no value is entered, the default value shown is used." sqref="M108" xr:uid="{C5115C27-F8BD-4EE2-813C-0FE216018D29}"/>
    <dataValidation allowBlank="1" showInputMessage="1" showErrorMessage="1" prompt="Default growth media thickness if user does not enter values." sqref="M106 BC77" xr:uid="{EC2D9007-F4B5-42B9-804C-F476CCEE60DA}"/>
    <dataValidation allowBlank="1" showInputMessage="1" showErrorMessage="1" promptTitle="Administrator Note:" prompt="These values are not linked to calculations. If changed, need to be updated. " sqref="O13" xr:uid="{983B9A6E-AD11-4F8C-A2CA-75A482D0A3F6}"/>
    <dataValidation allowBlank="1" showInputMessage="1" showErrorMessage="1" prompt="See Capping Values table at the top of this sheet for minimum thickness expectation.  If user entry is &lt;min, an alert will appear in the Capping Alerts sheet." sqref="BN50" xr:uid="{08984AF8-C58F-463D-857C-9A88C6457D49}"/>
    <dataValidation allowBlank="1" showInputMessage="1" showErrorMessage="1" prompt="Enter the total disturbance footprint of the WRD" sqref="E50" xr:uid="{E7324AD2-8C75-468D-883C-FA96DCA2B74F}"/>
    <dataValidation allowBlank="1" showErrorMessage="1" prompt="If the User has a total push volume for flat areas but not dimensions, enter the volume here.  Otherwise it is calculated." sqref="L97" xr:uid="{A3869542-5167-4855-8F6A-510E6C7824CE}"/>
    <dataValidation allowBlank="1" showErrorMessage="1" prompt="If the User has a total push volume for slope areas but not dimensions, enter the volume here." sqref="N97" xr:uid="{97461993-95FB-4FC6-8A9F-DC7B1A88C533}"/>
    <dataValidation allowBlank="1" showErrorMessage="1" sqref="V97:W97 AW97:BD97 BU97 A68:E68 G68:K68 M68 CT68 AD68:AM68 EG68:XFD68 BG68:BQ68 BT68:BU68 BX68:CQ68 DD68:DZ68 CX68:DB68 EB68:EE68 O68:P68 AP68:AQ68 AT68:BD68 S68:AA68" xr:uid="{EE168968-5AE5-4086-A990-8F807E8892B9}"/>
    <dataValidation allowBlank="1" showInputMessage="1" showErrorMessage="1" prompt="See Capping Values table at top of this sheet for minimum thickness expectation.  If user entry is &lt;min, an alert will appear in the Capping Alerts sheet." sqref="AY50 X50" xr:uid="{C0EA565A-16E9-4FEE-B264-76BAF7A2AC81}"/>
    <dataValidation allowBlank="1" showInputMessage="1" showErrorMessage="1" prompt="See Capping Values table at this of this sheet for minimum thickness expectation.  If user entry is &lt;min, an alert will appear in the Capping Alerts sheet." sqref="AH50" xr:uid="{DB68305A-767C-454F-B857-C6126AB2F985}"/>
    <dataValidation type="list" allowBlank="1" showInputMessage="1" showErrorMessage="1" sqref="Q110:Q119 CR52:CR68" xr:uid="{1F7A4BC7-5B7A-44D9-9112-6843DE8681C0}">
      <formula1>Load_haul_fleet_sm1ml</formula1>
    </dataValidation>
  </dataValidations>
  <hyperlinks>
    <hyperlink ref="B49" location="'7. Overburden Dumps Piles'!B5" display="Top" xr:uid="{EDE98218-E4F4-40A4-9026-A0FF7D7E8FB4}"/>
    <hyperlink ref="T51" location="Subrates_Table_3" display="Subrates_Table_3" xr:uid="{F20B6592-AB03-414C-A28F-CB9D4E202100}"/>
    <hyperlink ref="S51" location="Subrates_Table_2" display="Subrates_Table_2" xr:uid="{32545A81-F7D2-4DA3-A2D8-015F473EF9F3}"/>
    <hyperlink ref="AL51" location="Subrates_Table_5" display="Subrates_Table_5" xr:uid="{7BE0F746-43EF-479D-B1D4-9ED05FD65A89}"/>
    <hyperlink ref="BG51" location="Subrates_Table_9" display="Subrates_Table_9" xr:uid="{9EE6F243-0548-4145-8249-F398364BD1B9}"/>
    <hyperlink ref="BH51" location="Subrates_Table_8" display="Subrates_Table_8" xr:uid="{523970A4-6042-46DA-A199-B00F504F7A00}"/>
    <hyperlink ref="CI51" location="Subrates_Table_6" display="Subrates_Table_6" xr:uid="{75FA61AA-D96C-4642-BA7E-3306BADB01C0}"/>
    <hyperlink ref="W51" location="'7. Overburden Dumps Piles'!O5" display="'7. Overburden Dumps Piles'!O5" xr:uid="{DB1E958D-971E-4B0D-951F-907B27F73736}"/>
    <hyperlink ref="AG51" location="'7. Overburden Dumps Piles'!O5" display="'7. Overburden Dumps Piles'!O5" xr:uid="{81C0AF8A-6A21-48F5-9EF5-B18ADE69249E}"/>
    <hyperlink ref="AX51" location="'7. Overburden Dumps Piles'!O5" display="'7. Overburden Dumps Piles'!O5" xr:uid="{DD2973CC-EFCC-4CD2-BDC0-559B5381B74F}"/>
    <hyperlink ref="BM51" location="'7. Overburden Dumps Piles'!O5" display="'7. Overburden Dumps Piles'!O5" xr:uid="{D326A5F1-8C46-451A-997F-EC5AD8D8C55E}"/>
    <hyperlink ref="CM51" location="'7. Overburden Dumps Piles'!O5" display="'7. Overburden Dumps Piles'!O5" xr:uid="{2DE4384B-8847-4DAD-84E6-77B0ADB013B6}"/>
    <hyperlink ref="EB51" location="'7. Overburden Dumps Piles'!O5" display="'7. Overburden Dumps Piles'!O5" xr:uid="{45C0F011-7384-480C-8719-B7B7E3510C07}"/>
    <hyperlink ref="AE80" location="'7. Overburden Dumps Piles'!O5" display="'7. Overburden Dumps Piles'!O5" xr:uid="{824F3250-841F-4D61-9A0F-4386766E7455}"/>
    <hyperlink ref="AD51" location="Subrates!B7" display="Subrates!B7" xr:uid="{ECAB205E-746E-4302-9DD8-53A0D9129E53}"/>
    <hyperlink ref="AP51" location="Subrates!B7" display="Subrates!B7" xr:uid="{87CA9FAC-42B7-4808-B343-A41DA5D796A1}"/>
    <hyperlink ref="BT51" location="Subrates!B7" display="Subrates!B7" xr:uid="{909F950B-B667-4EED-827D-409ABD504EE9}"/>
    <hyperlink ref="CS51" location="Subrates!B7" display="Subrates!B7" xr:uid="{78DFEAA3-DBC3-4394-A3FB-4DC5F484D350}"/>
    <hyperlink ref="R109" location="Subrates_Table_1" display="Subrates_Table_1" xr:uid="{E3986D3E-CA9F-4E75-9929-32D03A6C79DA}"/>
    <hyperlink ref="AT51" location="Subrates_Table_2" display="Subrates_Table_2" xr:uid="{15F486FB-E702-4D6E-B71E-12A6F40A0444}"/>
    <hyperlink ref="BX51" location="Subrates_Table_2" display="Subrates_Table_2" xr:uid="{48E204F6-A0FA-438B-BAA0-632DB05692D9}"/>
    <hyperlink ref="R80" location="Subrates_Table_2" display="Subrates_Table_2" xr:uid="{63A1B08E-BACC-4485-9CAB-269A9DEC0358}"/>
    <hyperlink ref="S80" location="Subrates_Table_3" display="Subrates_Table_3" xr:uid="{6C67917F-6499-4E24-A1A0-1FAA5D5F2B89}"/>
    <hyperlink ref="BC51" location="Subrates_Table_5" display="Subrates_Table_5" xr:uid="{1F353246-0DDA-448E-9F8B-C0D26455DC6E}"/>
    <hyperlink ref="CB51" location="Subrates_Table_5" display="Subrates_Table_5" xr:uid="{B9C47AD5-77EE-494A-8AB3-7E0BD8671E0B}"/>
    <hyperlink ref="CD51" location="Subrates_Table_5" display="Subrates_Table_5" xr:uid="{AFEBFE7D-D165-4492-85DF-011E7C6DA851}"/>
    <hyperlink ref="CF51" location="Subrates_Table_5" display="Subrates_Table_5" xr:uid="{4F1637D7-E71B-4542-BD97-DD577675EF76}"/>
    <hyperlink ref="EA44" location="Subrates_Table_5" display="Subrates_Table_5" xr:uid="{EE44BD1F-0F7A-4856-9D65-205EDE537593}"/>
    <hyperlink ref="CK51" location="Subrates_Table_6" display="Subrates_Table_6" xr:uid="{AA876FBE-A4F0-4289-8300-59CC5A4146C4}"/>
    <hyperlink ref="CX51" location="Subrates_Table_8" display="Subrates_Table_8" xr:uid="{B8879F3B-DDEA-447C-AA6E-F2BEDE8CE50C}"/>
    <hyperlink ref="CW51" location="Subrates_Table_9" display="Subrates_Table_9" xr:uid="{00336743-A662-4EAA-BAA3-6BBD7ABBCEC4}"/>
    <hyperlink ref="B2" location="CONTENTS!A1" display="Contents" xr:uid="{3C813F4B-BF15-47F5-BAB0-C3E697D2FFB6}"/>
    <hyperlink ref="B78" location="'7. Overburden Dumps Piles'!B5" display="Top" xr:uid="{E803EA73-D448-4928-8B16-028A77C09D68}"/>
    <hyperlink ref="B107" location="'7. Overburden Dumps Piles'!B5" display="Top" xr:uid="{25DC6F93-4C3B-49E1-8360-2C9FB20DBE54}"/>
    <hyperlink ref="X51" location="'Capping Alerts'!A1" display="Capping Alerts" xr:uid="{9F0575D7-FE80-421C-BF94-245958EA25C4}"/>
    <hyperlink ref="AH51" location="'Capping Alerts'!A1" display="Capping Alerts" xr:uid="{353C73C0-C672-476B-AB67-BEFB20303E30}"/>
    <hyperlink ref="AY51" location="'Capping Alerts'!A1" display="Capping Alerts" xr:uid="{8AD81246-630E-45E1-AA05-1C286CB1B018}"/>
    <hyperlink ref="BN51" location="'Capping Alerts'!A1" display="Capping Alerts" xr:uid="{0CA1DA5D-21B4-41E4-9AC0-8F01130D7069}"/>
    <hyperlink ref="CN51" location="'Capping Alerts'!A1" display="Capping Alerts" xr:uid="{ED3E33EB-0282-4466-BFCB-9F3A3722032D}"/>
    <hyperlink ref="EC51" location="'Capping Alerts'!A1" display="Capping Alerts" xr:uid="{5DF12E1D-57C0-4E1B-999B-0EE60AE97F05}"/>
    <hyperlink ref="V80" location="'Capping Alerts'!A1" display="Capping Alerts" xr:uid="{C559E4C5-1D0D-43E9-B92B-23735F697B49}"/>
    <hyperlink ref="AD80" location="'Capping Alerts'!A1" display="Capping Alerts" xr:uid="{305A39E5-0378-41D3-BC64-A57E41656757}"/>
    <hyperlink ref="BC80" location="'Capping Alerts'!A1" display="Capping Alerts" xr:uid="{E7651EE3-F896-4A08-B38A-475E4960094D}"/>
    <hyperlink ref="M109" location="'Capping Alerts'!A1" display="Capping Alerts" xr:uid="{AABE8762-4D1F-460B-861D-3FBE6CFD220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807" yWindow="804" count="2">
        <x14:dataValidation type="list" allowBlank="1" showInputMessage="1" showErrorMessage="1" xr:uid="{09D4D890-D5AC-44C8-8BD3-EA34D79A4A87}">
          <x14:formula1>
            <xm:f>Subrates!$E$9:$H$9</xm:f>
          </x14:formula1>
          <xm:sqref>BS52:BS68 Z81:Z97 AI81:AI97 AC52:AC68 AO52:AO68</xm:sqref>
        </x14:dataValidation>
        <x14:dataValidation type="list" allowBlank="1" showInputMessage="1" showErrorMessage="1" xr:uid="{1CE4E421-F067-4F39-BD0F-3789692173B5}">
          <x14:formula1>
            <xm:f>Subrates!$C$22:$C$25</xm:f>
          </x14:formula1>
          <xm:sqref>BG81:BG97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7E89-2F6D-43F1-9679-C6E6942FE7C0}">
  <sheetPr codeName="Sheet27">
    <tabColor theme="9" tint="-0.249977111117893"/>
  </sheetPr>
  <dimension ref="A1:FD72"/>
  <sheetViews>
    <sheetView showGridLines="0" zoomScaleNormal="100" workbookViewId="0">
      <pane xSplit="7" ySplit="4" topLeftCell="H5" activePane="bottomRight" state="frozen"/>
      <selection pane="topRight" activeCell="H1" sqref="H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47.7109375" style="475" customWidth="1"/>
    <col min="5" max="5" width="18.7109375" style="474" customWidth="1"/>
    <col min="6" max="6" width="21.42578125" style="474" customWidth="1"/>
    <col min="7" max="12" width="18.7109375" style="474" customWidth="1"/>
    <col min="13" max="13" width="19.5703125" style="474" customWidth="1"/>
    <col min="14" max="14" width="19.28515625" style="474" customWidth="1"/>
    <col min="15" max="16" width="18.7109375" style="474" customWidth="1"/>
    <col min="17" max="17" width="21.5703125" style="474" customWidth="1"/>
    <col min="18" max="42" width="18.7109375" style="474" customWidth="1"/>
    <col min="43" max="43" width="21" style="474" customWidth="1"/>
    <col min="44" max="44" width="21.5703125" style="474" customWidth="1"/>
    <col min="45" max="45" width="18.7109375" style="474" customWidth="1"/>
    <col min="46" max="46" width="21" style="474" customWidth="1"/>
    <col min="47" max="51" width="18.7109375" style="474" customWidth="1"/>
    <col min="52" max="52" width="18.7109375" style="475" customWidth="1"/>
    <col min="53" max="53" width="18.7109375" style="474" customWidth="1"/>
    <col min="54" max="54" width="18.7109375" style="475" customWidth="1"/>
    <col min="55" max="55" width="18.7109375" style="474" customWidth="1"/>
    <col min="56" max="72" width="18.7109375" style="475" customWidth="1"/>
    <col min="73" max="73" width="20.7109375" style="475" customWidth="1"/>
    <col min="74" max="74" width="20.42578125" style="475" customWidth="1"/>
    <col min="75" max="75" width="18.7109375" style="475" customWidth="1"/>
    <col min="76" max="76" width="20.7109375" style="475" customWidth="1"/>
    <col min="77" max="111" width="18.7109375" style="475" customWidth="1"/>
    <col min="112" max="112" width="24.7109375" style="475" customWidth="1"/>
    <col min="113" max="116" width="18.7109375" style="475" customWidth="1"/>
    <col min="117" max="117" width="20.42578125" style="475" customWidth="1"/>
    <col min="118" max="121" width="18.7109375" style="475" customWidth="1"/>
    <col min="122" max="122" width="24.7109375" style="475" customWidth="1"/>
    <col min="123" max="147" width="18.7109375" style="475" customWidth="1"/>
    <col min="148" max="148" width="18.7109375" style="1068" customWidth="1"/>
    <col min="149" max="162" width="18.7109375" style="475" customWidth="1"/>
    <col min="163" max="16384" width="9" style="475"/>
  </cols>
  <sheetData>
    <row r="1" spans="2:149" ht="14.25">
      <c r="B1" s="433" t="s">
        <v>0</v>
      </c>
      <c r="C1" s="808"/>
      <c r="D1" s="520"/>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BA1" s="475"/>
      <c r="BC1" s="475"/>
      <c r="ER1" s="475"/>
    </row>
    <row r="2" spans="2:149" ht="18" customHeight="1">
      <c r="B2" s="286" t="s">
        <v>256</v>
      </c>
      <c r="C2" s="476" t="s">
        <v>2057</v>
      </c>
      <c r="D2" s="944"/>
      <c r="E2" s="944"/>
      <c r="F2" s="944"/>
      <c r="G2" s="944"/>
      <c r="H2" s="944"/>
      <c r="I2" s="944"/>
      <c r="J2" s="944"/>
      <c r="K2" s="944"/>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BA2" s="475"/>
      <c r="BC2" s="475"/>
      <c r="ER2" s="475"/>
    </row>
    <row r="3" spans="2:149" ht="18" customHeight="1">
      <c r="B3" s="1031">
        <f>J40+EM70</f>
        <v>0</v>
      </c>
      <c r="C3" s="736" t="s">
        <v>1516</v>
      </c>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75"/>
      <c r="AO3" s="475"/>
      <c r="AP3" s="475"/>
      <c r="AQ3" s="475"/>
      <c r="AR3" s="475"/>
      <c r="AS3" s="475"/>
      <c r="AT3" s="475"/>
      <c r="AU3" s="475"/>
      <c r="AV3" s="475"/>
      <c r="AW3" s="475"/>
      <c r="AX3" s="475"/>
      <c r="AY3" s="475"/>
      <c r="BA3" s="475"/>
      <c r="BC3" s="475"/>
      <c r="ER3" s="475"/>
    </row>
    <row r="4" spans="2:149" ht="18" customHeight="1">
      <c r="B4" s="1033">
        <f>Summary!$G$122</f>
        <v>0</v>
      </c>
      <c r="C4" s="736" t="s">
        <v>1484</v>
      </c>
      <c r="K4" s="475"/>
      <c r="L4" s="475"/>
      <c r="M4" s="220"/>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BA4" s="475"/>
      <c r="BC4" s="475"/>
      <c r="ER4" s="475"/>
    </row>
    <row r="5" spans="2:149" ht="12.75">
      <c r="E5" s="475"/>
      <c r="F5" s="475"/>
      <c r="G5" s="475"/>
      <c r="H5" s="475"/>
      <c r="I5" s="475"/>
      <c r="J5" s="475"/>
      <c r="K5" s="475"/>
      <c r="L5" s="475"/>
      <c r="M5" s="244" t="s">
        <v>2058</v>
      </c>
      <c r="N5" s="245"/>
      <c r="O5" s="246"/>
      <c r="P5" s="246"/>
      <c r="Q5" s="246"/>
      <c r="R5" s="246"/>
      <c r="S5" s="246"/>
      <c r="T5" s="247"/>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BA5" s="475"/>
      <c r="BC5" s="475"/>
      <c r="ER5" s="475"/>
    </row>
    <row r="6" spans="2:149" ht="12.75">
      <c r="L6" s="1064">
        <v>1</v>
      </c>
      <c r="M6" s="1145" t="s">
        <v>1878</v>
      </c>
      <c r="N6" s="778"/>
      <c r="O6" s="823" t="s">
        <v>2</v>
      </c>
      <c r="P6" s="773" t="s">
        <v>1879</v>
      </c>
      <c r="Q6" s="773" t="s">
        <v>1880</v>
      </c>
      <c r="R6" s="773" t="s">
        <v>1881</v>
      </c>
      <c r="S6" s="773" t="s">
        <v>1882</v>
      </c>
      <c r="T6" s="773" t="s">
        <v>1883</v>
      </c>
    </row>
    <row r="7" spans="2:149" ht="12.75">
      <c r="L7" s="1064">
        <v>2</v>
      </c>
      <c r="M7" s="248" t="s">
        <v>1884</v>
      </c>
      <c r="N7" s="1065"/>
      <c r="O7" s="249" t="s">
        <v>11</v>
      </c>
      <c r="P7" s="250">
        <v>1</v>
      </c>
      <c r="Q7" s="250">
        <v>1</v>
      </c>
      <c r="R7" s="250">
        <v>1</v>
      </c>
      <c r="S7" s="250">
        <v>1</v>
      </c>
      <c r="T7" s="250">
        <v>1</v>
      </c>
    </row>
    <row r="8" spans="2:149" ht="12.75">
      <c r="L8" s="1064">
        <v>3</v>
      </c>
      <c r="M8" s="251" t="s">
        <v>1885</v>
      </c>
      <c r="N8" s="1066"/>
      <c r="O8" s="249" t="s">
        <v>11</v>
      </c>
      <c r="P8" s="250">
        <v>0</v>
      </c>
      <c r="Q8" s="250">
        <v>0</v>
      </c>
      <c r="R8" s="250">
        <v>0</v>
      </c>
      <c r="S8" s="250">
        <v>0</v>
      </c>
      <c r="T8" s="250">
        <v>0</v>
      </c>
    </row>
    <row r="9" spans="2:149" ht="12.75">
      <c r="L9" s="1064">
        <v>4</v>
      </c>
      <c r="M9" s="251" t="s">
        <v>1886</v>
      </c>
      <c r="N9" s="1066"/>
      <c r="O9" s="249" t="s">
        <v>11</v>
      </c>
      <c r="P9" s="250">
        <v>0.6</v>
      </c>
      <c r="Q9" s="250">
        <v>0.3</v>
      </c>
      <c r="R9" s="250">
        <v>0.3</v>
      </c>
      <c r="S9" s="250">
        <v>0</v>
      </c>
      <c r="T9" s="250">
        <v>0</v>
      </c>
    </row>
    <row r="10" spans="2:149" ht="12.75">
      <c r="L10" s="1064">
        <v>5</v>
      </c>
      <c r="M10" s="251" t="s">
        <v>1887</v>
      </c>
      <c r="N10" s="1066"/>
      <c r="O10" s="249" t="s">
        <v>11</v>
      </c>
      <c r="P10" s="250">
        <v>0.5</v>
      </c>
      <c r="Q10" s="250">
        <v>0.3</v>
      </c>
      <c r="R10" s="250">
        <v>0</v>
      </c>
      <c r="S10" s="250">
        <v>0</v>
      </c>
      <c r="T10" s="250">
        <v>0</v>
      </c>
    </row>
    <row r="11" spans="2:149" ht="12.75">
      <c r="L11" s="1064">
        <v>6</v>
      </c>
      <c r="M11" s="251" t="s">
        <v>1888</v>
      </c>
      <c r="N11" s="1066"/>
      <c r="O11" s="249" t="s">
        <v>11</v>
      </c>
      <c r="P11" s="250">
        <v>1.5</v>
      </c>
      <c r="Q11" s="250">
        <v>1</v>
      </c>
      <c r="R11" s="250">
        <v>1</v>
      </c>
      <c r="S11" s="250">
        <v>0.5</v>
      </c>
      <c r="T11" s="250">
        <v>0</v>
      </c>
    </row>
    <row r="12" spans="2:149" ht="12.75">
      <c r="L12" s="1064">
        <v>7</v>
      </c>
      <c r="M12" s="251" t="s">
        <v>1889</v>
      </c>
      <c r="N12" s="1066"/>
      <c r="O12" s="249" t="s">
        <v>11</v>
      </c>
      <c r="P12" s="252">
        <v>0.15</v>
      </c>
      <c r="Q12" s="252">
        <v>0.15</v>
      </c>
      <c r="R12" s="252">
        <v>0.15</v>
      </c>
      <c r="S12" s="252">
        <v>0.15</v>
      </c>
      <c r="T12" s="252">
        <v>0.15</v>
      </c>
    </row>
    <row r="13" spans="2:149" ht="12.75">
      <c r="L13" s="1064">
        <v>8</v>
      </c>
      <c r="M13" s="251" t="s">
        <v>1890</v>
      </c>
      <c r="N13" s="1066"/>
      <c r="O13" s="249" t="s">
        <v>58</v>
      </c>
      <c r="P13" s="253">
        <v>2850</v>
      </c>
      <c r="Q13" s="253">
        <v>2600</v>
      </c>
      <c r="R13" s="253">
        <v>2075</v>
      </c>
      <c r="S13" s="253">
        <v>1550</v>
      </c>
      <c r="T13" s="253">
        <v>650</v>
      </c>
      <c r="U13" s="770"/>
    </row>
    <row r="15" spans="2:149" ht="20.25" customHeight="1">
      <c r="AL15" s="475"/>
      <c r="AM15" s="475"/>
      <c r="AN15" s="475"/>
      <c r="AO15" s="475"/>
      <c r="AP15" s="475"/>
      <c r="AQ15" s="475"/>
      <c r="AR15" s="475"/>
      <c r="AS15" s="475"/>
      <c r="AT15" s="475"/>
      <c r="AU15" s="475"/>
      <c r="AV15" s="475"/>
      <c r="AW15" s="475"/>
      <c r="AX15" s="475"/>
      <c r="AY15" s="475"/>
      <c r="BA15" s="475"/>
      <c r="BC15" s="475"/>
    </row>
    <row r="16" spans="2:149" ht="18" customHeight="1">
      <c r="C16" s="1069" t="s">
        <v>2059</v>
      </c>
      <c r="D16" s="761"/>
      <c r="E16" s="475"/>
      <c r="F16" s="746"/>
      <c r="G16" s="434"/>
      <c r="H16" s="434"/>
      <c r="I16" s="434"/>
      <c r="J16" s="434"/>
      <c r="AM16" s="475"/>
      <c r="AN16" s="475"/>
      <c r="AO16" s="475"/>
      <c r="AP16" s="475"/>
      <c r="AQ16" s="475"/>
      <c r="AR16" s="475"/>
      <c r="AS16" s="475"/>
      <c r="AT16" s="475"/>
      <c r="AU16" s="475"/>
      <c r="AV16" s="475"/>
      <c r="AW16" s="475"/>
      <c r="AX16" s="475"/>
      <c r="AY16" s="475"/>
      <c r="BA16" s="475"/>
      <c r="BC16" s="475"/>
      <c r="ER16" s="475"/>
      <c r="ES16" s="1068"/>
    </row>
    <row r="17" spans="2:149" ht="29.65" customHeight="1">
      <c r="B17" s="773" t="s">
        <v>1517</v>
      </c>
      <c r="C17" s="773" t="s">
        <v>27</v>
      </c>
      <c r="D17" s="773" t="s">
        <v>1583</v>
      </c>
      <c r="E17" s="773" t="s">
        <v>1650</v>
      </c>
      <c r="F17" s="812" t="s">
        <v>2060</v>
      </c>
      <c r="G17" s="773" t="s">
        <v>1585</v>
      </c>
      <c r="H17" s="773" t="s">
        <v>1895</v>
      </c>
      <c r="I17" s="773" t="s">
        <v>1896</v>
      </c>
      <c r="J17" s="775" t="s">
        <v>2061</v>
      </c>
      <c r="K17" s="776" t="s">
        <v>1759</v>
      </c>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963"/>
      <c r="AM17" s="475"/>
      <c r="AN17" s="475"/>
      <c r="AO17" s="475"/>
      <c r="AP17" s="475"/>
      <c r="AQ17" s="475"/>
      <c r="AR17" s="475"/>
      <c r="AS17" s="475"/>
      <c r="AT17" s="475"/>
      <c r="AU17" s="475"/>
      <c r="AV17" s="475"/>
      <c r="AW17" s="475"/>
      <c r="AX17" s="475"/>
      <c r="AY17" s="475"/>
      <c r="BA17" s="475"/>
      <c r="BC17" s="475"/>
      <c r="ER17" s="475"/>
      <c r="ES17" s="1068"/>
    </row>
    <row r="18" spans="2:149" ht="15.6" customHeight="1">
      <c r="E18" s="475"/>
      <c r="F18" s="125" t="s">
        <v>1646</v>
      </c>
      <c r="G18" s="475"/>
      <c r="H18" s="475"/>
      <c r="I18" s="475"/>
      <c r="J18" s="475"/>
      <c r="K18" s="964"/>
      <c r="AL18" s="779"/>
      <c r="AM18" s="475"/>
      <c r="AN18" s="475"/>
      <c r="AO18" s="475"/>
      <c r="AP18" s="475"/>
      <c r="AQ18" s="475"/>
      <c r="AR18" s="475"/>
      <c r="AS18" s="475"/>
      <c r="AT18" s="475"/>
      <c r="AU18" s="475"/>
      <c r="AV18" s="475"/>
      <c r="AW18" s="475"/>
      <c r="AX18" s="475"/>
      <c r="AY18" s="475"/>
      <c r="BA18" s="475"/>
      <c r="BC18" s="475"/>
      <c r="ER18" s="475"/>
      <c r="ES18" s="1068"/>
    </row>
    <row r="19" spans="2:149" s="520" customFormat="1" ht="12.75">
      <c r="B19" s="310"/>
      <c r="C19" s="989">
        <v>1</v>
      </c>
      <c r="D19" s="175"/>
      <c r="E19" s="328"/>
      <c r="F19" s="337" t="s">
        <v>1879</v>
      </c>
      <c r="G19" s="167" t="str">
        <f>VLOOKUP(F19,Lists!$B$34:$E$39,Lists!$D$3,FALSE)</f>
        <v>#8.01</v>
      </c>
      <c r="H19" s="256">
        <f>VLOOKUP(G19,TOV!$C$464:$G$480,4,FALSE)</f>
        <v>167512.75076315654</v>
      </c>
      <c r="I19" s="292"/>
      <c r="J19" s="121">
        <f t="shared" ref="J19:J38" si="0">IF(I19="",H19,I19)*E19</f>
        <v>0</v>
      </c>
      <c r="K19" s="192"/>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8"/>
      <c r="ES19" s="1071"/>
    </row>
    <row r="20" spans="2:149" s="520" customFormat="1" ht="12.75">
      <c r="B20" s="310"/>
      <c r="C20" s="989">
        <f>C19+1</f>
        <v>2</v>
      </c>
      <c r="D20" s="175"/>
      <c r="E20" s="328"/>
      <c r="F20" s="337" t="s">
        <v>1880</v>
      </c>
      <c r="G20" s="167" t="str">
        <f>VLOOKUP(F20,Lists!$B$34:$E$39,Lists!$D$3,FALSE)</f>
        <v>#8.02</v>
      </c>
      <c r="H20" s="256">
        <f>VLOOKUP(G20,TOV!$C$464:$G$480,4,FALSE)</f>
        <v>111877.27860871454</v>
      </c>
      <c r="I20" s="292"/>
      <c r="J20" s="121">
        <f t="shared" si="0"/>
        <v>0</v>
      </c>
      <c r="K20" s="192"/>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8"/>
      <c r="ES20" s="1071"/>
    </row>
    <row r="21" spans="2:149" s="520" customFormat="1" ht="12.75">
      <c r="B21" s="310"/>
      <c r="C21" s="989">
        <f t="shared" ref="C21:C38" si="1">C20+1</f>
        <v>3</v>
      </c>
      <c r="D21" s="175"/>
      <c r="E21" s="328"/>
      <c r="F21" s="337" t="s">
        <v>1881</v>
      </c>
      <c r="G21" s="167" t="str">
        <f>VLOOKUP(F21,Lists!$B$34:$E$39,Lists!$D$3,FALSE)</f>
        <v>#8.03</v>
      </c>
      <c r="H21" s="256">
        <f>VLOOKUP(G21,TOV!$C$464:$G$480,4,FALSE)</f>
        <v>81486.67967289142</v>
      </c>
      <c r="I21" s="292"/>
      <c r="J21" s="121">
        <f t="shared" si="0"/>
        <v>0</v>
      </c>
      <c r="K21" s="192"/>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8"/>
      <c r="ES21" s="1071"/>
    </row>
    <row r="22" spans="2:149" s="520" customFormat="1" ht="12.75">
      <c r="B22" s="310"/>
      <c r="C22" s="989">
        <f t="shared" si="1"/>
        <v>4</v>
      </c>
      <c r="D22" s="175"/>
      <c r="E22" s="328"/>
      <c r="F22" s="337" t="s">
        <v>1882</v>
      </c>
      <c r="G22" s="167" t="str">
        <f>VLOOKUP(F22,Lists!$B$34:$E$39,Lists!$D$3,FALSE)</f>
        <v>#8.04</v>
      </c>
      <c r="H22" s="256">
        <f>VLOOKUP(G22,TOV!$C$464:$G$480,4,FALSE)</f>
        <v>50156.234920296971</v>
      </c>
      <c r="I22" s="292"/>
      <c r="J22" s="121">
        <f t="shared" si="0"/>
        <v>0</v>
      </c>
      <c r="K22" s="192"/>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8"/>
      <c r="ES22" s="1071"/>
    </row>
    <row r="23" spans="2:149" s="520" customFormat="1" ht="12.75">
      <c r="B23" s="310"/>
      <c r="C23" s="989">
        <f t="shared" si="1"/>
        <v>5</v>
      </c>
      <c r="D23" s="175"/>
      <c r="E23" s="328"/>
      <c r="F23" s="337" t="s">
        <v>1883</v>
      </c>
      <c r="G23" s="167" t="str">
        <f>VLOOKUP(F23,Lists!$B$34:$E$39,Lists!$D$3,FALSE)</f>
        <v>#8.05</v>
      </c>
      <c r="H23" s="256">
        <f>VLOOKUP(G23,TOV!$C$464:$G$480,4,FALSE)</f>
        <v>14770.818953562846</v>
      </c>
      <c r="I23" s="292"/>
      <c r="J23" s="121">
        <f t="shared" si="0"/>
        <v>0</v>
      </c>
      <c r="K23" s="192"/>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8"/>
      <c r="ES23" s="1071"/>
    </row>
    <row r="24" spans="2:149" s="520" customFormat="1" ht="12.75">
      <c r="B24" s="310"/>
      <c r="C24" s="989">
        <f t="shared" si="1"/>
        <v>6</v>
      </c>
      <c r="D24" s="175"/>
      <c r="E24" s="328"/>
      <c r="F24" s="337" t="s">
        <v>1879</v>
      </c>
      <c r="G24" s="167" t="str">
        <f>VLOOKUP(F24,Lists!$B$34:$E$39,Lists!$D$3,FALSE)</f>
        <v>#8.01</v>
      </c>
      <c r="H24" s="256">
        <f>VLOOKUP(G24,TOV!$C$464:$G$480,4,FALSE)</f>
        <v>167512.75076315654</v>
      </c>
      <c r="I24" s="292"/>
      <c r="J24" s="121">
        <f t="shared" si="0"/>
        <v>0</v>
      </c>
      <c r="K24" s="192"/>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8"/>
      <c r="ES24" s="1071"/>
    </row>
    <row r="25" spans="2:149" s="520" customFormat="1" ht="12.75">
      <c r="B25" s="310"/>
      <c r="C25" s="989">
        <f t="shared" si="1"/>
        <v>7</v>
      </c>
      <c r="D25" s="175"/>
      <c r="E25" s="328"/>
      <c r="F25" s="337" t="s">
        <v>1879</v>
      </c>
      <c r="G25" s="167" t="str">
        <f>VLOOKUP(F25,Lists!$B$34:$E$39,Lists!$D$3,FALSE)</f>
        <v>#8.01</v>
      </c>
      <c r="H25" s="256">
        <f>VLOOKUP(G25,TOV!$C$464:$G$480,4,FALSE)</f>
        <v>167512.75076315654</v>
      </c>
      <c r="I25" s="292"/>
      <c r="J25" s="121">
        <f t="shared" si="0"/>
        <v>0</v>
      </c>
      <c r="K25" s="192"/>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8"/>
      <c r="ES25" s="1071"/>
    </row>
    <row r="26" spans="2:149" s="520" customFormat="1" ht="12.75">
      <c r="B26" s="310"/>
      <c r="C26" s="989">
        <f t="shared" si="1"/>
        <v>8</v>
      </c>
      <c r="D26" s="175"/>
      <c r="E26" s="328"/>
      <c r="F26" s="337" t="s">
        <v>1879</v>
      </c>
      <c r="G26" s="167" t="str">
        <f>VLOOKUP(F26,Lists!$B$34:$E$39,Lists!$D$3,FALSE)</f>
        <v>#8.01</v>
      </c>
      <c r="H26" s="256">
        <f>VLOOKUP(G26,TOV!$C$464:$G$480,4,FALSE)</f>
        <v>167512.75076315654</v>
      </c>
      <c r="I26" s="292"/>
      <c r="J26" s="121">
        <f t="shared" si="0"/>
        <v>0</v>
      </c>
      <c r="K26" s="192"/>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8"/>
      <c r="ES26" s="1071"/>
    </row>
    <row r="27" spans="2:149" s="520" customFormat="1" ht="12.75">
      <c r="B27" s="310"/>
      <c r="C27" s="989">
        <f t="shared" si="1"/>
        <v>9</v>
      </c>
      <c r="D27" s="175"/>
      <c r="E27" s="328"/>
      <c r="F27" s="337" t="s">
        <v>1879</v>
      </c>
      <c r="G27" s="167" t="str">
        <f>VLOOKUP(F27,Lists!$B$34:$E$39,Lists!$D$3,FALSE)</f>
        <v>#8.01</v>
      </c>
      <c r="H27" s="256">
        <f>VLOOKUP(G27,TOV!$C$464:$G$480,4,FALSE)</f>
        <v>167512.75076315654</v>
      </c>
      <c r="I27" s="292"/>
      <c r="J27" s="121">
        <f t="shared" si="0"/>
        <v>0</v>
      </c>
      <c r="K27" s="192"/>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8"/>
      <c r="ES27" s="1071"/>
    </row>
    <row r="28" spans="2:149" s="520" customFormat="1" ht="12.75">
      <c r="B28" s="310"/>
      <c r="C28" s="989">
        <f t="shared" si="1"/>
        <v>10</v>
      </c>
      <c r="D28" s="175"/>
      <c r="E28" s="328"/>
      <c r="F28" s="337" t="s">
        <v>1879</v>
      </c>
      <c r="G28" s="167" t="str">
        <f>VLOOKUP(F28,Lists!$B$34:$E$39,Lists!$D$3,FALSE)</f>
        <v>#8.01</v>
      </c>
      <c r="H28" s="256">
        <f>VLOOKUP(G28,TOV!$C$464:$G$480,4,FALSE)</f>
        <v>167512.75076315654</v>
      </c>
      <c r="I28" s="292"/>
      <c r="J28" s="121">
        <f t="shared" si="0"/>
        <v>0</v>
      </c>
      <c r="K28" s="192"/>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8"/>
      <c r="ES28" s="1071"/>
    </row>
    <row r="29" spans="2:149" s="520" customFormat="1" ht="12.75">
      <c r="B29" s="310"/>
      <c r="C29" s="989">
        <f t="shared" si="1"/>
        <v>11</v>
      </c>
      <c r="D29" s="175"/>
      <c r="E29" s="328"/>
      <c r="F29" s="337" t="s">
        <v>1879</v>
      </c>
      <c r="G29" s="167" t="str">
        <f>VLOOKUP(F29,Lists!$B$34:$E$39,Lists!$D$3,FALSE)</f>
        <v>#8.01</v>
      </c>
      <c r="H29" s="256">
        <f>VLOOKUP(G29,TOV!$C$464:$G$480,4,FALSE)</f>
        <v>167512.75076315654</v>
      </c>
      <c r="I29" s="292"/>
      <c r="J29" s="121">
        <f t="shared" si="0"/>
        <v>0</v>
      </c>
      <c r="K29" s="192"/>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8"/>
      <c r="ES29" s="1071"/>
    </row>
    <row r="30" spans="2:149" s="520" customFormat="1" ht="12.75">
      <c r="B30" s="310"/>
      <c r="C30" s="989">
        <f t="shared" si="1"/>
        <v>12</v>
      </c>
      <c r="D30" s="175"/>
      <c r="E30" s="328"/>
      <c r="F30" s="337" t="s">
        <v>1879</v>
      </c>
      <c r="G30" s="167" t="str">
        <f>VLOOKUP(F30,Lists!$B$34:$E$39,Lists!$D$3,FALSE)</f>
        <v>#8.01</v>
      </c>
      <c r="H30" s="256">
        <f>VLOOKUP(G30,TOV!$C$464:$G$480,4,FALSE)</f>
        <v>167512.75076315654</v>
      </c>
      <c r="I30" s="292"/>
      <c r="J30" s="121">
        <f t="shared" si="0"/>
        <v>0</v>
      </c>
      <c r="K30" s="192"/>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8"/>
      <c r="ES30" s="1071"/>
    </row>
    <row r="31" spans="2:149" s="520" customFormat="1" ht="12.75">
      <c r="B31" s="310"/>
      <c r="C31" s="989">
        <f t="shared" si="1"/>
        <v>13</v>
      </c>
      <c r="D31" s="175"/>
      <c r="E31" s="328"/>
      <c r="F31" s="337" t="s">
        <v>1879</v>
      </c>
      <c r="G31" s="167" t="str">
        <f>VLOOKUP(F31,Lists!$B$34:$E$39,Lists!$D$3,FALSE)</f>
        <v>#8.01</v>
      </c>
      <c r="H31" s="256">
        <f>VLOOKUP(G31,TOV!$C$464:$G$480,4,FALSE)</f>
        <v>167512.75076315654</v>
      </c>
      <c r="I31" s="292"/>
      <c r="J31" s="121">
        <f t="shared" si="0"/>
        <v>0</v>
      </c>
      <c r="K31" s="192"/>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8"/>
      <c r="ES31" s="1071"/>
    </row>
    <row r="32" spans="2:149" s="520" customFormat="1" ht="12.75">
      <c r="B32" s="310"/>
      <c r="C32" s="989">
        <f t="shared" si="1"/>
        <v>14</v>
      </c>
      <c r="D32" s="175"/>
      <c r="E32" s="328"/>
      <c r="F32" s="337" t="s">
        <v>1879</v>
      </c>
      <c r="G32" s="167" t="str">
        <f>VLOOKUP(F32,Lists!$B$34:$E$39,Lists!$D$3,FALSE)</f>
        <v>#8.01</v>
      </c>
      <c r="H32" s="256">
        <f>VLOOKUP(G32,TOV!$C$464:$G$480,4,FALSE)</f>
        <v>167512.75076315654</v>
      </c>
      <c r="I32" s="292"/>
      <c r="J32" s="121">
        <f t="shared" si="0"/>
        <v>0</v>
      </c>
      <c r="K32" s="192"/>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8"/>
      <c r="ES32" s="1071"/>
    </row>
    <row r="33" spans="1:160" s="520" customFormat="1" ht="12.75">
      <c r="B33" s="310"/>
      <c r="C33" s="989">
        <f t="shared" si="1"/>
        <v>15</v>
      </c>
      <c r="D33" s="175"/>
      <c r="E33" s="328"/>
      <c r="F33" s="337" t="s">
        <v>1879</v>
      </c>
      <c r="G33" s="167" t="str">
        <f>VLOOKUP(F33,Lists!$B$34:$E$39,Lists!$D$3,FALSE)</f>
        <v>#8.01</v>
      </c>
      <c r="H33" s="256">
        <f>VLOOKUP(G33,TOV!$C$464:$G$480,4,FALSE)</f>
        <v>167512.75076315654</v>
      </c>
      <c r="I33" s="292"/>
      <c r="J33" s="121">
        <f t="shared" si="0"/>
        <v>0</v>
      </c>
      <c r="K33" s="192"/>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8"/>
      <c r="ES33" s="1071"/>
    </row>
    <row r="34" spans="1:160" s="520" customFormat="1" ht="12.75">
      <c r="B34" s="310"/>
      <c r="C34" s="989">
        <f t="shared" si="1"/>
        <v>16</v>
      </c>
      <c r="D34" s="175"/>
      <c r="E34" s="328"/>
      <c r="F34" s="337" t="s">
        <v>1879</v>
      </c>
      <c r="G34" s="167" t="str">
        <f>VLOOKUP(F34,Lists!$B$34:$E$39,Lists!$D$3,FALSE)</f>
        <v>#8.01</v>
      </c>
      <c r="H34" s="256">
        <f>VLOOKUP(G34,TOV!$C$464:$G$480,4,FALSE)</f>
        <v>167512.75076315654</v>
      </c>
      <c r="I34" s="292"/>
      <c r="J34" s="121">
        <f t="shared" si="0"/>
        <v>0</v>
      </c>
      <c r="K34" s="192"/>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8"/>
      <c r="ES34" s="1071"/>
    </row>
    <row r="35" spans="1:160" s="520" customFormat="1" ht="12.75">
      <c r="B35" s="310"/>
      <c r="C35" s="989">
        <f t="shared" si="1"/>
        <v>17</v>
      </c>
      <c r="D35" s="175"/>
      <c r="E35" s="328"/>
      <c r="F35" s="337" t="s">
        <v>1879</v>
      </c>
      <c r="G35" s="167" t="str">
        <f>VLOOKUP(F35,Lists!$B$34:$E$39,Lists!$D$3,FALSE)</f>
        <v>#8.01</v>
      </c>
      <c r="H35" s="256">
        <f>VLOOKUP(G35,TOV!$C$464:$G$480,4,FALSE)</f>
        <v>167512.75076315654</v>
      </c>
      <c r="I35" s="292"/>
      <c r="J35" s="121">
        <f t="shared" si="0"/>
        <v>0</v>
      </c>
      <c r="K35" s="192"/>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8"/>
      <c r="ES35" s="1071"/>
    </row>
    <row r="36" spans="1:160" s="520" customFormat="1" ht="12.75">
      <c r="B36" s="310"/>
      <c r="C36" s="989">
        <f t="shared" si="1"/>
        <v>18</v>
      </c>
      <c r="D36" s="175"/>
      <c r="E36" s="328"/>
      <c r="F36" s="337" t="s">
        <v>1879</v>
      </c>
      <c r="G36" s="167" t="str">
        <f>VLOOKUP(F36,Lists!$B$34:$E$39,Lists!$D$3,FALSE)</f>
        <v>#8.01</v>
      </c>
      <c r="H36" s="256">
        <f>VLOOKUP(G36,TOV!$C$464:$G$480,4,FALSE)</f>
        <v>167512.75076315654</v>
      </c>
      <c r="I36" s="292"/>
      <c r="J36" s="121">
        <f t="shared" si="0"/>
        <v>0</v>
      </c>
      <c r="K36" s="192"/>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8"/>
      <c r="ES36" s="1071"/>
    </row>
    <row r="37" spans="1:160" s="520" customFormat="1" ht="12.75">
      <c r="B37" s="310"/>
      <c r="C37" s="989">
        <f t="shared" si="1"/>
        <v>19</v>
      </c>
      <c r="D37" s="175"/>
      <c r="E37" s="328"/>
      <c r="F37" s="337" t="s">
        <v>1879</v>
      </c>
      <c r="G37" s="167" t="str">
        <f>VLOOKUP(F37,Lists!$B$34:$E$39,Lists!$D$3,FALSE)</f>
        <v>#8.01</v>
      </c>
      <c r="H37" s="256">
        <f>VLOOKUP(G37,TOV!$C$464:$G$480,4,FALSE)</f>
        <v>167512.75076315654</v>
      </c>
      <c r="I37" s="292"/>
      <c r="J37" s="121">
        <f t="shared" si="0"/>
        <v>0</v>
      </c>
      <c r="K37" s="192"/>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8"/>
      <c r="ES37" s="1071"/>
    </row>
    <row r="38" spans="1:160" s="520" customFormat="1" ht="12.75">
      <c r="B38" s="310"/>
      <c r="C38" s="989">
        <f t="shared" si="1"/>
        <v>20</v>
      </c>
      <c r="D38" s="175"/>
      <c r="E38" s="328"/>
      <c r="F38" s="337" t="s">
        <v>1879</v>
      </c>
      <c r="G38" s="167" t="str">
        <f>VLOOKUP(F38,Lists!$B$34:$E$39,Lists!$D$3,FALSE)</f>
        <v>#8.01</v>
      </c>
      <c r="H38" s="256">
        <f>VLOOKUP(G38,TOV!$C$464:$G$480,4,FALSE)</f>
        <v>167512.75076315654</v>
      </c>
      <c r="I38" s="292"/>
      <c r="J38" s="121">
        <f t="shared" si="0"/>
        <v>0</v>
      </c>
      <c r="K38" s="192"/>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8"/>
      <c r="ES38" s="1071"/>
    </row>
    <row r="39" spans="1:160" s="520" customFormat="1" ht="16.149999999999999" customHeight="1">
      <c r="B39" s="582"/>
      <c r="C39" s="582"/>
      <c r="D39" s="495"/>
      <c r="E39" s="1012"/>
      <c r="F39" s="495"/>
      <c r="G39" s="582"/>
      <c r="H39" s="259"/>
      <c r="I39" s="272"/>
      <c r="J39" s="272"/>
      <c r="K39" s="768"/>
      <c r="L39" s="768"/>
      <c r="M39" s="474"/>
      <c r="N39" s="474"/>
      <c r="O39" s="474"/>
      <c r="P39" s="474"/>
      <c r="Q39" s="474"/>
      <c r="R39" s="474"/>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ET39" s="1071"/>
    </row>
    <row r="40" spans="1:160" s="520" customFormat="1" ht="16.149999999999999" customHeight="1">
      <c r="B40" s="495"/>
      <c r="C40" s="495"/>
      <c r="D40" s="495"/>
      <c r="E40" s="372">
        <f>SUM(E19:E39)</f>
        <v>0</v>
      </c>
      <c r="F40" s="495"/>
      <c r="G40" s="495"/>
      <c r="H40" s="495"/>
      <c r="I40" s="904"/>
      <c r="J40" s="1072">
        <f>SUM(J17:J39)</f>
        <v>0</v>
      </c>
      <c r="K40" s="768"/>
      <c r="L40" s="768"/>
      <c r="M40" s="474"/>
      <c r="N40" s="474"/>
      <c r="O40" s="474"/>
      <c r="P40" s="474"/>
      <c r="Q40" s="474"/>
      <c r="R40" s="474"/>
      <c r="S40" s="495"/>
      <c r="T40" s="495"/>
      <c r="U40" s="495"/>
      <c r="V40" s="1146"/>
      <c r="W40" s="1146"/>
      <c r="X40" s="1146"/>
      <c r="Y40" s="1146"/>
      <c r="Z40" s="1146"/>
      <c r="AA40" s="1146"/>
      <c r="AB40" s="1146"/>
      <c r="AC40" s="768"/>
      <c r="AD40" s="768"/>
      <c r="AE40" s="768"/>
      <c r="AF40" s="768"/>
      <c r="AG40" s="768"/>
      <c r="AH40" s="768"/>
      <c r="AI40" s="768"/>
      <c r="AJ40" s="768"/>
      <c r="AK40" s="768"/>
      <c r="AL40" s="768"/>
      <c r="AM40" s="768"/>
      <c r="AN40" s="768"/>
      <c r="AO40" s="768"/>
      <c r="AP40" s="768"/>
      <c r="AQ40" s="768"/>
      <c r="AR40" s="768"/>
      <c r="AS40" s="768"/>
      <c r="AT40" s="768"/>
      <c r="AU40" s="768"/>
      <c r="AV40" s="768"/>
      <c r="AW40" s="768"/>
      <c r="AX40" s="768"/>
      <c r="AY40" s="768"/>
      <c r="AZ40" s="768"/>
      <c r="BA40" s="768"/>
      <c r="BB40" s="768"/>
      <c r="BC40" s="768"/>
      <c r="BD40" s="768"/>
      <c r="EV40" s="1071"/>
    </row>
    <row r="41" spans="1:160" ht="12.75">
      <c r="E41" s="475"/>
      <c r="F41" s="475"/>
      <c r="J41" s="405">
        <f>IF(E40=0,0,J40/E40)</f>
        <v>0</v>
      </c>
      <c r="K41" s="434" t="s">
        <v>41</v>
      </c>
      <c r="AZ41" s="474"/>
      <c r="BB41" s="474"/>
      <c r="BD41" s="474"/>
      <c r="ER41" s="475"/>
      <c r="ET41" s="1068"/>
    </row>
    <row r="42" spans="1:160">
      <c r="B42" s="1073"/>
      <c r="C42" s="1073"/>
      <c r="D42" s="1073"/>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c r="AY42" s="1074"/>
      <c r="AZ42" s="1073"/>
      <c r="BA42" s="1074"/>
      <c r="BB42" s="1073"/>
      <c r="BC42" s="1074"/>
      <c r="BD42" s="1073"/>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1073"/>
      <c r="CV42" s="1073"/>
      <c r="CW42" s="1073"/>
      <c r="CX42" s="1073"/>
      <c r="CY42" s="1073"/>
      <c r="CZ42" s="1073"/>
      <c r="DA42" s="1073"/>
      <c r="DB42" s="1073"/>
      <c r="DC42" s="1073"/>
      <c r="DD42" s="1073"/>
      <c r="DE42" s="1073"/>
      <c r="DF42" s="1073"/>
      <c r="DG42" s="1073"/>
      <c r="DH42" s="1073"/>
      <c r="DI42" s="1073"/>
      <c r="DJ42" s="1073"/>
      <c r="DK42" s="1073"/>
      <c r="DL42" s="1073"/>
      <c r="DM42" s="1073"/>
      <c r="DN42" s="1073"/>
      <c r="DO42" s="1073"/>
      <c r="DP42" s="1073"/>
      <c r="DQ42" s="1073"/>
      <c r="DR42" s="1073"/>
      <c r="DS42" s="1073"/>
      <c r="DT42" s="1073"/>
      <c r="DU42" s="1073"/>
      <c r="DV42" s="1073"/>
      <c r="DW42" s="1073"/>
      <c r="DX42" s="1073"/>
      <c r="DY42" s="1073"/>
      <c r="DZ42" s="1073"/>
      <c r="EA42" s="1147"/>
      <c r="EB42" s="1073"/>
      <c r="EC42" s="1073"/>
      <c r="ED42" s="1073"/>
      <c r="EE42" s="1073"/>
      <c r="EF42" s="1073"/>
      <c r="EG42" s="1073"/>
      <c r="EH42" s="1073"/>
      <c r="EI42" s="1073"/>
      <c r="EJ42" s="1073"/>
      <c r="EK42" s="1073"/>
      <c r="EL42" s="1073"/>
      <c r="EM42" s="1073"/>
      <c r="ER42" s="475"/>
      <c r="ET42" s="1068"/>
    </row>
    <row r="43" spans="1:160" s="1148" customFormat="1" ht="12.75">
      <c r="B43" s="1148" t="s">
        <v>1898</v>
      </c>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X43" s="1067"/>
      <c r="AZ43" s="1067"/>
      <c r="EC43" s="789" t="str">
        <f t="shared" ref="EC43" si="2">$B43</f>
        <v>Alert</v>
      </c>
      <c r="ED43" s="1075" t="str">
        <f>IF(ED46="","No Alert","Enter justification")</f>
        <v>No Alert</v>
      </c>
      <c r="EE43" s="1075" t="str">
        <f>IF(EE46="","No Alert","Enter justification")</f>
        <v>No Alert</v>
      </c>
      <c r="EN43" s="1149"/>
    </row>
    <row r="44" spans="1:160">
      <c r="B44" s="475" t="s">
        <v>1521</v>
      </c>
      <c r="E44" s="475"/>
      <c r="F44" s="475"/>
      <c r="Q44" s="475"/>
      <c r="R44" s="475"/>
      <c r="S44" s="475"/>
      <c r="T44" s="475"/>
      <c r="U44" s="1068"/>
      <c r="V44" s="475"/>
      <c r="W44" s="475"/>
      <c r="AB44" s="475"/>
      <c r="AC44" s="475"/>
      <c r="AD44" s="475"/>
      <c r="AE44" s="475"/>
      <c r="AL44" s="475"/>
      <c r="AM44" s="475"/>
      <c r="AN44" s="475"/>
      <c r="AO44" s="475"/>
      <c r="AP44" s="475"/>
      <c r="AQ44" s="475"/>
      <c r="AR44" s="475"/>
      <c r="AS44" s="475"/>
      <c r="AT44" s="475"/>
      <c r="AU44" s="475"/>
      <c r="AV44" s="475"/>
      <c r="BA44" s="475"/>
      <c r="BC44" s="475"/>
      <c r="EC44" s="789" t="str">
        <f>$B44</f>
        <v>TOV#</v>
      </c>
      <c r="ED44" s="824" t="str">
        <f>TOVNum_Pasture</f>
        <v>#14.40</v>
      </c>
      <c r="EE44" s="824" t="str">
        <f>TOVNum_Native</f>
        <v>#14.41</v>
      </c>
      <c r="EF44" s="789"/>
      <c r="EG44" s="520"/>
      <c r="EH44" s="224" t="str">
        <f>Subrates_Table_5</f>
        <v>Subrates Table 5</v>
      </c>
      <c r="EL44" s="1068"/>
      <c r="ER44" s="475"/>
    </row>
    <row r="45" spans="1:160" ht="16.149999999999999" customHeight="1">
      <c r="B45" s="475" t="s">
        <v>1780</v>
      </c>
      <c r="Q45" s="475"/>
      <c r="R45" s="475"/>
      <c r="S45" s="475"/>
      <c r="T45" s="475"/>
      <c r="U45" s="475"/>
      <c r="V45" s="475"/>
      <c r="W45" s="475"/>
      <c r="AB45" s="475"/>
      <c r="AD45" s="475"/>
      <c r="AE45" s="475"/>
      <c r="AL45" s="475"/>
      <c r="AM45" s="475"/>
      <c r="AP45" s="475"/>
      <c r="AQ45" s="475"/>
      <c r="AR45" s="475"/>
      <c r="AT45" s="475"/>
      <c r="AU45" s="475"/>
      <c r="AV45" s="475"/>
      <c r="AZ45" s="474"/>
      <c r="BB45" s="474"/>
      <c r="BC45" s="475"/>
      <c r="BE45" s="474"/>
      <c r="BF45" s="474"/>
      <c r="BL45" s="474"/>
      <c r="BM45" s="474"/>
      <c r="BN45" s="474"/>
      <c r="BO45" s="474"/>
      <c r="BP45" s="474"/>
      <c r="BQ45" s="474"/>
      <c r="BR45" s="474"/>
      <c r="BY45" s="474"/>
      <c r="BZ45" s="474"/>
      <c r="CA45" s="474"/>
      <c r="CC45" s="474"/>
      <c r="CD45" s="474"/>
      <c r="CE45" s="474"/>
      <c r="CG45" s="474"/>
      <c r="CV45" s="474"/>
      <c r="CW45" s="474"/>
      <c r="DK45" s="474"/>
      <c r="DP45" s="474"/>
      <c r="DU45" s="474"/>
      <c r="DY45" s="474"/>
      <c r="EA45" s="474"/>
      <c r="EC45" s="789" t="str">
        <f>$B45</f>
        <v>TOV Rate</v>
      </c>
      <c r="ED45" s="63">
        <f>Seed_pasture_rate</f>
        <v>1655.5</v>
      </c>
      <c r="EE45" s="63">
        <f>Seed_native_rate</f>
        <v>4196.5</v>
      </c>
      <c r="EF45" s="789"/>
      <c r="EG45" s="520"/>
      <c r="EH45" s="41">
        <f>Subrates!$C$100</f>
        <v>972.13290984938885</v>
      </c>
      <c r="EL45" s="1068"/>
      <c r="ER45" s="475"/>
    </row>
    <row r="46" spans="1:160" s="434" customFormat="1" ht="15.6" customHeight="1">
      <c r="A46" s="475"/>
      <c r="B46" s="475" t="s">
        <v>1556</v>
      </c>
      <c r="C46" s="475"/>
      <c r="D46" s="1103"/>
      <c r="E46" s="1103"/>
      <c r="F46" s="1103"/>
      <c r="G46" s="1104"/>
      <c r="H46" s="1104"/>
      <c r="I46" s="1104"/>
      <c r="J46" s="1104"/>
      <c r="K46" s="1104"/>
      <c r="L46" s="1104"/>
      <c r="M46" s="1104"/>
      <c r="N46" s="1104"/>
      <c r="O46" s="1104"/>
      <c r="P46" s="1103"/>
      <c r="Q46" s="475"/>
      <c r="R46" s="475"/>
      <c r="S46" s="475"/>
      <c r="T46" s="475"/>
      <c r="U46" s="475"/>
      <c r="AB46" s="475"/>
      <c r="AC46" s="475"/>
      <c r="AE46" s="1068"/>
      <c r="AL46" s="475"/>
      <c r="AN46" s="475"/>
      <c r="AO46" s="475"/>
      <c r="AP46" s="475"/>
      <c r="AR46" s="475"/>
      <c r="AS46" s="475"/>
      <c r="AT46" s="475"/>
      <c r="AV46" s="475"/>
      <c r="AW46" s="475"/>
      <c r="AX46" s="475"/>
      <c r="BC46" s="475"/>
      <c r="BD46" s="475"/>
      <c r="BG46" s="475"/>
      <c r="BH46" s="475"/>
      <c r="BI46" s="475"/>
      <c r="BJ46" s="475"/>
      <c r="BK46" s="475"/>
      <c r="BS46" s="475"/>
      <c r="BT46" s="475"/>
      <c r="BV46" s="475"/>
      <c r="BW46" s="475"/>
      <c r="BX46" s="475"/>
      <c r="BZ46" s="475"/>
      <c r="CB46" s="475"/>
      <c r="CD46" s="475"/>
      <c r="CF46" s="475"/>
      <c r="CG46" s="475"/>
      <c r="CI46" s="475"/>
      <c r="CJ46" s="475"/>
      <c r="CK46" s="475"/>
      <c r="CM46" s="475"/>
      <c r="CV46" s="474"/>
      <c r="CX46" s="475"/>
      <c r="CZ46" s="475"/>
      <c r="DC46" s="475"/>
      <c r="DE46" s="475"/>
      <c r="DF46" s="475"/>
      <c r="DG46" s="474"/>
      <c r="DH46" s="475"/>
      <c r="DL46" s="475"/>
      <c r="DM46" s="475"/>
      <c r="DN46" s="475"/>
      <c r="DQ46" s="475"/>
      <c r="DR46" s="475"/>
      <c r="DS46" s="475"/>
      <c r="DV46" s="475"/>
      <c r="DW46" s="475"/>
      <c r="DX46" s="475"/>
      <c r="DZ46" s="475"/>
      <c r="EA46" s="475"/>
      <c r="EB46" s="475"/>
      <c r="EC46" s="789" t="str">
        <f>$B46</f>
        <v>Alternate Rate</v>
      </c>
      <c r="ED46" s="117"/>
      <c r="EE46" s="117"/>
      <c r="EF46" s="789"/>
      <c r="EG46" s="520"/>
      <c r="EH46" s="117"/>
      <c r="EI46" s="475"/>
      <c r="EJ46" s="475"/>
      <c r="EK46" s="475"/>
      <c r="EL46" s="475"/>
      <c r="EM46" s="475"/>
      <c r="EN46" s="475"/>
      <c r="EO46" s="475"/>
      <c r="EP46" s="475"/>
      <c r="EQ46" s="475"/>
      <c r="ER46" s="475"/>
      <c r="ES46" s="475"/>
      <c r="ET46" s="475"/>
      <c r="EU46" s="475"/>
      <c r="EV46" s="475"/>
      <c r="EW46" s="475"/>
      <c r="EX46" s="475"/>
      <c r="EY46" s="475"/>
      <c r="EZ46" s="475"/>
      <c r="FA46" s="475"/>
      <c r="FB46" s="475"/>
      <c r="FC46" s="475"/>
      <c r="FD46" s="475"/>
    </row>
    <row r="47" spans="1:160" s="434" customFormat="1" ht="15.6" customHeight="1">
      <c r="A47" s="475"/>
      <c r="B47" s="475" t="s">
        <v>2</v>
      </c>
      <c r="C47" s="475"/>
      <c r="D47" s="1103"/>
      <c r="E47" s="1103"/>
      <c r="F47" s="1103"/>
      <c r="G47" s="1104"/>
      <c r="H47" s="1104"/>
      <c r="I47" s="1104"/>
      <c r="J47" s="1104"/>
      <c r="K47" s="1104"/>
      <c r="L47" s="1104"/>
      <c r="M47" s="1104"/>
      <c r="N47" s="1104"/>
      <c r="O47" s="1104"/>
      <c r="P47" s="1103"/>
      <c r="Q47" s="475"/>
      <c r="R47" s="475"/>
      <c r="S47" s="475"/>
      <c r="T47" s="475"/>
      <c r="U47" s="475"/>
      <c r="AB47" s="475"/>
      <c r="AC47" s="475"/>
      <c r="AE47" s="1068"/>
      <c r="AL47" s="475"/>
      <c r="AN47" s="475"/>
      <c r="AO47" s="475"/>
      <c r="AP47" s="475"/>
      <c r="AR47" s="475"/>
      <c r="AS47" s="475"/>
      <c r="AT47" s="475"/>
      <c r="AV47" s="475"/>
      <c r="AW47" s="475"/>
      <c r="AX47" s="475"/>
      <c r="BC47" s="475"/>
      <c r="BD47" s="475"/>
      <c r="BG47" s="475"/>
      <c r="BH47" s="475"/>
      <c r="BI47" s="475"/>
      <c r="BJ47" s="475"/>
      <c r="BK47" s="475"/>
      <c r="BS47" s="475"/>
      <c r="BT47" s="475"/>
      <c r="BV47" s="475"/>
      <c r="BW47" s="475"/>
      <c r="BX47" s="475"/>
      <c r="BZ47" s="475"/>
      <c r="CB47" s="475"/>
      <c r="CD47" s="475"/>
      <c r="CF47" s="475"/>
      <c r="CG47" s="475"/>
      <c r="CI47" s="475"/>
      <c r="CJ47" s="475"/>
      <c r="CK47" s="475"/>
      <c r="CM47" s="475"/>
      <c r="CV47" s="474"/>
      <c r="CX47" s="475"/>
      <c r="CZ47" s="475"/>
      <c r="DC47" s="475"/>
      <c r="DE47" s="475"/>
      <c r="DF47" s="475"/>
      <c r="DG47" s="474"/>
      <c r="DH47" s="475"/>
      <c r="DL47" s="475"/>
      <c r="DM47" s="475"/>
      <c r="DN47" s="475"/>
      <c r="DQ47" s="475"/>
      <c r="DR47" s="475"/>
      <c r="DS47" s="475"/>
      <c r="DV47" s="475"/>
      <c r="DW47" s="475"/>
      <c r="DX47" s="475"/>
      <c r="DZ47" s="475"/>
      <c r="EA47" s="475"/>
      <c r="EB47" s="475"/>
      <c r="EC47" s="789" t="str">
        <f>$B47</f>
        <v>Unit</v>
      </c>
      <c r="ED47" s="768" t="str">
        <f>VLOOKUP(ED44,TOV!$C$536:$G$585,TOV!$G$1,FALSE)</f>
        <v>ha</v>
      </c>
      <c r="EE47" s="768" t="str">
        <f>VLOOKUP(EE44,TOV!$C$536:$G$585,TOV!$G$1,FALSE)</f>
        <v>ha</v>
      </c>
      <c r="EF47" s="789"/>
      <c r="EG47" s="520"/>
      <c r="EH47" s="768" t="str">
        <f>Subrates!D100</f>
        <v>ha</v>
      </c>
      <c r="EI47" s="475"/>
      <c r="EJ47" s="475"/>
      <c r="EK47" s="475"/>
      <c r="EL47" s="475"/>
      <c r="EM47" s="475"/>
      <c r="EN47" s="475"/>
      <c r="EO47" s="475"/>
      <c r="EP47" s="475"/>
      <c r="EQ47" s="475"/>
      <c r="ER47" s="475"/>
      <c r="ES47" s="475"/>
      <c r="ET47" s="475"/>
      <c r="EU47" s="475"/>
      <c r="EV47" s="475"/>
      <c r="EW47" s="475"/>
      <c r="EX47" s="475"/>
      <c r="EY47" s="475"/>
      <c r="EZ47" s="475"/>
      <c r="FA47" s="475"/>
      <c r="FB47" s="475"/>
      <c r="FC47" s="475"/>
      <c r="FD47" s="475"/>
    </row>
    <row r="48" spans="1:160" s="434" customFormat="1" ht="15.6" customHeight="1">
      <c r="A48" s="475"/>
      <c r="B48" s="475" t="s">
        <v>1</v>
      </c>
      <c r="C48" s="475"/>
      <c r="D48" s="1103"/>
      <c r="E48" s="1103"/>
      <c r="F48" s="1103"/>
      <c r="G48" s="1104"/>
      <c r="H48" s="1104"/>
      <c r="I48" s="1104"/>
      <c r="J48" s="1104"/>
      <c r="K48" s="1104"/>
      <c r="L48" s="1104"/>
      <c r="M48" s="1104"/>
      <c r="N48" s="1104"/>
      <c r="O48" s="1104"/>
      <c r="P48" s="1103"/>
      <c r="Q48" s="475"/>
      <c r="R48" s="475"/>
      <c r="S48" s="475"/>
      <c r="T48" s="475"/>
      <c r="U48" s="475"/>
      <c r="AB48" s="475"/>
      <c r="AC48" s="475"/>
      <c r="AE48" s="1068"/>
      <c r="AL48" s="475"/>
      <c r="AN48" s="475"/>
      <c r="AO48" s="475"/>
      <c r="AP48" s="475"/>
      <c r="AR48" s="475"/>
      <c r="AS48" s="475"/>
      <c r="AT48" s="475"/>
      <c r="AV48" s="475"/>
      <c r="AW48" s="475"/>
      <c r="AX48" s="475"/>
      <c r="BC48" s="475"/>
      <c r="BD48" s="475"/>
      <c r="BG48" s="475"/>
      <c r="BH48" s="475"/>
      <c r="BI48" s="475"/>
      <c r="BJ48" s="475"/>
      <c r="BK48" s="475"/>
      <c r="BS48" s="475"/>
      <c r="BT48" s="475"/>
      <c r="BV48" s="475"/>
      <c r="BW48" s="475"/>
      <c r="BX48" s="475"/>
      <c r="BZ48" s="475"/>
      <c r="CB48" s="475"/>
      <c r="CD48" s="475"/>
      <c r="CF48" s="475"/>
      <c r="CG48" s="475"/>
      <c r="CI48" s="475"/>
      <c r="CJ48" s="475"/>
      <c r="CK48" s="475"/>
      <c r="CV48" s="474"/>
      <c r="CX48" s="475"/>
      <c r="CZ48" s="475"/>
      <c r="DC48" s="475"/>
      <c r="DE48" s="475"/>
      <c r="DF48" s="475"/>
      <c r="DG48" s="474"/>
      <c r="DH48" s="475"/>
      <c r="DL48" s="475"/>
      <c r="DM48" s="475"/>
      <c r="DN48" s="475"/>
      <c r="DQ48" s="475"/>
      <c r="DR48" s="475"/>
      <c r="DS48" s="475"/>
      <c r="DV48" s="475"/>
      <c r="DW48" s="475"/>
      <c r="DX48" s="475"/>
      <c r="DZ48" s="475"/>
      <c r="EA48" s="475"/>
      <c r="EB48" s="475"/>
      <c r="EC48" s="789" t="str">
        <f>$B48</f>
        <v>Default</v>
      </c>
      <c r="ED48" s="520"/>
      <c r="EE48" s="520"/>
      <c r="EF48" s="789" t="str">
        <f>$B48</f>
        <v>Default</v>
      </c>
      <c r="EG48" s="990">
        <v>1</v>
      </c>
      <c r="EH48" s="520"/>
      <c r="EI48" s="475"/>
      <c r="EJ48" s="475"/>
      <c r="EK48" s="475"/>
      <c r="EL48" s="475"/>
      <c r="EM48" s="475"/>
      <c r="EN48" s="475"/>
      <c r="EO48" s="475"/>
      <c r="EP48" s="475"/>
      <c r="EQ48" s="475"/>
      <c r="ER48" s="475"/>
      <c r="ES48" s="475"/>
      <c r="ET48" s="475"/>
      <c r="EU48" s="475"/>
      <c r="EV48" s="475"/>
      <c r="EW48" s="475"/>
      <c r="EX48" s="475"/>
      <c r="EY48" s="475"/>
      <c r="EZ48" s="475"/>
      <c r="FA48" s="475"/>
      <c r="FB48" s="475"/>
      <c r="FC48" s="475"/>
      <c r="FD48" s="475"/>
    </row>
    <row r="49" spans="2:153" ht="16.149999999999999" customHeight="1">
      <c r="B49" s="284" t="s">
        <v>26</v>
      </c>
      <c r="C49" s="761" t="s">
        <v>2062</v>
      </c>
      <c r="D49" s="761"/>
      <c r="E49" s="855" t="s">
        <v>2063</v>
      </c>
      <c r="F49" s="1078"/>
      <c r="G49" s="1078"/>
      <c r="H49" s="855" t="s">
        <v>2064</v>
      </c>
      <c r="I49" s="1078"/>
      <c r="J49" s="1078"/>
      <c r="K49" s="1078"/>
      <c r="L49" s="1078"/>
      <c r="M49" s="1078"/>
      <c r="N49" s="1078"/>
      <c r="O49" s="1078"/>
      <c r="P49" s="1078"/>
      <c r="Q49" s="1078"/>
      <c r="R49" s="1078"/>
      <c r="S49" s="1078"/>
      <c r="T49" s="1078"/>
      <c r="U49" s="1078"/>
      <c r="V49" s="1078"/>
      <c r="W49" s="855" t="s">
        <v>2065</v>
      </c>
      <c r="X49" s="1078"/>
      <c r="Y49" s="1078"/>
      <c r="Z49" s="1078"/>
      <c r="AA49" s="1078"/>
      <c r="AB49" s="1078"/>
      <c r="AC49" s="1078"/>
      <c r="AD49" s="1078"/>
      <c r="AE49" s="1078"/>
      <c r="AF49" s="855" t="s">
        <v>2066</v>
      </c>
      <c r="AG49" s="1078"/>
      <c r="AH49" s="1078"/>
      <c r="AI49" s="1078"/>
      <c r="AJ49" s="1078"/>
      <c r="AK49" s="1078"/>
      <c r="AL49" s="1078"/>
      <c r="AM49" s="1078"/>
      <c r="AN49" s="1078"/>
      <c r="AO49" s="1078"/>
      <c r="AP49" s="1078"/>
      <c r="AQ49" s="1078"/>
      <c r="AR49" s="1078"/>
      <c r="AS49" s="1078"/>
      <c r="AT49" s="1078"/>
      <c r="AU49" s="1078"/>
      <c r="AV49" s="1078"/>
      <c r="AW49" s="855" t="s">
        <v>2067</v>
      </c>
      <c r="AX49" s="1078"/>
      <c r="AY49" s="1078"/>
      <c r="AZ49" s="1078"/>
      <c r="BA49" s="1078"/>
      <c r="BB49" s="1078"/>
      <c r="BC49" s="1078"/>
      <c r="BD49" s="1078"/>
      <c r="BE49" s="1078"/>
      <c r="BF49" s="1078"/>
      <c r="BG49" s="1078"/>
      <c r="BH49" s="1078"/>
      <c r="BI49" s="1078"/>
      <c r="BJ49" s="1078"/>
      <c r="BK49" s="1078"/>
      <c r="BL49" s="855" t="s">
        <v>2068</v>
      </c>
      <c r="BM49" s="1078"/>
      <c r="BN49" s="1078"/>
      <c r="BO49" s="1078"/>
      <c r="BP49" s="1078"/>
      <c r="BQ49" s="1078"/>
      <c r="BR49" s="1078"/>
      <c r="BS49" s="1078"/>
      <c r="BT49" s="1078"/>
      <c r="BU49" s="1078"/>
      <c r="BV49" s="1078"/>
      <c r="BW49" s="1078"/>
      <c r="BX49" s="1078"/>
      <c r="BY49" s="1078"/>
      <c r="BZ49" s="1078"/>
      <c r="CA49" s="855" t="s">
        <v>2069</v>
      </c>
      <c r="CB49" s="1078"/>
      <c r="CC49" s="1078"/>
      <c r="CD49" s="1078"/>
      <c r="CE49" s="1078"/>
      <c r="CF49" s="1078"/>
      <c r="CG49" s="1078"/>
      <c r="CH49" s="855" t="s">
        <v>2070</v>
      </c>
      <c r="CI49" s="1078"/>
      <c r="CJ49" s="1078"/>
      <c r="CK49" s="1078"/>
      <c r="CL49" s="1078"/>
      <c r="CM49" s="855" t="s">
        <v>2071</v>
      </c>
      <c r="CN49" s="1078"/>
      <c r="CO49" s="1078"/>
      <c r="CP49" s="1078"/>
      <c r="CQ49" s="1078"/>
      <c r="CR49" s="1078"/>
      <c r="CS49" s="1078"/>
      <c r="CT49" s="855" t="s">
        <v>2072</v>
      </c>
      <c r="CU49" s="1078"/>
      <c r="CV49" s="1078"/>
      <c r="CW49" s="1078"/>
      <c r="CX49" s="1078"/>
      <c r="CY49" s="1078"/>
      <c r="CZ49" s="1078"/>
      <c r="DA49" s="1078"/>
      <c r="DB49" s="1078"/>
      <c r="DC49" s="1078"/>
      <c r="DD49" s="1078"/>
      <c r="DE49" s="1078"/>
      <c r="DF49" s="1078"/>
      <c r="DG49" s="1078"/>
      <c r="DH49" s="1078"/>
      <c r="DI49" s="1078"/>
      <c r="DJ49" s="1078"/>
      <c r="DK49" s="1078"/>
      <c r="DL49" s="1078"/>
      <c r="DM49" s="1078"/>
      <c r="DN49" s="1078"/>
      <c r="DO49" s="1078"/>
      <c r="DP49" s="1078"/>
      <c r="DQ49" s="1078"/>
      <c r="DR49" s="1078"/>
      <c r="DS49" s="1078"/>
      <c r="DT49" s="1078"/>
      <c r="DU49" s="1078"/>
      <c r="DV49" s="1078"/>
      <c r="DW49" s="1078"/>
      <c r="DX49" s="1078"/>
      <c r="DY49" s="1078"/>
      <c r="DZ49" s="1078"/>
      <c r="EA49" s="1078"/>
      <c r="EB49" s="1078"/>
      <c r="EC49" s="1079"/>
      <c r="ED49" s="1078"/>
      <c r="EE49" s="1078"/>
      <c r="EF49" s="855" t="s">
        <v>2073</v>
      </c>
      <c r="EG49" s="1078"/>
      <c r="EH49" s="1078"/>
      <c r="EI49" s="855" t="s">
        <v>2074</v>
      </c>
      <c r="EJ49" s="1078"/>
      <c r="EK49" s="1078"/>
      <c r="EL49" s="1079"/>
      <c r="ER49" s="475"/>
    </row>
    <row r="50" spans="2:153" s="1088" customFormat="1" ht="60">
      <c r="B50" s="954" t="s">
        <v>1517</v>
      </c>
      <c r="C50" s="954" t="s">
        <v>27</v>
      </c>
      <c r="D50" s="954" t="s">
        <v>1583</v>
      </c>
      <c r="E50" s="1109" t="s">
        <v>2075</v>
      </c>
      <c r="F50" s="1110" t="s">
        <v>1911</v>
      </c>
      <c r="G50" s="1109" t="s">
        <v>1912</v>
      </c>
      <c r="H50" s="1109" t="s">
        <v>1913</v>
      </c>
      <c r="I50" s="1109" t="s">
        <v>1914</v>
      </c>
      <c r="J50" s="1109" t="s">
        <v>1915</v>
      </c>
      <c r="K50" s="1109" t="s">
        <v>2076</v>
      </c>
      <c r="L50" s="1110" t="s">
        <v>1917</v>
      </c>
      <c r="M50" s="1109" t="s">
        <v>1918</v>
      </c>
      <c r="N50" s="1109" t="s">
        <v>1919</v>
      </c>
      <c r="O50" s="1109" t="s">
        <v>1920</v>
      </c>
      <c r="P50" s="1109" t="s">
        <v>1921</v>
      </c>
      <c r="Q50" s="1110" t="s">
        <v>1922</v>
      </c>
      <c r="R50" s="1111" t="s">
        <v>1923</v>
      </c>
      <c r="S50" s="1109" t="s">
        <v>1924</v>
      </c>
      <c r="T50" s="1109" t="s">
        <v>1925</v>
      </c>
      <c r="U50" s="1109" t="s">
        <v>1926</v>
      </c>
      <c r="V50" s="1109" t="s">
        <v>1927</v>
      </c>
      <c r="W50" s="1109" t="s">
        <v>1928</v>
      </c>
      <c r="X50" s="1109" t="s">
        <v>1929</v>
      </c>
      <c r="Y50" s="1109" t="s">
        <v>1930</v>
      </c>
      <c r="Z50" s="1109" t="s">
        <v>1931</v>
      </c>
      <c r="AA50" s="1109" t="s">
        <v>1932</v>
      </c>
      <c r="AB50" s="1110" t="s">
        <v>1933</v>
      </c>
      <c r="AC50" s="1112" t="s">
        <v>1934</v>
      </c>
      <c r="AD50" s="1109" t="s">
        <v>1935</v>
      </c>
      <c r="AE50" s="954" t="s">
        <v>1936</v>
      </c>
      <c r="AF50" s="1109" t="s">
        <v>2077</v>
      </c>
      <c r="AG50" s="1109" t="str">
        <f>CONCATENATE(M9," (",O9,")")</f>
        <v>Default Capillary Break Layer Thickness (m)</v>
      </c>
      <c r="AH50" s="1109" t="s">
        <v>1938</v>
      </c>
      <c r="AI50" s="1109" t="s">
        <v>1939</v>
      </c>
      <c r="AJ50" s="1109" t="s">
        <v>1940</v>
      </c>
      <c r="AK50" s="1109" t="s">
        <v>1941</v>
      </c>
      <c r="AL50" s="1109" t="str">
        <f>CONCATENATE(Subrates!$B$97," (m3)")</f>
        <v>Source and prepare Capillary Break Layer Material Rate (m3)</v>
      </c>
      <c r="AM50" s="954" t="s">
        <v>1942</v>
      </c>
      <c r="AN50" s="955" t="s">
        <v>1943</v>
      </c>
      <c r="AO50" s="1150" t="s">
        <v>1944</v>
      </c>
      <c r="AP50" s="1109" t="s">
        <v>1945</v>
      </c>
      <c r="AQ50" s="954" t="s">
        <v>1946</v>
      </c>
      <c r="AR50" s="1110" t="s">
        <v>1947</v>
      </c>
      <c r="AS50" s="1112" t="s">
        <v>17</v>
      </c>
      <c r="AT50" s="1109" t="s">
        <v>1948</v>
      </c>
      <c r="AU50" s="954" t="s">
        <v>1949</v>
      </c>
      <c r="AV50" s="954" t="s">
        <v>1950</v>
      </c>
      <c r="AW50" s="1109" t="s">
        <v>2078</v>
      </c>
      <c r="AX50" s="1109" t="str">
        <f>CONCATENATE(M10," (",O10,")")</f>
        <v>Default Low Permeability Layer Thickness (m)</v>
      </c>
      <c r="AY50" s="1109" t="s">
        <v>1952</v>
      </c>
      <c r="AZ50" s="1109" t="s">
        <v>1953</v>
      </c>
      <c r="BA50" s="1109" t="s">
        <v>1954</v>
      </c>
      <c r="BB50" s="1109" t="s">
        <v>1955</v>
      </c>
      <c r="BC50" s="1109" t="s">
        <v>1956</v>
      </c>
      <c r="BD50" s="1109" t="s">
        <v>1957</v>
      </c>
      <c r="BE50" s="954" t="s">
        <v>1958</v>
      </c>
      <c r="BF50" s="954" t="s">
        <v>2079</v>
      </c>
      <c r="BG50" s="1109" t="s">
        <v>1960</v>
      </c>
      <c r="BH50" s="1109" t="s">
        <v>1961</v>
      </c>
      <c r="BI50" s="1109" t="s">
        <v>1962</v>
      </c>
      <c r="BJ50" s="954" t="s">
        <v>1963</v>
      </c>
      <c r="BK50" s="954" t="s">
        <v>1964</v>
      </c>
      <c r="BL50" s="1109" t="s">
        <v>2078</v>
      </c>
      <c r="BM50" s="1109" t="str">
        <f>CONCATENATE(M11," (",O11,")")</f>
        <v>Default Rock Cover Layer Thickness (m)</v>
      </c>
      <c r="BN50" s="1109" t="s">
        <v>1965</v>
      </c>
      <c r="BO50" s="1109" t="s">
        <v>1966</v>
      </c>
      <c r="BP50" s="1109" t="s">
        <v>1967</v>
      </c>
      <c r="BQ50" s="1109" t="s">
        <v>1968</v>
      </c>
      <c r="BR50" s="1110" t="s">
        <v>1969</v>
      </c>
      <c r="BS50" s="1111" t="s">
        <v>1970</v>
      </c>
      <c r="BT50" s="1111" t="s">
        <v>1971</v>
      </c>
      <c r="BU50" s="1112" t="s">
        <v>1972</v>
      </c>
      <c r="BV50" s="955" t="s">
        <v>1973</v>
      </c>
      <c r="BW50" s="1111" t="s">
        <v>1974</v>
      </c>
      <c r="BX50" s="1109" t="s">
        <v>1975</v>
      </c>
      <c r="BY50" s="1109" t="s">
        <v>1976</v>
      </c>
      <c r="BZ50" s="1109" t="s">
        <v>1977</v>
      </c>
      <c r="CA50" s="1109" t="s">
        <v>1978</v>
      </c>
      <c r="CB50" s="1109" t="s">
        <v>1979</v>
      </c>
      <c r="CC50" s="1109" t="s">
        <v>1980</v>
      </c>
      <c r="CD50" s="1109" t="s">
        <v>1981</v>
      </c>
      <c r="CE50" s="1109" t="s">
        <v>1982</v>
      </c>
      <c r="CF50" s="1109" t="s">
        <v>1983</v>
      </c>
      <c r="CG50" s="954" t="s">
        <v>1984</v>
      </c>
      <c r="CH50" s="1109" t="s">
        <v>2080</v>
      </c>
      <c r="CI50" s="954" t="s">
        <v>2081</v>
      </c>
      <c r="CJ50" s="1109" t="s">
        <v>2081</v>
      </c>
      <c r="CK50" s="954" t="s">
        <v>2082</v>
      </c>
      <c r="CL50" s="1109" t="s">
        <v>2083</v>
      </c>
      <c r="CM50" s="1109" t="s">
        <v>2084</v>
      </c>
      <c r="CN50" s="1109" t="s">
        <v>2085</v>
      </c>
      <c r="CO50" s="1109" t="s">
        <v>2086</v>
      </c>
      <c r="CP50" s="1109" t="s">
        <v>2087</v>
      </c>
      <c r="CQ50" s="1109" t="s">
        <v>2088</v>
      </c>
      <c r="CR50" s="1109" t="s">
        <v>2089</v>
      </c>
      <c r="CS50" s="1109" t="s">
        <v>2090</v>
      </c>
      <c r="CT50" s="1109" t="s">
        <v>1989</v>
      </c>
      <c r="CU50" s="1109" t="s">
        <v>1990</v>
      </c>
      <c r="CV50" s="1109" t="s">
        <v>1624</v>
      </c>
      <c r="CW50" s="1109" t="s">
        <v>1625</v>
      </c>
      <c r="CX50" s="1110" t="s">
        <v>2091</v>
      </c>
      <c r="CY50" s="1112" t="s">
        <v>2092</v>
      </c>
      <c r="CZ50" s="1109" t="s">
        <v>1992</v>
      </c>
      <c r="DA50" s="1109" t="s">
        <v>1836</v>
      </c>
      <c r="DB50" s="954" t="s">
        <v>1993</v>
      </c>
      <c r="DC50" s="954" t="s">
        <v>1994</v>
      </c>
      <c r="DD50" s="1109" t="s">
        <v>1995</v>
      </c>
      <c r="DE50" s="1109" t="s">
        <v>1996</v>
      </c>
      <c r="DF50" s="1109" t="s">
        <v>1997</v>
      </c>
      <c r="DG50" s="954" t="s">
        <v>1998</v>
      </c>
      <c r="DH50" s="1109" t="s">
        <v>1703</v>
      </c>
      <c r="DI50" s="1110" t="s">
        <v>1999</v>
      </c>
      <c r="DJ50" s="954" t="s">
        <v>2000</v>
      </c>
      <c r="DK50" s="1112" t="s">
        <v>2001</v>
      </c>
      <c r="DL50" s="1109" t="s">
        <v>2002</v>
      </c>
      <c r="DM50" s="1109" t="s">
        <v>2003</v>
      </c>
      <c r="DN50" s="1110" t="s">
        <v>2004</v>
      </c>
      <c r="DO50" s="954" t="s">
        <v>2005</v>
      </c>
      <c r="DP50" s="1112" t="s">
        <v>2001</v>
      </c>
      <c r="DQ50" s="1109" t="s">
        <v>2006</v>
      </c>
      <c r="DR50" s="1109" t="s">
        <v>2007</v>
      </c>
      <c r="DS50" s="1110" t="s">
        <v>2008</v>
      </c>
      <c r="DT50" s="954" t="s">
        <v>2009</v>
      </c>
      <c r="DU50" s="1112" t="s">
        <v>2001</v>
      </c>
      <c r="DV50" s="1109" t="s">
        <v>2010</v>
      </c>
      <c r="DW50" s="1109" t="s">
        <v>2011</v>
      </c>
      <c r="DX50" s="1109" t="s">
        <v>2012</v>
      </c>
      <c r="DY50" s="1109" t="s">
        <v>1626</v>
      </c>
      <c r="DZ50" s="1109" t="s">
        <v>1627</v>
      </c>
      <c r="EA50" s="1109" t="s">
        <v>1628</v>
      </c>
      <c r="EB50" s="1109" t="s">
        <v>1629</v>
      </c>
      <c r="EC50" s="1109" t="s">
        <v>1630</v>
      </c>
      <c r="ED50" s="1109" t="s">
        <v>2013</v>
      </c>
      <c r="EE50" s="1109" t="s">
        <v>2014</v>
      </c>
      <c r="EF50" s="1109" t="s">
        <v>2015</v>
      </c>
      <c r="EG50" s="1109" t="s">
        <v>2093</v>
      </c>
      <c r="EH50" s="1109" t="s">
        <v>2017</v>
      </c>
      <c r="EI50" s="1109" t="s">
        <v>2018</v>
      </c>
      <c r="EJ50" s="1109" t="s">
        <v>2094</v>
      </c>
      <c r="EK50" s="1109" t="s">
        <v>2020</v>
      </c>
      <c r="EL50" s="1109" t="s">
        <v>2021</v>
      </c>
      <c r="EM50" s="775" t="s">
        <v>2095</v>
      </c>
      <c r="EN50" s="954" t="s">
        <v>2023</v>
      </c>
      <c r="EO50" s="1088" t="s">
        <v>2024</v>
      </c>
      <c r="EP50" s="776" t="s">
        <v>1645</v>
      </c>
      <c r="EQ50" s="777"/>
      <c r="ER50" s="777"/>
      <c r="ES50" s="777"/>
      <c r="ET50" s="777"/>
      <c r="EU50" s="777"/>
      <c r="EV50" s="777"/>
      <c r="EW50" s="778"/>
    </row>
    <row r="51" spans="2:153" s="736" customFormat="1">
      <c r="D51" s="1116"/>
      <c r="E51" s="1116"/>
      <c r="F51" s="199" t="s">
        <v>1646</v>
      </c>
      <c r="G51" s="1116"/>
      <c r="H51" s="1116"/>
      <c r="I51" s="1116"/>
      <c r="J51" s="1116"/>
      <c r="K51" s="1116"/>
      <c r="L51" s="199" t="s">
        <v>1646</v>
      </c>
      <c r="M51" s="1116"/>
      <c r="N51" s="1116"/>
      <c r="O51" s="1116"/>
      <c r="P51" s="1116"/>
      <c r="Q51" s="199" t="s">
        <v>1646</v>
      </c>
      <c r="R51" s="199" t="s">
        <v>1646</v>
      </c>
      <c r="S51" s="212" t="str">
        <f>Subrates_Table_2</f>
        <v>Subrates Table 2</v>
      </c>
      <c r="T51" s="212" t="str">
        <f>Subrates_Table_3</f>
        <v>Subrates Table 3</v>
      </c>
      <c r="U51" s="1116"/>
      <c r="V51" s="1116"/>
      <c r="W51" s="1116"/>
      <c r="X51" s="221" t="str">
        <f>$M$5</f>
        <v>HLP Capping Values</v>
      </c>
      <c r="Y51" s="375" t="s">
        <v>2025</v>
      </c>
      <c r="Z51" s="1116"/>
      <c r="AA51" s="1116"/>
      <c r="AB51" s="199" t="s">
        <v>1646</v>
      </c>
      <c r="AC51" s="199" t="s">
        <v>1646</v>
      </c>
      <c r="AD51" s="212" t="str">
        <f>Subrates_Table_1</f>
        <v>Subrates Table 1</v>
      </c>
      <c r="AE51" s="1116"/>
      <c r="AF51" s="1116"/>
      <c r="AG51" s="221" t="str">
        <f>$M$5</f>
        <v>HLP Capping Values</v>
      </c>
      <c r="AH51" s="375" t="s">
        <v>2025</v>
      </c>
      <c r="AI51" s="1116"/>
      <c r="AJ51" s="1116"/>
      <c r="AK51" s="1116"/>
      <c r="AL51" s="212" t="str">
        <f>Subrates_Table_5</f>
        <v>Subrates Table 5</v>
      </c>
      <c r="AM51" s="1116"/>
      <c r="AN51" s="199" t="s">
        <v>1646</v>
      </c>
      <c r="AO51" s="199" t="s">
        <v>1646</v>
      </c>
      <c r="AP51" s="212" t="str">
        <f>Subrates_Table_1</f>
        <v>Subrates Table 1</v>
      </c>
      <c r="AQ51" s="1116"/>
      <c r="AR51" s="199" t="s">
        <v>1646</v>
      </c>
      <c r="AS51" s="199" t="s">
        <v>1646</v>
      </c>
      <c r="AT51" s="212" t="str">
        <f>Subrates_Table_2</f>
        <v>Subrates Table 2</v>
      </c>
      <c r="AU51" s="1116"/>
      <c r="AV51" s="1116"/>
      <c r="AW51" s="1116"/>
      <c r="AX51" s="221" t="str">
        <f>$M$5</f>
        <v>HLP Capping Values</v>
      </c>
      <c r="AY51" s="375" t="s">
        <v>2025</v>
      </c>
      <c r="AZ51" s="1116"/>
      <c r="BA51" s="1116"/>
      <c r="BB51" s="1116"/>
      <c r="BC51" s="212" t="str">
        <f>Subrates_Table_5</f>
        <v>Subrates Table 5</v>
      </c>
      <c r="BD51" s="1116"/>
      <c r="BE51" s="199" t="s">
        <v>1646</v>
      </c>
      <c r="BF51" s="199" t="s">
        <v>1646</v>
      </c>
      <c r="BG51" s="212" t="str">
        <f>Subrates_Table_9</f>
        <v>Subrates Table 9</v>
      </c>
      <c r="BH51" s="212" t="str">
        <f>Subrates_Table_8</f>
        <v>Subrates Table 8</v>
      </c>
      <c r="BJ51" s="1116"/>
      <c r="BK51" s="1116"/>
      <c r="BL51" s="1116"/>
      <c r="BM51" s="221" t="str">
        <f>$M$5</f>
        <v>HLP Capping Values</v>
      </c>
      <c r="BN51" s="375" t="s">
        <v>2025</v>
      </c>
      <c r="BO51" s="1116"/>
      <c r="BP51" s="1116"/>
      <c r="BQ51" s="1116"/>
      <c r="BR51" s="199" t="s">
        <v>1646</v>
      </c>
      <c r="BS51" s="199" t="s">
        <v>1646</v>
      </c>
      <c r="BT51" s="212" t="str">
        <f>Subrates_Table_1</f>
        <v>Subrates Table 1</v>
      </c>
      <c r="BU51" s="1116"/>
      <c r="BV51" s="199" t="s">
        <v>1646</v>
      </c>
      <c r="BW51" s="199" t="s">
        <v>1646</v>
      </c>
      <c r="BX51" s="212" t="str">
        <f>Subrates_Table_2</f>
        <v>Subrates Table 2</v>
      </c>
      <c r="BY51" s="1116"/>
      <c r="BZ51" s="1116"/>
      <c r="CA51" s="1116"/>
      <c r="CB51" s="212" t="str">
        <f>Subrates_Table_5</f>
        <v>Subrates Table 5</v>
      </c>
      <c r="CC51" s="1116"/>
      <c r="CD51" s="212" t="str">
        <f>Subrates_Table_5</f>
        <v>Subrates Table 5</v>
      </c>
      <c r="CE51" s="1116"/>
      <c r="CF51" s="212" t="str">
        <f>Subrates_Table_5</f>
        <v>Subrates Table 5</v>
      </c>
      <c r="CG51" s="1151"/>
      <c r="CH51" s="1116"/>
      <c r="CI51" s="212" t="str">
        <f>Subrates_Table_6</f>
        <v>Subrates Table 6</v>
      </c>
      <c r="CJ51" s="1116"/>
      <c r="CK51" s="212" t="str">
        <f>Subrates_Table_6</f>
        <v>Subrates Table 6</v>
      </c>
      <c r="CL51" s="1116"/>
      <c r="CM51" s="1116"/>
      <c r="CN51" s="1116"/>
      <c r="CO51" s="1116"/>
      <c r="CP51" s="1116"/>
      <c r="CQ51" s="1116"/>
      <c r="CR51" s="1116"/>
      <c r="CS51" s="1116"/>
      <c r="CT51" s="1116"/>
      <c r="CU51" s="375" t="s">
        <v>2025</v>
      </c>
      <c r="CV51" s="1116"/>
      <c r="CW51" s="1116"/>
      <c r="CX51" s="199" t="s">
        <v>1646</v>
      </c>
      <c r="CY51" s="199" t="s">
        <v>1646</v>
      </c>
      <c r="CZ51" s="212" t="str">
        <f>Subrates_Table_1</f>
        <v>Subrates Table 1</v>
      </c>
      <c r="DA51" s="1116"/>
      <c r="DB51" s="199" t="s">
        <v>1646</v>
      </c>
      <c r="DC51" s="199" t="s">
        <v>1646</v>
      </c>
      <c r="DD51" s="212" t="str">
        <f>Subrates_Table_9</f>
        <v>Subrates Table 9</v>
      </c>
      <c r="DE51" s="212" t="str">
        <f>Subrates_Table_8</f>
        <v>Subrates Table 8</v>
      </c>
      <c r="DG51" s="1116"/>
      <c r="DH51" s="1116"/>
      <c r="DI51" s="1116"/>
      <c r="DJ51" s="376" t="s">
        <v>1646</v>
      </c>
      <c r="DK51" s="1116"/>
      <c r="DN51" s="1116"/>
      <c r="DO51" s="376" t="s">
        <v>1646</v>
      </c>
      <c r="DP51" s="1116"/>
      <c r="DS51" s="377"/>
      <c r="DT51" s="376" t="s">
        <v>1646</v>
      </c>
      <c r="DU51" s="1116"/>
      <c r="DV51" s="378"/>
      <c r="DX51" s="1116"/>
      <c r="DY51" s="1152"/>
      <c r="DZ51" s="1116"/>
      <c r="EA51" s="1116"/>
      <c r="EB51" s="1116"/>
      <c r="EC51" s="1116"/>
      <c r="EH51" s="1116"/>
      <c r="EI51" s="221" t="str">
        <f>$M$5</f>
        <v>HLP Capping Values</v>
      </c>
      <c r="EJ51" s="375" t="s">
        <v>2025</v>
      </c>
      <c r="EL51" s="1116"/>
      <c r="EM51" s="1116"/>
      <c r="EN51" s="1116"/>
      <c r="EP51" s="748"/>
      <c r="EQ51" s="474"/>
      <c r="ER51" s="474"/>
      <c r="ES51" s="474"/>
      <c r="ET51" s="474"/>
      <c r="EU51" s="474"/>
      <c r="EV51" s="474"/>
      <c r="EW51" s="779"/>
    </row>
    <row r="52" spans="2:153" s="520" customFormat="1" ht="15">
      <c r="B52" s="310"/>
      <c r="C52" s="989">
        <v>1</v>
      </c>
      <c r="D52" s="168"/>
      <c r="E52" s="316"/>
      <c r="F52" s="255" t="s">
        <v>1879</v>
      </c>
      <c r="G52" s="316">
        <f t="shared" ref="G52:G68" si="3">E52</f>
        <v>0</v>
      </c>
      <c r="H52" s="77"/>
      <c r="I52" s="316"/>
      <c r="J52" s="77"/>
      <c r="K52" s="316"/>
      <c r="L52" s="37" t="s">
        <v>428</v>
      </c>
      <c r="M52" s="318"/>
      <c r="N52" s="319">
        <f t="shared" ref="N52:N68" si="4">IF(M52="",G52*10000*H52,M52)</f>
        <v>0</v>
      </c>
      <c r="O52" s="318"/>
      <c r="P52" s="319">
        <f t="shared" ref="P52:P68" si="5">IF(O52="",I52*10000*J52,O52)</f>
        <v>0</v>
      </c>
      <c r="Q52" s="37" t="s">
        <v>411</v>
      </c>
      <c r="R52" s="37" t="s">
        <v>3</v>
      </c>
      <c r="S52" s="150">
        <f t="shared" ref="S52:S68" si="6">INDEX(Dozer_Push_Values,MATCH(Q52,Dozer_Push_Length,0),MATCH(R52,Dozers,0))</f>
        <v>1.9221853757639424</v>
      </c>
      <c r="T52" s="156">
        <f t="shared" ref="T52:T68" si="7">INDEX(Dozer_Slope_Values,MATCH(L52,Dozer_Slope,0),MATCH(R52,Dozers,0))</f>
        <v>8904.769113128099</v>
      </c>
      <c r="U52" s="347">
        <f t="shared" ref="U52:U68" si="8">IFERROR(S52*(N52+P52),"E")</f>
        <v>0</v>
      </c>
      <c r="V52" s="347">
        <f t="shared" ref="V52:V68" si="9">IF(T52="NR",0,SUM(K52,I52)*T52)</f>
        <v>0</v>
      </c>
      <c r="W52" s="139">
        <f t="shared" ref="W52:W68" si="10">HLOOKUP(F52,HLP_Capping_values,$L$7,FALSE)</f>
        <v>1</v>
      </c>
      <c r="X52" s="136"/>
      <c r="Y52" s="139">
        <f>IF(X52&lt;&gt;"",X52,W52)</f>
        <v>1</v>
      </c>
      <c r="Z52" s="318"/>
      <c r="AA52" s="319">
        <f t="shared" ref="AA52:AA68" si="11">IF(Z52="",I52*10000*Y52,Z52)</f>
        <v>0</v>
      </c>
      <c r="AB52" s="37" t="s">
        <v>125</v>
      </c>
      <c r="AC52" s="37" t="s">
        <v>349</v>
      </c>
      <c r="AD52" s="63">
        <f t="shared" ref="AD52:AD68" si="12">INDEX(Load_and_Haul_Values,MATCH(AB52,Load_and_Haul,0),MATCH(AC52,Load_Haul_Fleet_size,0))</f>
        <v>6.2664411871606829</v>
      </c>
      <c r="AE52" s="347">
        <f t="shared" ref="AE52:AE68" si="13">IFERROR(AD52*AA52,"E")</f>
        <v>0</v>
      </c>
      <c r="AF52" s="316">
        <f t="shared" ref="AF52:AF68" si="14">$G52</f>
        <v>0</v>
      </c>
      <c r="AG52" s="828">
        <f t="shared" ref="AG52:AG68" si="15">HLOOKUP($F52,HLP_Capping_values,$L$9,FALSE)</f>
        <v>0.6</v>
      </c>
      <c r="AH52" s="136"/>
      <c r="AI52" s="139">
        <f t="shared" ref="AI52:AI68" si="16">IF(AH52="",AG52,AH52)</f>
        <v>0.6</v>
      </c>
      <c r="AJ52" s="318"/>
      <c r="AK52" s="319">
        <f t="shared" ref="AK52:AK68" si="17">IF(AJ52="",AF52*10000*AI52,AJ52)</f>
        <v>0</v>
      </c>
      <c r="AL52" s="63">
        <f>Subrates!$C$97</f>
        <v>4.7138306819209967</v>
      </c>
      <c r="AM52" s="401">
        <f t="shared" ref="AM52:AM68" si="18">IF(AK52=0,0,AK52*$AL52)</f>
        <v>0</v>
      </c>
      <c r="AN52" s="37" t="s">
        <v>125</v>
      </c>
      <c r="AO52" s="37" t="s">
        <v>349</v>
      </c>
      <c r="AP52" s="63">
        <f t="shared" ref="AP52:AP68" si="19">INDEX(Load_and_Haul_Values,MATCH(AN52,Load_and_Haul,0),MATCH(AO52,Load_Haul_Fleet_size,0))</f>
        <v>6.2664411871606829</v>
      </c>
      <c r="AQ52" s="401">
        <f t="shared" ref="AQ52:AQ68" si="20">IFERROR(AP52*AK52,"E")</f>
        <v>0</v>
      </c>
      <c r="AR52" s="37" t="s">
        <v>411</v>
      </c>
      <c r="AS52" s="47" t="s">
        <v>3</v>
      </c>
      <c r="AT52" s="150">
        <f t="shared" ref="AT52:AT68" si="21">INDEX(Dozer_Push_Values,MATCH(AR52,Dozer_Push_Length,0),MATCH(AS52,Dozers,0))</f>
        <v>1.9221853757639424</v>
      </c>
      <c r="AU52" s="401">
        <f t="shared" ref="AU52:AU68" si="22">IFERROR(AT52*AK52,"E")</f>
        <v>0</v>
      </c>
      <c r="AV52" s="347">
        <f>AM52+AQ52+AU52</f>
        <v>0</v>
      </c>
      <c r="AW52" s="316">
        <f t="shared" ref="AW52:AW68" si="23">G52</f>
        <v>0</v>
      </c>
      <c r="AX52" s="828">
        <f t="shared" ref="AX52:AX68" si="24">HLOOKUP($F52,HLP_Capping_values,$L$10,FALSE)</f>
        <v>0.5</v>
      </c>
      <c r="AY52" s="136"/>
      <c r="AZ52" s="139">
        <f t="shared" ref="AZ52:AZ68" si="25">IF(AY52="",AX52,AY52)</f>
        <v>0.5</v>
      </c>
      <c r="BA52" s="318"/>
      <c r="BB52" s="319">
        <f t="shared" ref="BB52:BB68" si="26">IF(BA52="",AW52*10000*AZ52,BA52)</f>
        <v>0</v>
      </c>
      <c r="BC52" s="63">
        <f>IF(BE52=Local,Subrates!$C$98,Subrates!$C$99)</f>
        <v>8.0873484007548591</v>
      </c>
      <c r="BD52" s="401">
        <f t="shared" ref="BD52:BD68" si="27">IF(BB52=0,0,BB52*$BC52)</f>
        <v>0</v>
      </c>
      <c r="BE52" s="149" t="s">
        <v>2026</v>
      </c>
      <c r="BF52" s="48" t="s">
        <v>485</v>
      </c>
      <c r="BG52" s="63">
        <f>IF(BE52=Local,0,VLOOKUP(BF52,Long_distance_values_subs,Subrates!$C$5,FALSE))</f>
        <v>0</v>
      </c>
      <c r="BH52" s="63">
        <f>IF(BE52=Local,0,Subrates!$D$121)</f>
        <v>0</v>
      </c>
      <c r="BI52" s="1140"/>
      <c r="BJ52" s="401">
        <f>IF(BI52="",BG52*BB52+BH52*BB52,BI52*BB52)</f>
        <v>0</v>
      </c>
      <c r="BK52" s="351">
        <f t="shared" ref="BK52:BK68" si="28">BJ52+BD52</f>
        <v>0</v>
      </c>
      <c r="BL52" s="316">
        <f t="shared" ref="BL52:BL68" si="29">G52</f>
        <v>0</v>
      </c>
      <c r="BM52" s="828">
        <f t="shared" ref="BM52:BM68" si="30">HLOOKUP($F52,HLP_Capping_values,$L$11,FALSE)</f>
        <v>1.5</v>
      </c>
      <c r="BN52" s="136"/>
      <c r="BO52" s="139">
        <f t="shared" ref="BO52:BO68" si="31">IF(BN52="",BM52,BN52)</f>
        <v>1.5</v>
      </c>
      <c r="BP52" s="318"/>
      <c r="BQ52" s="319">
        <f t="shared" ref="BQ52:BQ68" si="32">IF(BP52="",BL52*10000*BO52,BP52)</f>
        <v>0</v>
      </c>
      <c r="BR52" s="37" t="s">
        <v>125</v>
      </c>
      <c r="BS52" s="37" t="s">
        <v>349</v>
      </c>
      <c r="BT52" s="63">
        <f t="shared" ref="BT52:BT68" si="33">INDEX(Load_and_Haul_Values,MATCH(BR52,Load_and_Haul,0),MATCH(BS52,Load_Haul_Fleet_size,0))</f>
        <v>6.2664411871606829</v>
      </c>
      <c r="BU52" s="408">
        <f t="shared" ref="BU52:BU68" si="34">IFERROR(BT52*(BQ52),"E")</f>
        <v>0</v>
      </c>
      <c r="BV52" s="37" t="s">
        <v>411</v>
      </c>
      <c r="BW52" s="37" t="s">
        <v>3</v>
      </c>
      <c r="BX52" s="150">
        <f t="shared" ref="BX52:BX68" si="35">INDEX(Dozer_Push_Values,MATCH(BV52,Dozer_Push_Length,0),MATCH(BW52,Dozers,0))</f>
        <v>1.9221853757639424</v>
      </c>
      <c r="BY52" s="157">
        <f t="shared" ref="BY52:BY68" si="36">IFERROR(BX52*BQ52,"E")</f>
        <v>0</v>
      </c>
      <c r="BZ52" s="347">
        <f t="shared" ref="BZ52:BZ68" si="37">BY52+BU52</f>
        <v>0</v>
      </c>
      <c r="CA52" s="318"/>
      <c r="CB52" s="63">
        <f>Subrates!$C$94</f>
        <v>2.2000000000000002</v>
      </c>
      <c r="CC52" s="318"/>
      <c r="CD52" s="63">
        <f>Subrates!$C$95</f>
        <v>13.200000000000001</v>
      </c>
      <c r="CE52" s="318"/>
      <c r="CF52" s="63">
        <f>Subrates!$C$96</f>
        <v>14.3</v>
      </c>
      <c r="CG52" s="351">
        <f t="shared" ref="CG52:CG68" si="38">CA52*CB52+CC52*CD52+CE52*CF52</f>
        <v>0</v>
      </c>
      <c r="CH52" s="316"/>
      <c r="CI52" s="406">
        <f>Subrates!$C$106</f>
        <v>21234.52910306484</v>
      </c>
      <c r="CJ52" s="351">
        <f>$CH52*CI52</f>
        <v>0</v>
      </c>
      <c r="CK52" s="63">
        <f>Subrates!$C$105</f>
        <v>2885.2856380177936</v>
      </c>
      <c r="CL52" s="407">
        <f t="shared" ref="CL52:CL68" si="39">E52*$CK52</f>
        <v>0</v>
      </c>
      <c r="CM52" s="316">
        <f t="shared" ref="CM52:CM68" si="40">G52</f>
        <v>0</v>
      </c>
      <c r="CN52" s="73"/>
      <c r="CO52" s="324">
        <f>CM52*10000*CN52</f>
        <v>0</v>
      </c>
      <c r="CP52" s="316"/>
      <c r="CQ52" s="324">
        <f>IF(CP52=0,CO52,CP52)</f>
        <v>0</v>
      </c>
      <c r="CR52" s="63">
        <f>Subrates!$C$109</f>
        <v>0.66402036681578014</v>
      </c>
      <c r="CS52" s="347">
        <f>CQ52*CR52</f>
        <v>0</v>
      </c>
      <c r="CT52" s="319">
        <f>HLOOKUP($F52,HLP_Capping_values,$L$12,FALSE)</f>
        <v>0.15</v>
      </c>
      <c r="CU52" s="73"/>
      <c r="CV52" s="318"/>
      <c r="CW52" s="319">
        <f>IF(CV52&gt;0,CV52,E52*10000*IF(CU52&lt;&gt;"",CU52,CT52))</f>
        <v>0</v>
      </c>
      <c r="CX52" s="37" t="s">
        <v>125</v>
      </c>
      <c r="CY52" s="383" t="s">
        <v>348</v>
      </c>
      <c r="CZ52" s="63">
        <f t="shared" ref="CZ52:CZ68" si="41">IF(DB52=Local,INDEX(Load_and_Haul_Values,MATCH(CX52,Load_and_Haul,0),MATCH(CY52,Load_Haul_Fleet_size,0)),0)</f>
        <v>4.8064250364478198</v>
      </c>
      <c r="DA52" s="157">
        <f>CZ52*CW52</f>
        <v>0</v>
      </c>
      <c r="DB52" s="149" t="s">
        <v>2026</v>
      </c>
      <c r="DC52" s="48" t="s">
        <v>476</v>
      </c>
      <c r="DD52" s="63">
        <f>IF(DB52=Local,0,VLOOKUP(DC52,Long_distance_values_subs,Subrates!$C$5,FALSE))</f>
        <v>0</v>
      </c>
      <c r="DE52" s="63">
        <f>IF(DB52=Local,0,Subrates!$D$122)</f>
        <v>0</v>
      </c>
      <c r="DF52" s="1140"/>
      <c r="DG52" s="158">
        <f>IF(DF52="",CW52*VLOOKUP(DC52,Long_distance_values_subs,Subrates!$H$5,FALSE)*DD52+CW52*DE52,CW52*DF52)</f>
        <v>0</v>
      </c>
      <c r="DH52" s="351">
        <f t="shared" ref="DH52:DH68" si="42">DA52+DG52</f>
        <v>0</v>
      </c>
      <c r="DI52" s="318"/>
      <c r="DJ52" s="195" t="s">
        <v>48</v>
      </c>
      <c r="DK52" s="1096" t="str">
        <f>IF(DJ52=Lists!$B$18,"N/A",VLOOKUP(DJ52,Lists!$B$18:$D$26,Lists!$C$3,FALSE))</f>
        <v>N/A</v>
      </c>
      <c r="DL52" s="63">
        <f>IF(DJ52=Lists!$B$18,0,VLOOKUP(DK52,Amend_TOV,TOV!$F$1,FALSE))</f>
        <v>0</v>
      </c>
      <c r="DM52" s="117"/>
      <c r="DN52" s="318"/>
      <c r="DO52" s="195" t="s">
        <v>48</v>
      </c>
      <c r="DP52" s="1096" t="str">
        <f>IF(DO52=Lists!$B$18,"N/A",VLOOKUP(DO52,Lists!$B$18:$D$26,Lists!$C$3,FALSE))</f>
        <v>N/A</v>
      </c>
      <c r="DQ52" s="41">
        <f>IF(DO52=Lists!$B$18,0,VLOOKUP(DP52,Amend_TOV,TOV!$F$1,FALSE))</f>
        <v>0</v>
      </c>
      <c r="DR52" s="117"/>
      <c r="DS52" s="318"/>
      <c r="DT52" s="195" t="s">
        <v>48</v>
      </c>
      <c r="DU52" s="1096" t="str">
        <f>IF(DT52=Lists!$B$18,"N/A",VLOOKUP(DT52,Lists!$B$18:$D$26,Lists!$C$3,FALSE))</f>
        <v>N/A</v>
      </c>
      <c r="DV52" s="41">
        <f>IF(DT52=Lists!$B$18,0,VLOOKUP(DU52,Amend_TOV,TOV!$F$1,FALSE))</f>
        <v>0</v>
      </c>
      <c r="DW52" s="117"/>
      <c r="DX52" s="351">
        <f t="shared" ref="DX52:DX68" si="43">DI52*IF(DM52="",DL52,DM52)+DN52*IF(DR52="",DQ52,DR52)+DS52*IF(DW52="",DV52,DW52)</f>
        <v>0</v>
      </c>
      <c r="DY52" s="316">
        <f t="shared" ref="DY52:DY68" si="44">G52+I52+K52</f>
        <v>0</v>
      </c>
      <c r="DZ52" s="66">
        <v>1</v>
      </c>
      <c r="EA52" s="66"/>
      <c r="EB52" s="67">
        <f t="shared" ref="EB52:EB68" si="45">100%-EA52-DZ52</f>
        <v>0</v>
      </c>
      <c r="EC52" s="16" t="str">
        <f>IF(EB52&lt;0%,"Error","No Alert")</f>
        <v>No Alert</v>
      </c>
      <c r="ED52" s="351">
        <f>$DY52*DZ52*IF($ED$46="",$ED$45,$ED$46)</f>
        <v>0</v>
      </c>
      <c r="EE52" s="351">
        <f>$DY52*EA52*IF($EE$46="",$EE$45,$EE$46)</f>
        <v>0</v>
      </c>
      <c r="EF52" s="1154">
        <f t="shared" ref="EF52:EF68" si="46">E52</f>
        <v>0</v>
      </c>
      <c r="EG52" s="1154"/>
      <c r="EH52" s="351">
        <f>EF52*IF(EG52&lt;&gt;"",EG52,$EG$48)*IF($EH$46&lt;&gt;"",$EH$46,$EH$45)</f>
        <v>0</v>
      </c>
      <c r="EI52" s="63">
        <f t="shared" ref="EI52:EI68" si="47">HLOOKUP($F52,HLP_Capping_values,$L$13,FALSE)</f>
        <v>2850</v>
      </c>
      <c r="EJ52" s="117"/>
      <c r="EK52" s="351">
        <f t="shared" ref="EK52:EK68" si="48">IF(EJ52="",EI52,EJ52)*E52</f>
        <v>0</v>
      </c>
      <c r="EL52" s="159"/>
      <c r="EM52" s="106">
        <f>U52+V52+AE52+AV52+BK52+BZ52+CG52+CJ52+CS52+DH52+DX52+ED52+EE52+EH52+EK52+EL52</f>
        <v>0</v>
      </c>
      <c r="EN52" s="1097">
        <f t="shared" ref="EN52:EN68" si="49">IF(E52=0,0,EM52/E52)</f>
        <v>0</v>
      </c>
      <c r="EO52" s="803">
        <f t="shared" ref="EO52:EO68" si="50">IFERROR(EM52,"Error")</f>
        <v>0</v>
      </c>
      <c r="EP52" s="215"/>
      <c r="EQ52" s="217"/>
      <c r="ER52" s="217"/>
      <c r="ES52" s="217"/>
      <c r="ET52" s="217"/>
      <c r="EU52" s="217"/>
      <c r="EV52" s="217"/>
      <c r="EW52" s="218"/>
    </row>
    <row r="53" spans="2:153" s="520" customFormat="1" ht="15">
      <c r="B53" s="310"/>
      <c r="C53" s="989">
        <f t="shared" ref="C53:C68" si="51">C52+1</f>
        <v>2</v>
      </c>
      <c r="D53" s="168"/>
      <c r="E53" s="316"/>
      <c r="F53" s="255" t="s">
        <v>1879</v>
      </c>
      <c r="G53" s="316">
        <f t="shared" si="3"/>
        <v>0</v>
      </c>
      <c r="H53" s="77"/>
      <c r="I53" s="316"/>
      <c r="J53" s="77"/>
      <c r="K53" s="316"/>
      <c r="L53" s="37" t="s">
        <v>428</v>
      </c>
      <c r="M53" s="318"/>
      <c r="N53" s="319">
        <f t="shared" si="4"/>
        <v>0</v>
      </c>
      <c r="O53" s="318"/>
      <c r="P53" s="319">
        <f t="shared" si="5"/>
        <v>0</v>
      </c>
      <c r="Q53" s="37" t="s">
        <v>411</v>
      </c>
      <c r="R53" s="37" t="s">
        <v>3</v>
      </c>
      <c r="S53" s="150">
        <f t="shared" si="6"/>
        <v>1.9221853757639424</v>
      </c>
      <c r="T53" s="156">
        <f t="shared" si="7"/>
        <v>8904.769113128099</v>
      </c>
      <c r="U53" s="347">
        <f t="shared" si="8"/>
        <v>0</v>
      </c>
      <c r="V53" s="347">
        <f t="shared" si="9"/>
        <v>0</v>
      </c>
      <c r="W53" s="139">
        <f t="shared" si="10"/>
        <v>1</v>
      </c>
      <c r="X53" s="136"/>
      <c r="Y53" s="139">
        <f t="shared" ref="Y53:Y68" si="52">IF(X53&lt;&gt;"",X53,W53)</f>
        <v>1</v>
      </c>
      <c r="Z53" s="318"/>
      <c r="AA53" s="319">
        <f t="shared" si="11"/>
        <v>0</v>
      </c>
      <c r="AB53" s="37" t="s">
        <v>125</v>
      </c>
      <c r="AC53" s="37" t="s">
        <v>349</v>
      </c>
      <c r="AD53" s="63">
        <f t="shared" si="12"/>
        <v>6.2664411871606829</v>
      </c>
      <c r="AE53" s="347">
        <f t="shared" si="13"/>
        <v>0</v>
      </c>
      <c r="AF53" s="316">
        <f t="shared" si="14"/>
        <v>0</v>
      </c>
      <c r="AG53" s="828">
        <f t="shared" si="15"/>
        <v>0.6</v>
      </c>
      <c r="AH53" s="136"/>
      <c r="AI53" s="139">
        <f t="shared" si="16"/>
        <v>0.6</v>
      </c>
      <c r="AJ53" s="318"/>
      <c r="AK53" s="319">
        <f t="shared" si="17"/>
        <v>0</v>
      </c>
      <c r="AL53" s="63">
        <f>Subrates!$C$97</f>
        <v>4.7138306819209967</v>
      </c>
      <c r="AM53" s="401">
        <f t="shared" si="18"/>
        <v>0</v>
      </c>
      <c r="AN53" s="37" t="s">
        <v>125</v>
      </c>
      <c r="AO53" s="37" t="s">
        <v>349</v>
      </c>
      <c r="AP53" s="63">
        <f t="shared" si="19"/>
        <v>6.2664411871606829</v>
      </c>
      <c r="AQ53" s="401">
        <f t="shared" si="20"/>
        <v>0</v>
      </c>
      <c r="AR53" s="37" t="s">
        <v>411</v>
      </c>
      <c r="AS53" s="47" t="s">
        <v>3</v>
      </c>
      <c r="AT53" s="150">
        <f t="shared" si="21"/>
        <v>1.9221853757639424</v>
      </c>
      <c r="AU53" s="401">
        <f t="shared" si="22"/>
        <v>0</v>
      </c>
      <c r="AV53" s="347">
        <f t="shared" ref="AV53:AV68" si="53">AM53+AQ53+AU53+BJ53</f>
        <v>0</v>
      </c>
      <c r="AW53" s="316">
        <f t="shared" si="23"/>
        <v>0</v>
      </c>
      <c r="AX53" s="828">
        <f t="shared" si="24"/>
        <v>0.5</v>
      </c>
      <c r="AY53" s="136"/>
      <c r="AZ53" s="139">
        <f t="shared" si="25"/>
        <v>0.5</v>
      </c>
      <c r="BA53" s="318"/>
      <c r="BB53" s="319">
        <f t="shared" si="26"/>
        <v>0</v>
      </c>
      <c r="BC53" s="63">
        <f>IF(BE53=Local,Subrates!$C$98,Subrates!$C$99)</f>
        <v>8.0873484007548591</v>
      </c>
      <c r="BD53" s="401">
        <f t="shared" si="27"/>
        <v>0</v>
      </c>
      <c r="BE53" s="149" t="s">
        <v>2026</v>
      </c>
      <c r="BF53" s="48" t="s">
        <v>485</v>
      </c>
      <c r="BG53" s="63">
        <f>IF(BE53=Local,0,VLOOKUP(BF53,Long_distance_values_subs,Subrates!$C$5,FALSE))</f>
        <v>0</v>
      </c>
      <c r="BH53" s="63">
        <f>IF(BE53=Local,0,Subrates!$D$121)</f>
        <v>0</v>
      </c>
      <c r="BI53" s="1140"/>
      <c r="BJ53" s="401">
        <f t="shared" ref="BJ53:BJ68" si="54">IF(BI53="",BG53*BB53+BH53*BB53,BI53*BB53)</f>
        <v>0</v>
      </c>
      <c r="BK53" s="351">
        <f t="shared" si="28"/>
        <v>0</v>
      </c>
      <c r="BL53" s="316">
        <f t="shared" si="29"/>
        <v>0</v>
      </c>
      <c r="BM53" s="828">
        <f t="shared" si="30"/>
        <v>1.5</v>
      </c>
      <c r="BN53" s="136"/>
      <c r="BO53" s="139">
        <f t="shared" si="31"/>
        <v>1.5</v>
      </c>
      <c r="BP53" s="318"/>
      <c r="BQ53" s="319">
        <f t="shared" si="32"/>
        <v>0</v>
      </c>
      <c r="BR53" s="37" t="s">
        <v>125</v>
      </c>
      <c r="BS53" s="37" t="s">
        <v>349</v>
      </c>
      <c r="BT53" s="63">
        <f t="shared" si="33"/>
        <v>6.2664411871606829</v>
      </c>
      <c r="BU53" s="408">
        <f t="shared" si="34"/>
        <v>0</v>
      </c>
      <c r="BV53" s="37" t="s">
        <v>411</v>
      </c>
      <c r="BW53" s="37" t="s">
        <v>3</v>
      </c>
      <c r="BX53" s="150">
        <f t="shared" si="35"/>
        <v>1.9221853757639424</v>
      </c>
      <c r="BY53" s="157">
        <f t="shared" si="36"/>
        <v>0</v>
      </c>
      <c r="BZ53" s="347">
        <f t="shared" si="37"/>
        <v>0</v>
      </c>
      <c r="CA53" s="318"/>
      <c r="CB53" s="63">
        <f>Subrates!$C$94</f>
        <v>2.2000000000000002</v>
      </c>
      <c r="CC53" s="318"/>
      <c r="CD53" s="63">
        <f>Subrates!$C$95</f>
        <v>13.200000000000001</v>
      </c>
      <c r="CE53" s="318"/>
      <c r="CF53" s="63">
        <f>Subrates!$C$96</f>
        <v>14.3</v>
      </c>
      <c r="CG53" s="351">
        <f t="shared" si="38"/>
        <v>0</v>
      </c>
      <c r="CH53" s="316"/>
      <c r="CI53" s="406">
        <f>Subrates!$C$106</f>
        <v>21234.52910306484</v>
      </c>
      <c r="CJ53" s="351">
        <f t="shared" ref="CJ53:CJ68" si="55">$CH53*CI53</f>
        <v>0</v>
      </c>
      <c r="CK53" s="63">
        <f>Subrates!$C$105</f>
        <v>2885.2856380177936</v>
      </c>
      <c r="CL53" s="407">
        <f t="shared" si="39"/>
        <v>0</v>
      </c>
      <c r="CM53" s="316">
        <f t="shared" si="40"/>
        <v>0</v>
      </c>
      <c r="CN53" s="73"/>
      <c r="CO53" s="324">
        <f t="shared" ref="CO53:CO68" si="56">CM53*10000*CN53</f>
        <v>0</v>
      </c>
      <c r="CP53" s="316"/>
      <c r="CQ53" s="324">
        <f t="shared" ref="CQ53:CQ68" si="57">IF(CP53=0,CO53,CP53)</f>
        <v>0</v>
      </c>
      <c r="CR53" s="63">
        <f>Subrates!$C$109</f>
        <v>0.66402036681578014</v>
      </c>
      <c r="CS53" s="347">
        <f t="shared" ref="CS53:CS68" si="58">CQ53*CR53</f>
        <v>0</v>
      </c>
      <c r="CT53" s="319">
        <f t="shared" ref="CT53:CT68" si="59">HLOOKUP($F53,HLP_Capping_values,$L$12,FALSE)</f>
        <v>0.15</v>
      </c>
      <c r="CU53" s="73"/>
      <c r="CV53" s="318"/>
      <c r="CW53" s="319">
        <f t="shared" ref="CW53:CW68" si="60">IF(CV53&gt;0,CV53,E53*10000*IF(CU53&lt;&gt;"",CU53,CT53))</f>
        <v>0</v>
      </c>
      <c r="CX53" s="37" t="s">
        <v>125</v>
      </c>
      <c r="CY53" s="383" t="s">
        <v>348</v>
      </c>
      <c r="CZ53" s="63">
        <f t="shared" si="41"/>
        <v>4.8064250364478198</v>
      </c>
      <c r="DA53" s="157">
        <f t="shared" ref="DA53:DA68" si="61">CZ53*CW53</f>
        <v>0</v>
      </c>
      <c r="DB53" s="149" t="s">
        <v>2026</v>
      </c>
      <c r="DC53" s="48" t="s">
        <v>485</v>
      </c>
      <c r="DD53" s="63">
        <f>IF(DB53=Local,0,VLOOKUP(DC53,Long_distance_values_subs,Subrates!$C$5,FALSE))</f>
        <v>0</v>
      </c>
      <c r="DE53" s="63">
        <f>IF(DB53=Local,0,Subrates!$D$122)</f>
        <v>0</v>
      </c>
      <c r="DF53" s="1140"/>
      <c r="DG53" s="158">
        <f>IF(DF53="",CW53*VLOOKUP(DC53,Long_distance_values_subs,Subrates!$H$5,FALSE)*DD53+CW53*DE53,CW53*DF53)</f>
        <v>0</v>
      </c>
      <c r="DH53" s="351">
        <f t="shared" si="42"/>
        <v>0</v>
      </c>
      <c r="DI53" s="318"/>
      <c r="DJ53" s="195" t="s">
        <v>48</v>
      </c>
      <c r="DK53" s="1096" t="str">
        <f>IF(DJ53=Lists!$B$18,"N/A",VLOOKUP(DJ53,Lists!$B$18:$D$26,Lists!$C$3,FALSE))</f>
        <v>N/A</v>
      </c>
      <c r="DL53" s="63">
        <f>IF(DJ53=Lists!$B$18,0,VLOOKUP(DK53,Amend_TOV,TOV!$F$1,FALSE))</f>
        <v>0</v>
      </c>
      <c r="DM53" s="117"/>
      <c r="DN53" s="318"/>
      <c r="DO53" s="195" t="s">
        <v>48</v>
      </c>
      <c r="DP53" s="1096" t="str">
        <f>IF(DO53=Lists!$B$18,"N/A",VLOOKUP(DO53,Lists!$B$18:$D$26,Lists!$C$3,FALSE))</f>
        <v>N/A</v>
      </c>
      <c r="DQ53" s="41">
        <f>IF(DO53=Lists!$B$18,0,VLOOKUP(DP53,Amend_TOV,TOV!$F$1,FALSE))</f>
        <v>0</v>
      </c>
      <c r="DR53" s="117"/>
      <c r="DS53" s="318"/>
      <c r="DT53" s="195" t="s">
        <v>48</v>
      </c>
      <c r="DU53" s="1096" t="str">
        <f>IF(DT53=Lists!$B$18,"N/A",VLOOKUP(DT53,Lists!$B$18:$D$26,Lists!$C$3,FALSE))</f>
        <v>N/A</v>
      </c>
      <c r="DV53" s="41">
        <f>IF(DT53=Lists!$B$18,0,VLOOKUP(DU53,Amend_TOV,TOV!$F$1,FALSE))</f>
        <v>0</v>
      </c>
      <c r="DW53" s="117"/>
      <c r="DX53" s="351">
        <f t="shared" si="43"/>
        <v>0</v>
      </c>
      <c r="DY53" s="316">
        <f t="shared" si="44"/>
        <v>0</v>
      </c>
      <c r="DZ53" s="66">
        <v>1</v>
      </c>
      <c r="EA53" s="66"/>
      <c r="EB53" s="67">
        <f t="shared" si="45"/>
        <v>0</v>
      </c>
      <c r="EC53" s="16" t="str">
        <f t="shared" ref="EC53:EC68" si="62">IF(EB53&lt;0%,"Error","No Alert")</f>
        <v>No Alert</v>
      </c>
      <c r="ED53" s="351">
        <f t="shared" ref="ED53:ED68" si="63">$DY53*DZ53*IF($ED$46="",$ED$45,$ED$46)</f>
        <v>0</v>
      </c>
      <c r="EE53" s="351">
        <f t="shared" ref="EE53:EE68" si="64">$DY53*EA53*IF($EE$46="",$EE$45,$EE$46)</f>
        <v>0</v>
      </c>
      <c r="EF53" s="1154">
        <f t="shared" si="46"/>
        <v>0</v>
      </c>
      <c r="EG53" s="1154"/>
      <c r="EH53" s="351">
        <f t="shared" ref="EH53:EH68" si="65">EF53*IF(EG53&lt;&gt;"",EG53,$EG$48)*IF($EH$46&lt;&gt;"",$EH$46,$EH$45)</f>
        <v>0</v>
      </c>
      <c r="EI53" s="63">
        <f t="shared" si="47"/>
        <v>2850</v>
      </c>
      <c r="EJ53" s="117"/>
      <c r="EK53" s="351">
        <f t="shared" si="48"/>
        <v>0</v>
      </c>
      <c r="EL53" s="159"/>
      <c r="EM53" s="106">
        <f t="shared" ref="EM53:EM68" si="66">U53+V53+AE53+AV53+BK53+BZ53+CG53+CJ53+CS53+DH53+DX53+ED53+EE53+EH53+EK53+EL53</f>
        <v>0</v>
      </c>
      <c r="EN53" s="1097">
        <f t="shared" si="49"/>
        <v>0</v>
      </c>
      <c r="EO53" s="803">
        <f t="shared" si="50"/>
        <v>0</v>
      </c>
      <c r="EP53" s="215"/>
      <c r="EQ53" s="217"/>
      <c r="ER53" s="217"/>
      <c r="ES53" s="217"/>
      <c r="ET53" s="217"/>
      <c r="EU53" s="217"/>
      <c r="EV53" s="217"/>
      <c r="EW53" s="218"/>
    </row>
    <row r="54" spans="2:153" s="520" customFormat="1" ht="15">
      <c r="B54" s="310"/>
      <c r="C54" s="989">
        <f t="shared" si="51"/>
        <v>3</v>
      </c>
      <c r="D54" s="168"/>
      <c r="E54" s="316"/>
      <c r="F54" s="255" t="s">
        <v>1879</v>
      </c>
      <c r="G54" s="316">
        <f t="shared" si="3"/>
        <v>0</v>
      </c>
      <c r="H54" s="77"/>
      <c r="I54" s="316"/>
      <c r="J54" s="77"/>
      <c r="K54" s="316"/>
      <c r="L54" s="37" t="s">
        <v>428</v>
      </c>
      <c r="M54" s="318"/>
      <c r="N54" s="319">
        <f t="shared" si="4"/>
        <v>0</v>
      </c>
      <c r="O54" s="318"/>
      <c r="P54" s="319">
        <f t="shared" si="5"/>
        <v>0</v>
      </c>
      <c r="Q54" s="37" t="s">
        <v>411</v>
      </c>
      <c r="R54" s="37" t="s">
        <v>3</v>
      </c>
      <c r="S54" s="150">
        <f t="shared" si="6"/>
        <v>1.9221853757639424</v>
      </c>
      <c r="T54" s="156">
        <f t="shared" si="7"/>
        <v>8904.769113128099</v>
      </c>
      <c r="U54" s="347">
        <f t="shared" si="8"/>
        <v>0</v>
      </c>
      <c r="V54" s="347">
        <f t="shared" si="9"/>
        <v>0</v>
      </c>
      <c r="W54" s="139">
        <f t="shared" si="10"/>
        <v>1</v>
      </c>
      <c r="X54" s="136"/>
      <c r="Y54" s="139">
        <f t="shared" si="52"/>
        <v>1</v>
      </c>
      <c r="Z54" s="318"/>
      <c r="AA54" s="319">
        <f t="shared" si="11"/>
        <v>0</v>
      </c>
      <c r="AB54" s="37" t="s">
        <v>125</v>
      </c>
      <c r="AC54" s="37" t="s">
        <v>349</v>
      </c>
      <c r="AD54" s="63">
        <f t="shared" si="12"/>
        <v>6.2664411871606829</v>
      </c>
      <c r="AE54" s="347">
        <f t="shared" si="13"/>
        <v>0</v>
      </c>
      <c r="AF54" s="316">
        <f t="shared" si="14"/>
        <v>0</v>
      </c>
      <c r="AG54" s="828">
        <f t="shared" si="15"/>
        <v>0.6</v>
      </c>
      <c r="AH54" s="136"/>
      <c r="AI54" s="139">
        <f t="shared" si="16"/>
        <v>0.6</v>
      </c>
      <c r="AJ54" s="318"/>
      <c r="AK54" s="319">
        <f t="shared" si="17"/>
        <v>0</v>
      </c>
      <c r="AL54" s="63">
        <f>Subrates!$C$97</f>
        <v>4.7138306819209967</v>
      </c>
      <c r="AM54" s="401">
        <f t="shared" si="18"/>
        <v>0</v>
      </c>
      <c r="AN54" s="37" t="s">
        <v>125</v>
      </c>
      <c r="AO54" s="37" t="s">
        <v>349</v>
      </c>
      <c r="AP54" s="63">
        <f t="shared" si="19"/>
        <v>6.2664411871606829</v>
      </c>
      <c r="AQ54" s="401">
        <f t="shared" si="20"/>
        <v>0</v>
      </c>
      <c r="AR54" s="37" t="s">
        <v>411</v>
      </c>
      <c r="AS54" s="47" t="s">
        <v>3</v>
      </c>
      <c r="AT54" s="150">
        <f t="shared" si="21"/>
        <v>1.9221853757639424</v>
      </c>
      <c r="AU54" s="401">
        <f t="shared" si="22"/>
        <v>0</v>
      </c>
      <c r="AV54" s="347">
        <f t="shared" si="53"/>
        <v>0</v>
      </c>
      <c r="AW54" s="316">
        <f t="shared" si="23"/>
        <v>0</v>
      </c>
      <c r="AX54" s="828">
        <f t="shared" si="24"/>
        <v>0.5</v>
      </c>
      <c r="AY54" s="136"/>
      <c r="AZ54" s="139">
        <f t="shared" si="25"/>
        <v>0.5</v>
      </c>
      <c r="BA54" s="318"/>
      <c r="BB54" s="319">
        <f t="shared" si="26"/>
        <v>0</v>
      </c>
      <c r="BC54" s="63">
        <f>IF(BE54=Local,Subrates!$C$98,Subrates!$C$99)</f>
        <v>8.0873484007548591</v>
      </c>
      <c r="BD54" s="401">
        <f t="shared" si="27"/>
        <v>0</v>
      </c>
      <c r="BE54" s="149" t="s">
        <v>2026</v>
      </c>
      <c r="BF54" s="48" t="s">
        <v>485</v>
      </c>
      <c r="BG54" s="63">
        <f>IF(BE54=Local,0,VLOOKUP(BF54,Long_distance_values_subs,Subrates!$C$5,FALSE))</f>
        <v>0</v>
      </c>
      <c r="BH54" s="63">
        <f>IF(BE54=Local,0,Subrates!$D$121)</f>
        <v>0</v>
      </c>
      <c r="BI54" s="1140"/>
      <c r="BJ54" s="401">
        <f t="shared" si="54"/>
        <v>0</v>
      </c>
      <c r="BK54" s="351">
        <f t="shared" si="28"/>
        <v>0</v>
      </c>
      <c r="BL54" s="316">
        <f t="shared" si="29"/>
        <v>0</v>
      </c>
      <c r="BM54" s="828">
        <f t="shared" si="30"/>
        <v>1.5</v>
      </c>
      <c r="BN54" s="136"/>
      <c r="BO54" s="139">
        <f t="shared" si="31"/>
        <v>1.5</v>
      </c>
      <c r="BP54" s="318"/>
      <c r="BQ54" s="319">
        <f t="shared" si="32"/>
        <v>0</v>
      </c>
      <c r="BR54" s="37" t="s">
        <v>125</v>
      </c>
      <c r="BS54" s="37" t="s">
        <v>349</v>
      </c>
      <c r="BT54" s="63">
        <f t="shared" si="33"/>
        <v>6.2664411871606829</v>
      </c>
      <c r="BU54" s="408">
        <f t="shared" si="34"/>
        <v>0</v>
      </c>
      <c r="BV54" s="37" t="s">
        <v>411</v>
      </c>
      <c r="BW54" s="37" t="s">
        <v>3</v>
      </c>
      <c r="BX54" s="150">
        <f t="shared" si="35"/>
        <v>1.9221853757639424</v>
      </c>
      <c r="BY54" s="157">
        <f t="shared" si="36"/>
        <v>0</v>
      </c>
      <c r="BZ54" s="347">
        <f t="shared" si="37"/>
        <v>0</v>
      </c>
      <c r="CA54" s="318"/>
      <c r="CB54" s="63">
        <f>Subrates!$C$94</f>
        <v>2.2000000000000002</v>
      </c>
      <c r="CC54" s="318"/>
      <c r="CD54" s="63">
        <f>Subrates!$C$95</f>
        <v>13.200000000000001</v>
      </c>
      <c r="CE54" s="318"/>
      <c r="CF54" s="63">
        <f>Subrates!$C$96</f>
        <v>14.3</v>
      </c>
      <c r="CG54" s="351">
        <f t="shared" si="38"/>
        <v>0</v>
      </c>
      <c r="CH54" s="316"/>
      <c r="CI54" s="406">
        <f>Subrates!$C$106</f>
        <v>21234.52910306484</v>
      </c>
      <c r="CJ54" s="351">
        <f t="shared" si="55"/>
        <v>0</v>
      </c>
      <c r="CK54" s="63">
        <f>Subrates!$C$105</f>
        <v>2885.2856380177936</v>
      </c>
      <c r="CL54" s="407">
        <f t="shared" si="39"/>
        <v>0</v>
      </c>
      <c r="CM54" s="316">
        <f t="shared" si="40"/>
        <v>0</v>
      </c>
      <c r="CN54" s="73"/>
      <c r="CO54" s="324">
        <f t="shared" si="56"/>
        <v>0</v>
      </c>
      <c r="CP54" s="316"/>
      <c r="CQ54" s="324">
        <f t="shared" si="57"/>
        <v>0</v>
      </c>
      <c r="CR54" s="63">
        <f>Subrates!$C$109</f>
        <v>0.66402036681578014</v>
      </c>
      <c r="CS54" s="347">
        <f t="shared" si="58"/>
        <v>0</v>
      </c>
      <c r="CT54" s="319">
        <f t="shared" si="59"/>
        <v>0.15</v>
      </c>
      <c r="CU54" s="73"/>
      <c r="CV54" s="318"/>
      <c r="CW54" s="319">
        <f t="shared" si="60"/>
        <v>0</v>
      </c>
      <c r="CX54" s="37" t="s">
        <v>125</v>
      </c>
      <c r="CY54" s="383" t="s">
        <v>348</v>
      </c>
      <c r="CZ54" s="63">
        <f t="shared" si="41"/>
        <v>4.8064250364478198</v>
      </c>
      <c r="DA54" s="157">
        <f t="shared" si="61"/>
        <v>0</v>
      </c>
      <c r="DB54" s="149" t="s">
        <v>2026</v>
      </c>
      <c r="DC54" s="48" t="s">
        <v>485</v>
      </c>
      <c r="DD54" s="63">
        <f>IF(DB54=Local,0,VLOOKUP(DC54,Long_distance_values_subs,Subrates!$C$5,FALSE))</f>
        <v>0</v>
      </c>
      <c r="DE54" s="63">
        <f>IF(DB54=Local,0,Subrates!$D$122)</f>
        <v>0</v>
      </c>
      <c r="DF54" s="1140"/>
      <c r="DG54" s="158">
        <f>IF(DF54="",CW54*VLOOKUP(DC54,Long_distance_values_subs,Subrates!$H$5,FALSE)*DD54+CW54*DE54,CW54*DF54)</f>
        <v>0</v>
      </c>
      <c r="DH54" s="351">
        <f t="shared" si="42"/>
        <v>0</v>
      </c>
      <c r="DI54" s="318"/>
      <c r="DJ54" s="195" t="s">
        <v>48</v>
      </c>
      <c r="DK54" s="1096" t="str">
        <f>IF(DJ54=Lists!$B$18,"N/A",VLOOKUP(DJ54,Lists!$B$18:$D$26,Lists!$C$3,FALSE))</f>
        <v>N/A</v>
      </c>
      <c r="DL54" s="63">
        <f>IF(DJ54=Lists!$B$18,0,VLOOKUP(DK54,Amend_TOV,TOV!$F$1,FALSE))</f>
        <v>0</v>
      </c>
      <c r="DM54" s="117"/>
      <c r="DN54" s="318"/>
      <c r="DO54" s="195" t="s">
        <v>48</v>
      </c>
      <c r="DP54" s="1096" t="str">
        <f>IF(DO54=Lists!$B$18,"N/A",VLOOKUP(DO54,Lists!$B$18:$D$26,Lists!$C$3,FALSE))</f>
        <v>N/A</v>
      </c>
      <c r="DQ54" s="41">
        <f>IF(DO54=Lists!$B$18,0,VLOOKUP(DP54,Amend_TOV,TOV!$F$1,FALSE))</f>
        <v>0</v>
      </c>
      <c r="DR54" s="117"/>
      <c r="DS54" s="318"/>
      <c r="DT54" s="195" t="s">
        <v>48</v>
      </c>
      <c r="DU54" s="1096" t="str">
        <f>IF(DT54=Lists!$B$18,"N/A",VLOOKUP(DT54,Lists!$B$18:$D$26,Lists!$C$3,FALSE))</f>
        <v>N/A</v>
      </c>
      <c r="DV54" s="41">
        <f>IF(DT54=Lists!$B$18,0,VLOOKUP(DU54,Amend_TOV,TOV!$F$1,FALSE))</f>
        <v>0</v>
      </c>
      <c r="DW54" s="117"/>
      <c r="DX54" s="351">
        <f t="shared" si="43"/>
        <v>0</v>
      </c>
      <c r="DY54" s="316">
        <f t="shared" si="44"/>
        <v>0</v>
      </c>
      <c r="DZ54" s="66">
        <v>1</v>
      </c>
      <c r="EA54" s="66"/>
      <c r="EB54" s="67">
        <f t="shared" si="45"/>
        <v>0</v>
      </c>
      <c r="EC54" s="16" t="str">
        <f t="shared" si="62"/>
        <v>No Alert</v>
      </c>
      <c r="ED54" s="351">
        <f t="shared" si="63"/>
        <v>0</v>
      </c>
      <c r="EE54" s="351">
        <f t="shared" si="64"/>
        <v>0</v>
      </c>
      <c r="EF54" s="1154">
        <f t="shared" si="46"/>
        <v>0</v>
      </c>
      <c r="EG54" s="1154"/>
      <c r="EH54" s="351">
        <f t="shared" si="65"/>
        <v>0</v>
      </c>
      <c r="EI54" s="63">
        <f t="shared" si="47"/>
        <v>2850</v>
      </c>
      <c r="EJ54" s="117"/>
      <c r="EK54" s="351">
        <f t="shared" si="48"/>
        <v>0</v>
      </c>
      <c r="EL54" s="159"/>
      <c r="EM54" s="106">
        <f t="shared" si="66"/>
        <v>0</v>
      </c>
      <c r="EN54" s="1097">
        <f t="shared" si="49"/>
        <v>0</v>
      </c>
      <c r="EO54" s="803">
        <f t="shared" si="50"/>
        <v>0</v>
      </c>
      <c r="EP54" s="215"/>
      <c r="EQ54" s="217"/>
      <c r="ER54" s="217"/>
      <c r="ES54" s="217"/>
      <c r="ET54" s="217"/>
      <c r="EU54" s="217"/>
      <c r="EV54" s="217"/>
      <c r="EW54" s="218"/>
    </row>
    <row r="55" spans="2:153" s="520" customFormat="1" ht="15">
      <c r="B55" s="310"/>
      <c r="C55" s="989">
        <f t="shared" si="51"/>
        <v>4</v>
      </c>
      <c r="D55" s="168"/>
      <c r="E55" s="316"/>
      <c r="F55" s="255" t="s">
        <v>1879</v>
      </c>
      <c r="G55" s="316">
        <f t="shared" si="3"/>
        <v>0</v>
      </c>
      <c r="H55" s="77"/>
      <c r="I55" s="316"/>
      <c r="J55" s="77"/>
      <c r="K55" s="316"/>
      <c r="L55" s="37" t="s">
        <v>428</v>
      </c>
      <c r="M55" s="318"/>
      <c r="N55" s="319">
        <f t="shared" si="4"/>
        <v>0</v>
      </c>
      <c r="O55" s="318"/>
      <c r="P55" s="319">
        <f t="shared" si="5"/>
        <v>0</v>
      </c>
      <c r="Q55" s="37" t="s">
        <v>411</v>
      </c>
      <c r="R55" s="37" t="s">
        <v>3</v>
      </c>
      <c r="S55" s="150">
        <f t="shared" si="6"/>
        <v>1.9221853757639424</v>
      </c>
      <c r="T55" s="156">
        <f t="shared" si="7"/>
        <v>8904.769113128099</v>
      </c>
      <c r="U55" s="347">
        <f t="shared" si="8"/>
        <v>0</v>
      </c>
      <c r="V55" s="347">
        <f t="shared" si="9"/>
        <v>0</v>
      </c>
      <c r="W55" s="139">
        <f t="shared" si="10"/>
        <v>1</v>
      </c>
      <c r="X55" s="136"/>
      <c r="Y55" s="139">
        <f t="shared" si="52"/>
        <v>1</v>
      </c>
      <c r="Z55" s="318"/>
      <c r="AA55" s="319">
        <f t="shared" si="11"/>
        <v>0</v>
      </c>
      <c r="AB55" s="37" t="s">
        <v>125</v>
      </c>
      <c r="AC55" s="37" t="s">
        <v>349</v>
      </c>
      <c r="AD55" s="63">
        <f t="shared" si="12"/>
        <v>6.2664411871606829</v>
      </c>
      <c r="AE55" s="347">
        <f t="shared" si="13"/>
        <v>0</v>
      </c>
      <c r="AF55" s="316">
        <f t="shared" si="14"/>
        <v>0</v>
      </c>
      <c r="AG55" s="828">
        <f t="shared" si="15"/>
        <v>0.6</v>
      </c>
      <c r="AH55" s="136"/>
      <c r="AI55" s="139">
        <f t="shared" si="16"/>
        <v>0.6</v>
      </c>
      <c r="AJ55" s="318"/>
      <c r="AK55" s="319">
        <f t="shared" si="17"/>
        <v>0</v>
      </c>
      <c r="AL55" s="63">
        <f>Subrates!$C$97</f>
        <v>4.7138306819209967</v>
      </c>
      <c r="AM55" s="401">
        <f t="shared" si="18"/>
        <v>0</v>
      </c>
      <c r="AN55" s="37" t="s">
        <v>125</v>
      </c>
      <c r="AO55" s="37" t="s">
        <v>349</v>
      </c>
      <c r="AP55" s="63">
        <f t="shared" si="19"/>
        <v>6.2664411871606829</v>
      </c>
      <c r="AQ55" s="401">
        <f t="shared" si="20"/>
        <v>0</v>
      </c>
      <c r="AR55" s="37" t="s">
        <v>411</v>
      </c>
      <c r="AS55" s="47" t="s">
        <v>3</v>
      </c>
      <c r="AT55" s="150">
        <f t="shared" si="21"/>
        <v>1.9221853757639424</v>
      </c>
      <c r="AU55" s="401">
        <f t="shared" si="22"/>
        <v>0</v>
      </c>
      <c r="AV55" s="347">
        <f t="shared" si="53"/>
        <v>0</v>
      </c>
      <c r="AW55" s="316">
        <f t="shared" si="23"/>
        <v>0</v>
      </c>
      <c r="AX55" s="828">
        <f t="shared" si="24"/>
        <v>0.5</v>
      </c>
      <c r="AY55" s="136"/>
      <c r="AZ55" s="139">
        <f t="shared" si="25"/>
        <v>0.5</v>
      </c>
      <c r="BA55" s="318"/>
      <c r="BB55" s="319">
        <f t="shared" si="26"/>
        <v>0</v>
      </c>
      <c r="BC55" s="63">
        <f>IF(BE55=Local,Subrates!$C$98,Subrates!$C$99)</f>
        <v>8.0873484007548591</v>
      </c>
      <c r="BD55" s="401">
        <f t="shared" si="27"/>
        <v>0</v>
      </c>
      <c r="BE55" s="149" t="s">
        <v>2026</v>
      </c>
      <c r="BF55" s="48" t="s">
        <v>485</v>
      </c>
      <c r="BG55" s="63">
        <f>IF(BE55=Local,0,VLOOKUP(BF55,Long_distance_values_subs,Subrates!$C$5,FALSE))</f>
        <v>0</v>
      </c>
      <c r="BH55" s="63">
        <f>IF(BE55=Local,0,Subrates!$D$121)</f>
        <v>0</v>
      </c>
      <c r="BI55" s="1140"/>
      <c r="BJ55" s="401">
        <f t="shared" si="54"/>
        <v>0</v>
      </c>
      <c r="BK55" s="351">
        <f t="shared" si="28"/>
        <v>0</v>
      </c>
      <c r="BL55" s="316">
        <f t="shared" si="29"/>
        <v>0</v>
      </c>
      <c r="BM55" s="828">
        <f t="shared" si="30"/>
        <v>1.5</v>
      </c>
      <c r="BN55" s="136"/>
      <c r="BO55" s="139">
        <f t="shared" si="31"/>
        <v>1.5</v>
      </c>
      <c r="BP55" s="318"/>
      <c r="BQ55" s="319">
        <f t="shared" si="32"/>
        <v>0</v>
      </c>
      <c r="BR55" s="37" t="s">
        <v>125</v>
      </c>
      <c r="BS55" s="37" t="s">
        <v>349</v>
      </c>
      <c r="BT55" s="63">
        <f t="shared" si="33"/>
        <v>6.2664411871606829</v>
      </c>
      <c r="BU55" s="408">
        <f t="shared" si="34"/>
        <v>0</v>
      </c>
      <c r="BV55" s="37" t="s">
        <v>411</v>
      </c>
      <c r="BW55" s="37" t="s">
        <v>3</v>
      </c>
      <c r="BX55" s="150">
        <f t="shared" si="35"/>
        <v>1.9221853757639424</v>
      </c>
      <c r="BY55" s="157">
        <f t="shared" si="36"/>
        <v>0</v>
      </c>
      <c r="BZ55" s="347">
        <f t="shared" si="37"/>
        <v>0</v>
      </c>
      <c r="CA55" s="318"/>
      <c r="CB55" s="63">
        <f>Subrates!$C$94</f>
        <v>2.2000000000000002</v>
      </c>
      <c r="CC55" s="318"/>
      <c r="CD55" s="63">
        <f>Subrates!$C$95</f>
        <v>13.200000000000001</v>
      </c>
      <c r="CE55" s="318"/>
      <c r="CF55" s="63">
        <f>Subrates!$C$96</f>
        <v>14.3</v>
      </c>
      <c r="CG55" s="351">
        <f t="shared" si="38"/>
        <v>0</v>
      </c>
      <c r="CH55" s="316"/>
      <c r="CI55" s="406">
        <f>Subrates!$C$106</f>
        <v>21234.52910306484</v>
      </c>
      <c r="CJ55" s="351">
        <f t="shared" si="55"/>
        <v>0</v>
      </c>
      <c r="CK55" s="63">
        <f>Subrates!$C$105</f>
        <v>2885.2856380177936</v>
      </c>
      <c r="CL55" s="407">
        <f t="shared" si="39"/>
        <v>0</v>
      </c>
      <c r="CM55" s="316">
        <f t="shared" si="40"/>
        <v>0</v>
      </c>
      <c r="CN55" s="73"/>
      <c r="CO55" s="324">
        <f t="shared" si="56"/>
        <v>0</v>
      </c>
      <c r="CP55" s="316"/>
      <c r="CQ55" s="324">
        <f t="shared" si="57"/>
        <v>0</v>
      </c>
      <c r="CR55" s="63">
        <f>Subrates!$C$109</f>
        <v>0.66402036681578014</v>
      </c>
      <c r="CS55" s="347">
        <f t="shared" si="58"/>
        <v>0</v>
      </c>
      <c r="CT55" s="319">
        <f t="shared" si="59"/>
        <v>0.15</v>
      </c>
      <c r="CU55" s="73"/>
      <c r="CV55" s="318"/>
      <c r="CW55" s="319">
        <f t="shared" si="60"/>
        <v>0</v>
      </c>
      <c r="CX55" s="37" t="s">
        <v>125</v>
      </c>
      <c r="CY55" s="383" t="s">
        <v>348</v>
      </c>
      <c r="CZ55" s="63">
        <f t="shared" si="41"/>
        <v>4.8064250364478198</v>
      </c>
      <c r="DA55" s="157">
        <f t="shared" si="61"/>
        <v>0</v>
      </c>
      <c r="DB55" s="149" t="s">
        <v>2026</v>
      </c>
      <c r="DC55" s="48" t="s">
        <v>485</v>
      </c>
      <c r="DD55" s="63">
        <f>IF(DB55=Local,0,VLOOKUP(DC55,Long_distance_values_subs,Subrates!$C$5,FALSE))</f>
        <v>0</v>
      </c>
      <c r="DE55" s="63">
        <f>IF(DB55=Local,0,Subrates!$D$122)</f>
        <v>0</v>
      </c>
      <c r="DF55" s="1140"/>
      <c r="DG55" s="158">
        <f>IF(DF55="",CW55*VLOOKUP(DC55,Long_distance_values_subs,Subrates!$H$5,FALSE)*DD55+CW55*DE55,CW55*DF55)</f>
        <v>0</v>
      </c>
      <c r="DH55" s="351">
        <f t="shared" si="42"/>
        <v>0</v>
      </c>
      <c r="DI55" s="318"/>
      <c r="DJ55" s="195" t="s">
        <v>48</v>
      </c>
      <c r="DK55" s="1096" t="str">
        <f>IF(DJ55=Lists!$B$18,"N/A",VLOOKUP(DJ55,Lists!$B$18:$D$26,Lists!$C$3,FALSE))</f>
        <v>N/A</v>
      </c>
      <c r="DL55" s="63">
        <f>IF(DJ55=Lists!$B$18,0,VLOOKUP(DK55,Amend_TOV,TOV!$F$1,FALSE))</f>
        <v>0</v>
      </c>
      <c r="DM55" s="117"/>
      <c r="DN55" s="318"/>
      <c r="DO55" s="195" t="s">
        <v>48</v>
      </c>
      <c r="DP55" s="1096" t="str">
        <f>IF(DO55=Lists!$B$18,"N/A",VLOOKUP(DO55,Lists!$B$18:$D$26,Lists!$C$3,FALSE))</f>
        <v>N/A</v>
      </c>
      <c r="DQ55" s="41">
        <f>IF(DO55=Lists!$B$18,0,VLOOKUP(DP55,Amend_TOV,TOV!$F$1,FALSE))</f>
        <v>0</v>
      </c>
      <c r="DR55" s="117"/>
      <c r="DS55" s="318"/>
      <c r="DT55" s="195" t="s">
        <v>48</v>
      </c>
      <c r="DU55" s="1096" t="str">
        <f>IF(DT55=Lists!$B$18,"N/A",VLOOKUP(DT55,Lists!$B$18:$D$26,Lists!$C$3,FALSE))</f>
        <v>N/A</v>
      </c>
      <c r="DV55" s="41">
        <f>IF(DT55=Lists!$B$18,0,VLOOKUP(DU55,Amend_TOV,TOV!$F$1,FALSE))</f>
        <v>0</v>
      </c>
      <c r="DW55" s="117"/>
      <c r="DX55" s="351">
        <f t="shared" si="43"/>
        <v>0</v>
      </c>
      <c r="DY55" s="316">
        <f t="shared" si="44"/>
        <v>0</v>
      </c>
      <c r="DZ55" s="66">
        <v>1</v>
      </c>
      <c r="EA55" s="66"/>
      <c r="EB55" s="67">
        <f t="shared" si="45"/>
        <v>0</v>
      </c>
      <c r="EC55" s="16" t="str">
        <f t="shared" si="62"/>
        <v>No Alert</v>
      </c>
      <c r="ED55" s="351">
        <f t="shared" si="63"/>
        <v>0</v>
      </c>
      <c r="EE55" s="351">
        <f t="shared" si="64"/>
        <v>0</v>
      </c>
      <c r="EF55" s="1154">
        <f t="shared" si="46"/>
        <v>0</v>
      </c>
      <c r="EG55" s="1154"/>
      <c r="EH55" s="351">
        <f t="shared" si="65"/>
        <v>0</v>
      </c>
      <c r="EI55" s="63">
        <f t="shared" si="47"/>
        <v>2850</v>
      </c>
      <c r="EJ55" s="117"/>
      <c r="EK55" s="351">
        <f t="shared" si="48"/>
        <v>0</v>
      </c>
      <c r="EL55" s="159"/>
      <c r="EM55" s="106">
        <f t="shared" si="66"/>
        <v>0</v>
      </c>
      <c r="EN55" s="1097">
        <f t="shared" si="49"/>
        <v>0</v>
      </c>
      <c r="EO55" s="803">
        <f t="shared" si="50"/>
        <v>0</v>
      </c>
      <c r="EP55" s="215"/>
      <c r="EQ55" s="217"/>
      <c r="ER55" s="217"/>
      <c r="ES55" s="217"/>
      <c r="ET55" s="217"/>
      <c r="EU55" s="217"/>
      <c r="EV55" s="217"/>
      <c r="EW55" s="218"/>
    </row>
    <row r="56" spans="2:153" s="520" customFormat="1" ht="15">
      <c r="B56" s="310"/>
      <c r="C56" s="989">
        <f t="shared" si="51"/>
        <v>5</v>
      </c>
      <c r="D56" s="168"/>
      <c r="E56" s="316"/>
      <c r="F56" s="255" t="s">
        <v>1879</v>
      </c>
      <c r="G56" s="316">
        <f t="shared" si="3"/>
        <v>0</v>
      </c>
      <c r="H56" s="77"/>
      <c r="I56" s="316"/>
      <c r="J56" s="77"/>
      <c r="K56" s="316"/>
      <c r="L56" s="37" t="s">
        <v>428</v>
      </c>
      <c r="M56" s="318"/>
      <c r="N56" s="319">
        <f t="shared" si="4"/>
        <v>0</v>
      </c>
      <c r="O56" s="318"/>
      <c r="P56" s="319">
        <f t="shared" si="5"/>
        <v>0</v>
      </c>
      <c r="Q56" s="37" t="s">
        <v>411</v>
      </c>
      <c r="R56" s="37" t="s">
        <v>3</v>
      </c>
      <c r="S56" s="150">
        <f t="shared" si="6"/>
        <v>1.9221853757639424</v>
      </c>
      <c r="T56" s="156">
        <f t="shared" si="7"/>
        <v>8904.769113128099</v>
      </c>
      <c r="U56" s="347">
        <f t="shared" si="8"/>
        <v>0</v>
      </c>
      <c r="V56" s="347">
        <f t="shared" si="9"/>
        <v>0</v>
      </c>
      <c r="W56" s="139">
        <f t="shared" si="10"/>
        <v>1</v>
      </c>
      <c r="X56" s="136"/>
      <c r="Y56" s="139">
        <f t="shared" si="52"/>
        <v>1</v>
      </c>
      <c r="Z56" s="318"/>
      <c r="AA56" s="319">
        <f t="shared" si="11"/>
        <v>0</v>
      </c>
      <c r="AB56" s="37" t="s">
        <v>125</v>
      </c>
      <c r="AC56" s="37" t="s">
        <v>349</v>
      </c>
      <c r="AD56" s="63">
        <f t="shared" si="12"/>
        <v>6.2664411871606829</v>
      </c>
      <c r="AE56" s="347">
        <f t="shared" si="13"/>
        <v>0</v>
      </c>
      <c r="AF56" s="316">
        <f t="shared" si="14"/>
        <v>0</v>
      </c>
      <c r="AG56" s="828">
        <f t="shared" si="15"/>
        <v>0.6</v>
      </c>
      <c r="AH56" s="136"/>
      <c r="AI56" s="139">
        <f t="shared" si="16"/>
        <v>0.6</v>
      </c>
      <c r="AJ56" s="318"/>
      <c r="AK56" s="319">
        <f t="shared" si="17"/>
        <v>0</v>
      </c>
      <c r="AL56" s="63">
        <f>Subrates!$C$97</f>
        <v>4.7138306819209967</v>
      </c>
      <c r="AM56" s="401">
        <f t="shared" si="18"/>
        <v>0</v>
      </c>
      <c r="AN56" s="37" t="s">
        <v>125</v>
      </c>
      <c r="AO56" s="37" t="s">
        <v>349</v>
      </c>
      <c r="AP56" s="63">
        <f t="shared" si="19"/>
        <v>6.2664411871606829</v>
      </c>
      <c r="AQ56" s="401">
        <f t="shared" si="20"/>
        <v>0</v>
      </c>
      <c r="AR56" s="37" t="s">
        <v>411</v>
      </c>
      <c r="AS56" s="47" t="s">
        <v>3</v>
      </c>
      <c r="AT56" s="150">
        <f t="shared" si="21"/>
        <v>1.9221853757639424</v>
      </c>
      <c r="AU56" s="401">
        <f t="shared" si="22"/>
        <v>0</v>
      </c>
      <c r="AV56" s="347">
        <f t="shared" si="53"/>
        <v>0</v>
      </c>
      <c r="AW56" s="316">
        <f t="shared" si="23"/>
        <v>0</v>
      </c>
      <c r="AX56" s="828">
        <f t="shared" si="24"/>
        <v>0.5</v>
      </c>
      <c r="AY56" s="136"/>
      <c r="AZ56" s="139">
        <f t="shared" si="25"/>
        <v>0.5</v>
      </c>
      <c r="BA56" s="318"/>
      <c r="BB56" s="319">
        <f t="shared" si="26"/>
        <v>0</v>
      </c>
      <c r="BC56" s="63">
        <f>IF(BE56=Local,Subrates!$C$98,Subrates!$C$99)</f>
        <v>8.0873484007548591</v>
      </c>
      <c r="BD56" s="401">
        <f t="shared" si="27"/>
        <v>0</v>
      </c>
      <c r="BE56" s="149" t="s">
        <v>2026</v>
      </c>
      <c r="BF56" s="48" t="s">
        <v>485</v>
      </c>
      <c r="BG56" s="63">
        <f>IF(BE56=Local,0,VLOOKUP(BF56,Long_distance_values_subs,Subrates!$C$5,FALSE))</f>
        <v>0</v>
      </c>
      <c r="BH56" s="63">
        <f>IF(BE56=Local,0,Subrates!$D$121)</f>
        <v>0</v>
      </c>
      <c r="BI56" s="1140"/>
      <c r="BJ56" s="401">
        <f t="shared" si="54"/>
        <v>0</v>
      </c>
      <c r="BK56" s="351">
        <f t="shared" si="28"/>
        <v>0</v>
      </c>
      <c r="BL56" s="316">
        <f t="shared" si="29"/>
        <v>0</v>
      </c>
      <c r="BM56" s="828">
        <f t="shared" si="30"/>
        <v>1.5</v>
      </c>
      <c r="BN56" s="136"/>
      <c r="BO56" s="139">
        <f t="shared" si="31"/>
        <v>1.5</v>
      </c>
      <c r="BP56" s="318"/>
      <c r="BQ56" s="319">
        <f t="shared" si="32"/>
        <v>0</v>
      </c>
      <c r="BR56" s="37" t="s">
        <v>125</v>
      </c>
      <c r="BS56" s="37" t="s">
        <v>349</v>
      </c>
      <c r="BT56" s="63">
        <f t="shared" si="33"/>
        <v>6.2664411871606829</v>
      </c>
      <c r="BU56" s="408">
        <f t="shared" si="34"/>
        <v>0</v>
      </c>
      <c r="BV56" s="37" t="s">
        <v>411</v>
      </c>
      <c r="BW56" s="37" t="s">
        <v>3</v>
      </c>
      <c r="BX56" s="150">
        <f t="shared" si="35"/>
        <v>1.9221853757639424</v>
      </c>
      <c r="BY56" s="157">
        <f t="shared" si="36"/>
        <v>0</v>
      </c>
      <c r="BZ56" s="347">
        <f t="shared" si="37"/>
        <v>0</v>
      </c>
      <c r="CA56" s="318"/>
      <c r="CB56" s="63">
        <f>Subrates!$C$94</f>
        <v>2.2000000000000002</v>
      </c>
      <c r="CC56" s="318"/>
      <c r="CD56" s="63">
        <f>Subrates!$C$95</f>
        <v>13.200000000000001</v>
      </c>
      <c r="CE56" s="318"/>
      <c r="CF56" s="63">
        <f>Subrates!$C$96</f>
        <v>14.3</v>
      </c>
      <c r="CG56" s="351">
        <f t="shared" si="38"/>
        <v>0</v>
      </c>
      <c r="CH56" s="316"/>
      <c r="CI56" s="406">
        <f>Subrates!$C$106</f>
        <v>21234.52910306484</v>
      </c>
      <c r="CJ56" s="351">
        <f t="shared" si="55"/>
        <v>0</v>
      </c>
      <c r="CK56" s="63">
        <f>Subrates!$C$105</f>
        <v>2885.2856380177936</v>
      </c>
      <c r="CL56" s="407">
        <f t="shared" si="39"/>
        <v>0</v>
      </c>
      <c r="CM56" s="316">
        <f t="shared" si="40"/>
        <v>0</v>
      </c>
      <c r="CN56" s="73"/>
      <c r="CO56" s="324">
        <f t="shared" si="56"/>
        <v>0</v>
      </c>
      <c r="CP56" s="316"/>
      <c r="CQ56" s="324">
        <f t="shared" si="57"/>
        <v>0</v>
      </c>
      <c r="CR56" s="63">
        <f>Subrates!$C$109</f>
        <v>0.66402036681578014</v>
      </c>
      <c r="CS56" s="347">
        <f t="shared" si="58"/>
        <v>0</v>
      </c>
      <c r="CT56" s="319">
        <f t="shared" si="59"/>
        <v>0.15</v>
      </c>
      <c r="CU56" s="73"/>
      <c r="CV56" s="318"/>
      <c r="CW56" s="319">
        <f t="shared" si="60"/>
        <v>0</v>
      </c>
      <c r="CX56" s="37" t="s">
        <v>125</v>
      </c>
      <c r="CY56" s="383" t="s">
        <v>348</v>
      </c>
      <c r="CZ56" s="63">
        <f t="shared" si="41"/>
        <v>4.8064250364478198</v>
      </c>
      <c r="DA56" s="157">
        <f t="shared" si="61"/>
        <v>0</v>
      </c>
      <c r="DB56" s="149" t="s">
        <v>2026</v>
      </c>
      <c r="DC56" s="48" t="s">
        <v>485</v>
      </c>
      <c r="DD56" s="63">
        <f>IF(DB56=Local,0,VLOOKUP(DC56,Long_distance_values_subs,Subrates!$C$5,FALSE))</f>
        <v>0</v>
      </c>
      <c r="DE56" s="63">
        <f>IF(DB56=Local,0,Subrates!$D$122)</f>
        <v>0</v>
      </c>
      <c r="DF56" s="1140"/>
      <c r="DG56" s="158">
        <f>IF(DF56="",CW56*VLOOKUP(DC56,Long_distance_values_subs,Subrates!$H$5,FALSE)*DD56+CW56*DE56,CW56*DF56)</f>
        <v>0</v>
      </c>
      <c r="DH56" s="351">
        <f t="shared" si="42"/>
        <v>0</v>
      </c>
      <c r="DI56" s="318"/>
      <c r="DJ56" s="195" t="s">
        <v>48</v>
      </c>
      <c r="DK56" s="1096" t="str">
        <f>IF(DJ56=Lists!$B$18,"N/A",VLOOKUP(DJ56,Lists!$B$18:$D$26,Lists!$C$3,FALSE))</f>
        <v>N/A</v>
      </c>
      <c r="DL56" s="63">
        <f>IF(DJ56=Lists!$B$18,0,VLOOKUP(DK56,Amend_TOV,TOV!$F$1,FALSE))</f>
        <v>0</v>
      </c>
      <c r="DM56" s="117"/>
      <c r="DN56" s="318"/>
      <c r="DO56" s="195" t="s">
        <v>48</v>
      </c>
      <c r="DP56" s="1096" t="str">
        <f>IF(DO56=Lists!$B$18,"N/A",VLOOKUP(DO56,Lists!$B$18:$D$26,Lists!$C$3,FALSE))</f>
        <v>N/A</v>
      </c>
      <c r="DQ56" s="41">
        <f>IF(DO56=Lists!$B$18,0,VLOOKUP(DP56,Amend_TOV,TOV!$F$1,FALSE))</f>
        <v>0</v>
      </c>
      <c r="DR56" s="117"/>
      <c r="DS56" s="318"/>
      <c r="DT56" s="195" t="s">
        <v>48</v>
      </c>
      <c r="DU56" s="1096" t="str">
        <f>IF(DT56=Lists!$B$18,"N/A",VLOOKUP(DT56,Lists!$B$18:$D$26,Lists!$C$3,FALSE))</f>
        <v>N/A</v>
      </c>
      <c r="DV56" s="41">
        <f>IF(DT56=Lists!$B$18,0,VLOOKUP(DU56,Amend_TOV,TOV!$F$1,FALSE))</f>
        <v>0</v>
      </c>
      <c r="DW56" s="117"/>
      <c r="DX56" s="351">
        <f t="shared" si="43"/>
        <v>0</v>
      </c>
      <c r="DY56" s="316">
        <f t="shared" si="44"/>
        <v>0</v>
      </c>
      <c r="DZ56" s="66">
        <v>1</v>
      </c>
      <c r="EA56" s="66"/>
      <c r="EB56" s="67">
        <f t="shared" si="45"/>
        <v>0</v>
      </c>
      <c r="EC56" s="16" t="str">
        <f t="shared" si="62"/>
        <v>No Alert</v>
      </c>
      <c r="ED56" s="351">
        <f t="shared" si="63"/>
        <v>0</v>
      </c>
      <c r="EE56" s="351">
        <f t="shared" si="64"/>
        <v>0</v>
      </c>
      <c r="EF56" s="1154">
        <f t="shared" si="46"/>
        <v>0</v>
      </c>
      <c r="EG56" s="1154"/>
      <c r="EH56" s="351">
        <f t="shared" si="65"/>
        <v>0</v>
      </c>
      <c r="EI56" s="63">
        <f t="shared" si="47"/>
        <v>2850</v>
      </c>
      <c r="EJ56" s="117"/>
      <c r="EK56" s="351">
        <f t="shared" si="48"/>
        <v>0</v>
      </c>
      <c r="EL56" s="159"/>
      <c r="EM56" s="106">
        <f t="shared" si="66"/>
        <v>0</v>
      </c>
      <c r="EN56" s="1097">
        <f t="shared" si="49"/>
        <v>0</v>
      </c>
      <c r="EO56" s="803">
        <f t="shared" si="50"/>
        <v>0</v>
      </c>
      <c r="EP56" s="215"/>
      <c r="EQ56" s="217"/>
      <c r="ER56" s="217"/>
      <c r="ES56" s="217"/>
      <c r="ET56" s="217"/>
      <c r="EU56" s="217"/>
      <c r="EV56" s="217"/>
      <c r="EW56" s="218"/>
    </row>
    <row r="57" spans="2:153" s="520" customFormat="1" ht="15">
      <c r="B57" s="310"/>
      <c r="C57" s="989">
        <f t="shared" si="51"/>
        <v>6</v>
      </c>
      <c r="D57" s="168"/>
      <c r="E57" s="316"/>
      <c r="F57" s="255" t="s">
        <v>1879</v>
      </c>
      <c r="G57" s="316">
        <f t="shared" si="3"/>
        <v>0</v>
      </c>
      <c r="H57" s="77"/>
      <c r="I57" s="316"/>
      <c r="J57" s="77"/>
      <c r="K57" s="316"/>
      <c r="L57" s="37" t="s">
        <v>428</v>
      </c>
      <c r="M57" s="318"/>
      <c r="N57" s="319">
        <f t="shared" si="4"/>
        <v>0</v>
      </c>
      <c r="O57" s="318"/>
      <c r="P57" s="319">
        <f t="shared" si="5"/>
        <v>0</v>
      </c>
      <c r="Q57" s="37" t="s">
        <v>411</v>
      </c>
      <c r="R57" s="37" t="s">
        <v>3</v>
      </c>
      <c r="S57" s="150">
        <f t="shared" si="6"/>
        <v>1.9221853757639424</v>
      </c>
      <c r="T57" s="156">
        <f t="shared" si="7"/>
        <v>8904.769113128099</v>
      </c>
      <c r="U57" s="347">
        <f t="shared" si="8"/>
        <v>0</v>
      </c>
      <c r="V57" s="347">
        <f t="shared" si="9"/>
        <v>0</v>
      </c>
      <c r="W57" s="139">
        <f t="shared" si="10"/>
        <v>1</v>
      </c>
      <c r="X57" s="136"/>
      <c r="Y57" s="139">
        <f t="shared" si="52"/>
        <v>1</v>
      </c>
      <c r="Z57" s="318"/>
      <c r="AA57" s="319">
        <f t="shared" si="11"/>
        <v>0</v>
      </c>
      <c r="AB57" s="37" t="s">
        <v>125</v>
      </c>
      <c r="AC57" s="37" t="s">
        <v>349</v>
      </c>
      <c r="AD57" s="63">
        <f t="shared" si="12"/>
        <v>6.2664411871606829</v>
      </c>
      <c r="AE57" s="347">
        <f t="shared" si="13"/>
        <v>0</v>
      </c>
      <c r="AF57" s="316">
        <f t="shared" si="14"/>
        <v>0</v>
      </c>
      <c r="AG57" s="828">
        <f t="shared" si="15"/>
        <v>0.6</v>
      </c>
      <c r="AH57" s="136"/>
      <c r="AI57" s="139">
        <f t="shared" si="16"/>
        <v>0.6</v>
      </c>
      <c r="AJ57" s="318"/>
      <c r="AK57" s="319">
        <f t="shared" si="17"/>
        <v>0</v>
      </c>
      <c r="AL57" s="63">
        <f>Subrates!$C$97</f>
        <v>4.7138306819209967</v>
      </c>
      <c r="AM57" s="401">
        <f t="shared" si="18"/>
        <v>0</v>
      </c>
      <c r="AN57" s="37" t="s">
        <v>125</v>
      </c>
      <c r="AO57" s="37" t="s">
        <v>349</v>
      </c>
      <c r="AP57" s="63">
        <f t="shared" si="19"/>
        <v>6.2664411871606829</v>
      </c>
      <c r="AQ57" s="401">
        <f t="shared" si="20"/>
        <v>0</v>
      </c>
      <c r="AR57" s="37" t="s">
        <v>411</v>
      </c>
      <c r="AS57" s="47" t="s">
        <v>3</v>
      </c>
      <c r="AT57" s="150">
        <f t="shared" si="21"/>
        <v>1.9221853757639424</v>
      </c>
      <c r="AU57" s="401">
        <f t="shared" si="22"/>
        <v>0</v>
      </c>
      <c r="AV57" s="347">
        <f t="shared" si="53"/>
        <v>0</v>
      </c>
      <c r="AW57" s="316">
        <f t="shared" si="23"/>
        <v>0</v>
      </c>
      <c r="AX57" s="828">
        <f t="shared" si="24"/>
        <v>0.5</v>
      </c>
      <c r="AY57" s="136"/>
      <c r="AZ57" s="139">
        <f t="shared" si="25"/>
        <v>0.5</v>
      </c>
      <c r="BA57" s="318"/>
      <c r="BB57" s="319">
        <f t="shared" si="26"/>
        <v>0</v>
      </c>
      <c r="BC57" s="63">
        <f>IF(BE57=Local,Subrates!$C$98,Subrates!$C$99)</f>
        <v>8.0873484007548591</v>
      </c>
      <c r="BD57" s="401">
        <f t="shared" si="27"/>
        <v>0</v>
      </c>
      <c r="BE57" s="149" t="s">
        <v>2026</v>
      </c>
      <c r="BF57" s="48" t="s">
        <v>485</v>
      </c>
      <c r="BG57" s="63">
        <f>IF(BE57=Local,0,VLOOKUP(BF57,Long_distance_values_subs,Subrates!$C$5,FALSE))</f>
        <v>0</v>
      </c>
      <c r="BH57" s="63">
        <f>IF(BE57=Local,0,Subrates!$D$121)</f>
        <v>0</v>
      </c>
      <c r="BI57" s="1140"/>
      <c r="BJ57" s="401">
        <f t="shared" si="54"/>
        <v>0</v>
      </c>
      <c r="BK57" s="351">
        <f t="shared" si="28"/>
        <v>0</v>
      </c>
      <c r="BL57" s="316">
        <f t="shared" si="29"/>
        <v>0</v>
      </c>
      <c r="BM57" s="828">
        <f t="shared" si="30"/>
        <v>1.5</v>
      </c>
      <c r="BN57" s="136"/>
      <c r="BO57" s="139">
        <f t="shared" si="31"/>
        <v>1.5</v>
      </c>
      <c r="BP57" s="318"/>
      <c r="BQ57" s="319">
        <f t="shared" si="32"/>
        <v>0</v>
      </c>
      <c r="BR57" s="37" t="s">
        <v>125</v>
      </c>
      <c r="BS57" s="37" t="s">
        <v>349</v>
      </c>
      <c r="BT57" s="63">
        <f t="shared" si="33"/>
        <v>6.2664411871606829</v>
      </c>
      <c r="BU57" s="408">
        <f t="shared" si="34"/>
        <v>0</v>
      </c>
      <c r="BV57" s="37" t="s">
        <v>411</v>
      </c>
      <c r="BW57" s="37" t="s">
        <v>3</v>
      </c>
      <c r="BX57" s="150">
        <f t="shared" si="35"/>
        <v>1.9221853757639424</v>
      </c>
      <c r="BY57" s="157">
        <f t="shared" si="36"/>
        <v>0</v>
      </c>
      <c r="BZ57" s="347">
        <f t="shared" si="37"/>
        <v>0</v>
      </c>
      <c r="CA57" s="318"/>
      <c r="CB57" s="63">
        <f>Subrates!$C$94</f>
        <v>2.2000000000000002</v>
      </c>
      <c r="CC57" s="318"/>
      <c r="CD57" s="63">
        <f>Subrates!$C$95</f>
        <v>13.200000000000001</v>
      </c>
      <c r="CE57" s="318"/>
      <c r="CF57" s="63">
        <f>Subrates!$C$96</f>
        <v>14.3</v>
      </c>
      <c r="CG57" s="351">
        <f t="shared" si="38"/>
        <v>0</v>
      </c>
      <c r="CH57" s="316"/>
      <c r="CI57" s="406">
        <f>Subrates!$C$106</f>
        <v>21234.52910306484</v>
      </c>
      <c r="CJ57" s="351">
        <f t="shared" si="55"/>
        <v>0</v>
      </c>
      <c r="CK57" s="63">
        <f>Subrates!$C$105</f>
        <v>2885.2856380177936</v>
      </c>
      <c r="CL57" s="407">
        <f t="shared" si="39"/>
        <v>0</v>
      </c>
      <c r="CM57" s="316">
        <f t="shared" si="40"/>
        <v>0</v>
      </c>
      <c r="CN57" s="73"/>
      <c r="CO57" s="324">
        <f t="shared" si="56"/>
        <v>0</v>
      </c>
      <c r="CP57" s="316"/>
      <c r="CQ57" s="324">
        <f t="shared" si="57"/>
        <v>0</v>
      </c>
      <c r="CR57" s="63">
        <f>Subrates!$C$109</f>
        <v>0.66402036681578014</v>
      </c>
      <c r="CS57" s="347">
        <f t="shared" si="58"/>
        <v>0</v>
      </c>
      <c r="CT57" s="319">
        <f t="shared" si="59"/>
        <v>0.15</v>
      </c>
      <c r="CU57" s="73"/>
      <c r="CV57" s="318"/>
      <c r="CW57" s="319">
        <f t="shared" si="60"/>
        <v>0</v>
      </c>
      <c r="CX57" s="37" t="s">
        <v>125</v>
      </c>
      <c r="CY57" s="383" t="s">
        <v>348</v>
      </c>
      <c r="CZ57" s="63">
        <f t="shared" si="41"/>
        <v>4.8064250364478198</v>
      </c>
      <c r="DA57" s="157">
        <f t="shared" si="61"/>
        <v>0</v>
      </c>
      <c r="DB57" s="149" t="s">
        <v>2026</v>
      </c>
      <c r="DC57" s="48" t="s">
        <v>485</v>
      </c>
      <c r="DD57" s="63">
        <f>IF(DB57=Local,0,VLOOKUP(DC57,Long_distance_values_subs,Subrates!$C$5,FALSE))</f>
        <v>0</v>
      </c>
      <c r="DE57" s="63">
        <f>IF(DB57=Local,0,Subrates!$D$122)</f>
        <v>0</v>
      </c>
      <c r="DF57" s="1140"/>
      <c r="DG57" s="158">
        <f>IF(DF57="",CW57*VLOOKUP(DC57,Long_distance_values_subs,Subrates!$H$5,FALSE)*DD57+CW57*DE57,CW57*DF57)</f>
        <v>0</v>
      </c>
      <c r="DH57" s="351">
        <f t="shared" si="42"/>
        <v>0</v>
      </c>
      <c r="DI57" s="318"/>
      <c r="DJ57" s="195" t="s">
        <v>48</v>
      </c>
      <c r="DK57" s="1096" t="str">
        <f>IF(DJ57=Lists!$B$18,"N/A",VLOOKUP(DJ57,Lists!$B$18:$D$26,Lists!$C$3,FALSE))</f>
        <v>N/A</v>
      </c>
      <c r="DL57" s="63">
        <f>IF(DJ57=Lists!$B$18,0,VLOOKUP(DK57,Amend_TOV,TOV!$F$1,FALSE))</f>
        <v>0</v>
      </c>
      <c r="DM57" s="117"/>
      <c r="DN57" s="318"/>
      <c r="DO57" s="195" t="s">
        <v>48</v>
      </c>
      <c r="DP57" s="1096" t="str">
        <f>IF(DO57=Lists!$B$18,"N/A",VLOOKUP(DO57,Lists!$B$18:$D$26,Lists!$C$3,FALSE))</f>
        <v>N/A</v>
      </c>
      <c r="DQ57" s="41">
        <f>IF(DO57=Lists!$B$18,0,VLOOKUP(DP57,Amend_TOV,TOV!$F$1,FALSE))</f>
        <v>0</v>
      </c>
      <c r="DR57" s="117"/>
      <c r="DS57" s="318"/>
      <c r="DT57" s="195" t="s">
        <v>48</v>
      </c>
      <c r="DU57" s="1096" t="str">
        <f>IF(DT57=Lists!$B$18,"N/A",VLOOKUP(DT57,Lists!$B$18:$D$26,Lists!$C$3,FALSE))</f>
        <v>N/A</v>
      </c>
      <c r="DV57" s="41">
        <f>IF(DT57=Lists!$B$18,0,VLOOKUP(DU57,Amend_TOV,TOV!$F$1,FALSE))</f>
        <v>0</v>
      </c>
      <c r="DW57" s="117"/>
      <c r="DX57" s="351">
        <f t="shared" si="43"/>
        <v>0</v>
      </c>
      <c r="DY57" s="316">
        <f t="shared" si="44"/>
        <v>0</v>
      </c>
      <c r="DZ57" s="66">
        <v>1</v>
      </c>
      <c r="EA57" s="66"/>
      <c r="EB57" s="67">
        <f t="shared" si="45"/>
        <v>0</v>
      </c>
      <c r="EC57" s="16" t="str">
        <f t="shared" si="62"/>
        <v>No Alert</v>
      </c>
      <c r="ED57" s="351">
        <f t="shared" si="63"/>
        <v>0</v>
      </c>
      <c r="EE57" s="351">
        <f t="shared" si="64"/>
        <v>0</v>
      </c>
      <c r="EF57" s="1154">
        <f t="shared" si="46"/>
        <v>0</v>
      </c>
      <c r="EG57" s="1154"/>
      <c r="EH57" s="351">
        <f t="shared" si="65"/>
        <v>0</v>
      </c>
      <c r="EI57" s="63">
        <f t="shared" si="47"/>
        <v>2850</v>
      </c>
      <c r="EJ57" s="117"/>
      <c r="EK57" s="351">
        <f t="shared" si="48"/>
        <v>0</v>
      </c>
      <c r="EL57" s="159"/>
      <c r="EM57" s="106">
        <f t="shared" si="66"/>
        <v>0</v>
      </c>
      <c r="EN57" s="1097">
        <f t="shared" si="49"/>
        <v>0</v>
      </c>
      <c r="EO57" s="803">
        <f t="shared" si="50"/>
        <v>0</v>
      </c>
      <c r="EP57" s="215"/>
      <c r="EQ57" s="217"/>
      <c r="ER57" s="217"/>
      <c r="ES57" s="217"/>
      <c r="ET57" s="217"/>
      <c r="EU57" s="217"/>
      <c r="EV57" s="217"/>
      <c r="EW57" s="218"/>
    </row>
    <row r="58" spans="2:153" s="520" customFormat="1" ht="15">
      <c r="B58" s="310"/>
      <c r="C58" s="989">
        <f t="shared" si="51"/>
        <v>7</v>
      </c>
      <c r="D58" s="168"/>
      <c r="E58" s="316"/>
      <c r="F58" s="255" t="s">
        <v>1879</v>
      </c>
      <c r="G58" s="316">
        <f t="shared" si="3"/>
        <v>0</v>
      </c>
      <c r="H58" s="77"/>
      <c r="I58" s="316"/>
      <c r="J58" s="77"/>
      <c r="K58" s="316"/>
      <c r="L58" s="37" t="s">
        <v>428</v>
      </c>
      <c r="M58" s="318"/>
      <c r="N58" s="319">
        <f t="shared" si="4"/>
        <v>0</v>
      </c>
      <c r="O58" s="318"/>
      <c r="P58" s="319">
        <f t="shared" si="5"/>
        <v>0</v>
      </c>
      <c r="Q58" s="37" t="s">
        <v>411</v>
      </c>
      <c r="R58" s="37" t="s">
        <v>3</v>
      </c>
      <c r="S58" s="150">
        <f t="shared" si="6"/>
        <v>1.9221853757639424</v>
      </c>
      <c r="T58" s="156">
        <f t="shared" si="7"/>
        <v>8904.769113128099</v>
      </c>
      <c r="U58" s="347">
        <f t="shared" si="8"/>
        <v>0</v>
      </c>
      <c r="V58" s="347">
        <f t="shared" si="9"/>
        <v>0</v>
      </c>
      <c r="W58" s="139">
        <f t="shared" si="10"/>
        <v>1</v>
      </c>
      <c r="X58" s="136"/>
      <c r="Y58" s="139">
        <f t="shared" si="52"/>
        <v>1</v>
      </c>
      <c r="Z58" s="318"/>
      <c r="AA58" s="319">
        <f t="shared" si="11"/>
        <v>0</v>
      </c>
      <c r="AB58" s="37" t="s">
        <v>125</v>
      </c>
      <c r="AC58" s="37" t="s">
        <v>349</v>
      </c>
      <c r="AD58" s="63">
        <f t="shared" si="12"/>
        <v>6.2664411871606829</v>
      </c>
      <c r="AE58" s="347">
        <f t="shared" si="13"/>
        <v>0</v>
      </c>
      <c r="AF58" s="316">
        <f t="shared" si="14"/>
        <v>0</v>
      </c>
      <c r="AG58" s="828">
        <f t="shared" si="15"/>
        <v>0.6</v>
      </c>
      <c r="AH58" s="136"/>
      <c r="AI58" s="139">
        <f t="shared" si="16"/>
        <v>0.6</v>
      </c>
      <c r="AJ58" s="318"/>
      <c r="AK58" s="319">
        <f t="shared" si="17"/>
        <v>0</v>
      </c>
      <c r="AL58" s="63">
        <f>Subrates!$C$97</f>
        <v>4.7138306819209967</v>
      </c>
      <c r="AM58" s="401">
        <f t="shared" si="18"/>
        <v>0</v>
      </c>
      <c r="AN58" s="37" t="s">
        <v>125</v>
      </c>
      <c r="AO58" s="37" t="s">
        <v>349</v>
      </c>
      <c r="AP58" s="63">
        <f t="shared" si="19"/>
        <v>6.2664411871606829</v>
      </c>
      <c r="AQ58" s="401">
        <f t="shared" si="20"/>
        <v>0</v>
      </c>
      <c r="AR58" s="37" t="s">
        <v>411</v>
      </c>
      <c r="AS58" s="47" t="s">
        <v>3</v>
      </c>
      <c r="AT58" s="150">
        <f t="shared" si="21"/>
        <v>1.9221853757639424</v>
      </c>
      <c r="AU58" s="401">
        <f t="shared" si="22"/>
        <v>0</v>
      </c>
      <c r="AV58" s="347">
        <f t="shared" si="53"/>
        <v>0</v>
      </c>
      <c r="AW58" s="316">
        <f t="shared" si="23"/>
        <v>0</v>
      </c>
      <c r="AX58" s="828">
        <f t="shared" si="24"/>
        <v>0.5</v>
      </c>
      <c r="AY58" s="136"/>
      <c r="AZ58" s="139">
        <f t="shared" si="25"/>
        <v>0.5</v>
      </c>
      <c r="BA58" s="318"/>
      <c r="BB58" s="319">
        <f t="shared" si="26"/>
        <v>0</v>
      </c>
      <c r="BC58" s="63">
        <f>IF(BE58=Local,Subrates!$C$98,Subrates!$C$99)</f>
        <v>8.0873484007548591</v>
      </c>
      <c r="BD58" s="401">
        <f t="shared" si="27"/>
        <v>0</v>
      </c>
      <c r="BE58" s="149" t="s">
        <v>2026</v>
      </c>
      <c r="BF58" s="48" t="s">
        <v>485</v>
      </c>
      <c r="BG58" s="63">
        <f>IF(BE58=Local,0,VLOOKUP(BF58,Long_distance_values_subs,Subrates!$C$5,FALSE))</f>
        <v>0</v>
      </c>
      <c r="BH58" s="63">
        <f>IF(BE58=Local,0,Subrates!$D$121)</f>
        <v>0</v>
      </c>
      <c r="BI58" s="1140"/>
      <c r="BJ58" s="401">
        <f t="shared" si="54"/>
        <v>0</v>
      </c>
      <c r="BK58" s="351">
        <f t="shared" si="28"/>
        <v>0</v>
      </c>
      <c r="BL58" s="316">
        <f t="shared" si="29"/>
        <v>0</v>
      </c>
      <c r="BM58" s="828">
        <f t="shared" si="30"/>
        <v>1.5</v>
      </c>
      <c r="BN58" s="136"/>
      <c r="BO58" s="139">
        <f t="shared" si="31"/>
        <v>1.5</v>
      </c>
      <c r="BP58" s="318"/>
      <c r="BQ58" s="319">
        <f t="shared" si="32"/>
        <v>0</v>
      </c>
      <c r="BR58" s="37" t="s">
        <v>125</v>
      </c>
      <c r="BS58" s="37" t="s">
        <v>349</v>
      </c>
      <c r="BT58" s="63">
        <f t="shared" si="33"/>
        <v>6.2664411871606829</v>
      </c>
      <c r="BU58" s="408">
        <f t="shared" si="34"/>
        <v>0</v>
      </c>
      <c r="BV58" s="37" t="s">
        <v>411</v>
      </c>
      <c r="BW58" s="37" t="s">
        <v>3</v>
      </c>
      <c r="BX58" s="150">
        <f t="shared" si="35"/>
        <v>1.9221853757639424</v>
      </c>
      <c r="BY58" s="157">
        <f t="shared" si="36"/>
        <v>0</v>
      </c>
      <c r="BZ58" s="347">
        <f t="shared" si="37"/>
        <v>0</v>
      </c>
      <c r="CA58" s="318"/>
      <c r="CB58" s="63">
        <f>Subrates!$C$94</f>
        <v>2.2000000000000002</v>
      </c>
      <c r="CC58" s="318"/>
      <c r="CD58" s="63">
        <f>Subrates!$C$95</f>
        <v>13.200000000000001</v>
      </c>
      <c r="CE58" s="318"/>
      <c r="CF58" s="63">
        <f>Subrates!$C$96</f>
        <v>14.3</v>
      </c>
      <c r="CG58" s="351">
        <f t="shared" si="38"/>
        <v>0</v>
      </c>
      <c r="CH58" s="316"/>
      <c r="CI58" s="406">
        <f>Subrates!$C$106</f>
        <v>21234.52910306484</v>
      </c>
      <c r="CJ58" s="351">
        <f t="shared" si="55"/>
        <v>0</v>
      </c>
      <c r="CK58" s="63">
        <f>Subrates!$C$105</f>
        <v>2885.2856380177936</v>
      </c>
      <c r="CL58" s="407">
        <f t="shared" si="39"/>
        <v>0</v>
      </c>
      <c r="CM58" s="316">
        <f t="shared" si="40"/>
        <v>0</v>
      </c>
      <c r="CN58" s="73"/>
      <c r="CO58" s="324">
        <f t="shared" si="56"/>
        <v>0</v>
      </c>
      <c r="CP58" s="316"/>
      <c r="CQ58" s="324">
        <f t="shared" si="57"/>
        <v>0</v>
      </c>
      <c r="CR58" s="63">
        <f>Subrates!$C$109</f>
        <v>0.66402036681578014</v>
      </c>
      <c r="CS58" s="347">
        <f t="shared" si="58"/>
        <v>0</v>
      </c>
      <c r="CT58" s="319">
        <f t="shared" si="59"/>
        <v>0.15</v>
      </c>
      <c r="CU58" s="73"/>
      <c r="CV58" s="318"/>
      <c r="CW58" s="319">
        <f t="shared" si="60"/>
        <v>0</v>
      </c>
      <c r="CX58" s="37" t="s">
        <v>125</v>
      </c>
      <c r="CY58" s="383" t="s">
        <v>348</v>
      </c>
      <c r="CZ58" s="63">
        <f t="shared" si="41"/>
        <v>4.8064250364478198</v>
      </c>
      <c r="DA58" s="157">
        <f t="shared" si="61"/>
        <v>0</v>
      </c>
      <c r="DB58" s="149" t="s">
        <v>2026</v>
      </c>
      <c r="DC58" s="48" t="s">
        <v>485</v>
      </c>
      <c r="DD58" s="63">
        <f>IF(DB58=Local,0,VLOOKUP(DC58,Long_distance_values_subs,Subrates!$C$5,FALSE))</f>
        <v>0</v>
      </c>
      <c r="DE58" s="63">
        <f>IF(DB58=Local,0,Subrates!$D$122)</f>
        <v>0</v>
      </c>
      <c r="DF58" s="1140"/>
      <c r="DG58" s="158">
        <f>IF(DF58="",CW58*VLOOKUP(DC58,Long_distance_values_subs,Subrates!$H$5,FALSE)*DD58+CW58*DE58,CW58*DF58)</f>
        <v>0</v>
      </c>
      <c r="DH58" s="351">
        <f t="shared" si="42"/>
        <v>0</v>
      </c>
      <c r="DI58" s="318"/>
      <c r="DJ58" s="195" t="s">
        <v>48</v>
      </c>
      <c r="DK58" s="1096" t="str">
        <f>IF(DJ58=Lists!$B$18,"N/A",VLOOKUP(DJ58,Lists!$B$18:$D$26,Lists!$C$3,FALSE))</f>
        <v>N/A</v>
      </c>
      <c r="DL58" s="63">
        <f>IF(DJ58=Lists!$B$18,0,VLOOKUP(DK58,Amend_TOV,TOV!$F$1,FALSE))</f>
        <v>0</v>
      </c>
      <c r="DM58" s="117"/>
      <c r="DN58" s="318"/>
      <c r="DO58" s="195" t="s">
        <v>48</v>
      </c>
      <c r="DP58" s="1096" t="str">
        <f>IF(DO58=Lists!$B$18,"N/A",VLOOKUP(DO58,Lists!$B$18:$D$26,Lists!$C$3,FALSE))</f>
        <v>N/A</v>
      </c>
      <c r="DQ58" s="41">
        <f>IF(DO58=Lists!$B$18,0,VLOOKUP(DP58,Amend_TOV,TOV!$F$1,FALSE))</f>
        <v>0</v>
      </c>
      <c r="DR58" s="117"/>
      <c r="DS58" s="318"/>
      <c r="DT58" s="195" t="s">
        <v>48</v>
      </c>
      <c r="DU58" s="1096" t="str">
        <f>IF(DT58=Lists!$B$18,"N/A",VLOOKUP(DT58,Lists!$B$18:$D$26,Lists!$C$3,FALSE))</f>
        <v>N/A</v>
      </c>
      <c r="DV58" s="41">
        <f>IF(DT58=Lists!$B$18,0,VLOOKUP(DU58,Amend_TOV,TOV!$F$1,FALSE))</f>
        <v>0</v>
      </c>
      <c r="DW58" s="117"/>
      <c r="DX58" s="351">
        <f t="shared" si="43"/>
        <v>0</v>
      </c>
      <c r="DY58" s="316">
        <f t="shared" si="44"/>
        <v>0</v>
      </c>
      <c r="DZ58" s="66">
        <v>1</v>
      </c>
      <c r="EA58" s="66"/>
      <c r="EB58" s="67">
        <f t="shared" si="45"/>
        <v>0</v>
      </c>
      <c r="EC58" s="16" t="str">
        <f t="shared" si="62"/>
        <v>No Alert</v>
      </c>
      <c r="ED58" s="351">
        <f t="shared" si="63"/>
        <v>0</v>
      </c>
      <c r="EE58" s="351">
        <f t="shared" si="64"/>
        <v>0</v>
      </c>
      <c r="EF58" s="1154">
        <f t="shared" si="46"/>
        <v>0</v>
      </c>
      <c r="EG58" s="1154"/>
      <c r="EH58" s="351">
        <f t="shared" si="65"/>
        <v>0</v>
      </c>
      <c r="EI58" s="63">
        <f t="shared" si="47"/>
        <v>2850</v>
      </c>
      <c r="EJ58" s="117"/>
      <c r="EK58" s="351">
        <f t="shared" si="48"/>
        <v>0</v>
      </c>
      <c r="EL58" s="159"/>
      <c r="EM58" s="106">
        <f t="shared" si="66"/>
        <v>0</v>
      </c>
      <c r="EN58" s="1097">
        <f t="shared" si="49"/>
        <v>0</v>
      </c>
      <c r="EO58" s="803">
        <f t="shared" si="50"/>
        <v>0</v>
      </c>
      <c r="EP58" s="215"/>
      <c r="EQ58" s="217"/>
      <c r="ER58" s="217"/>
      <c r="ES58" s="217"/>
      <c r="ET58" s="217"/>
      <c r="EU58" s="217"/>
      <c r="EV58" s="217"/>
      <c r="EW58" s="218"/>
    </row>
    <row r="59" spans="2:153" s="520" customFormat="1" ht="15">
      <c r="B59" s="310"/>
      <c r="C59" s="989">
        <f t="shared" si="51"/>
        <v>8</v>
      </c>
      <c r="D59" s="168"/>
      <c r="E59" s="316"/>
      <c r="F59" s="255" t="s">
        <v>1879</v>
      </c>
      <c r="G59" s="316">
        <f t="shared" si="3"/>
        <v>0</v>
      </c>
      <c r="H59" s="77"/>
      <c r="I59" s="316"/>
      <c r="J59" s="77"/>
      <c r="K59" s="316"/>
      <c r="L59" s="37" t="s">
        <v>428</v>
      </c>
      <c r="M59" s="318"/>
      <c r="N59" s="319">
        <f t="shared" si="4"/>
        <v>0</v>
      </c>
      <c r="O59" s="318"/>
      <c r="P59" s="319">
        <f t="shared" si="5"/>
        <v>0</v>
      </c>
      <c r="Q59" s="37" t="s">
        <v>411</v>
      </c>
      <c r="R59" s="37" t="s">
        <v>3</v>
      </c>
      <c r="S59" s="150">
        <f t="shared" si="6"/>
        <v>1.9221853757639424</v>
      </c>
      <c r="T59" s="156">
        <f t="shared" si="7"/>
        <v>8904.769113128099</v>
      </c>
      <c r="U59" s="347">
        <f t="shared" si="8"/>
        <v>0</v>
      </c>
      <c r="V59" s="347">
        <f t="shared" si="9"/>
        <v>0</v>
      </c>
      <c r="W59" s="139">
        <f t="shared" si="10"/>
        <v>1</v>
      </c>
      <c r="X59" s="136"/>
      <c r="Y59" s="139">
        <f t="shared" si="52"/>
        <v>1</v>
      </c>
      <c r="Z59" s="318"/>
      <c r="AA59" s="319">
        <f t="shared" si="11"/>
        <v>0</v>
      </c>
      <c r="AB59" s="37" t="s">
        <v>125</v>
      </c>
      <c r="AC59" s="37" t="s">
        <v>349</v>
      </c>
      <c r="AD59" s="63">
        <f t="shared" si="12"/>
        <v>6.2664411871606829</v>
      </c>
      <c r="AE59" s="347">
        <f t="shared" si="13"/>
        <v>0</v>
      </c>
      <c r="AF59" s="316">
        <f t="shared" si="14"/>
        <v>0</v>
      </c>
      <c r="AG59" s="828">
        <f t="shared" si="15"/>
        <v>0.6</v>
      </c>
      <c r="AH59" s="136"/>
      <c r="AI59" s="139">
        <f t="shared" si="16"/>
        <v>0.6</v>
      </c>
      <c r="AJ59" s="318"/>
      <c r="AK59" s="319">
        <f t="shared" si="17"/>
        <v>0</v>
      </c>
      <c r="AL59" s="63">
        <f>Subrates!$C$97</f>
        <v>4.7138306819209967</v>
      </c>
      <c r="AM59" s="401">
        <f t="shared" si="18"/>
        <v>0</v>
      </c>
      <c r="AN59" s="37" t="s">
        <v>125</v>
      </c>
      <c r="AO59" s="37" t="s">
        <v>349</v>
      </c>
      <c r="AP59" s="63">
        <f t="shared" si="19"/>
        <v>6.2664411871606829</v>
      </c>
      <c r="AQ59" s="401">
        <f t="shared" si="20"/>
        <v>0</v>
      </c>
      <c r="AR59" s="37" t="s">
        <v>411</v>
      </c>
      <c r="AS59" s="47" t="s">
        <v>3</v>
      </c>
      <c r="AT59" s="150">
        <f t="shared" si="21"/>
        <v>1.9221853757639424</v>
      </c>
      <c r="AU59" s="401">
        <f t="shared" si="22"/>
        <v>0</v>
      </c>
      <c r="AV59" s="347">
        <f t="shared" si="53"/>
        <v>0</v>
      </c>
      <c r="AW59" s="316">
        <f t="shared" si="23"/>
        <v>0</v>
      </c>
      <c r="AX59" s="828">
        <f t="shared" si="24"/>
        <v>0.5</v>
      </c>
      <c r="AY59" s="136"/>
      <c r="AZ59" s="139">
        <f t="shared" si="25"/>
        <v>0.5</v>
      </c>
      <c r="BA59" s="318"/>
      <c r="BB59" s="319">
        <f t="shared" si="26"/>
        <v>0</v>
      </c>
      <c r="BC59" s="63">
        <f>IF(BE59=Local,Subrates!$C$98,Subrates!$C$99)</f>
        <v>8.0873484007548591</v>
      </c>
      <c r="BD59" s="401">
        <f t="shared" si="27"/>
        <v>0</v>
      </c>
      <c r="BE59" s="149" t="s">
        <v>2026</v>
      </c>
      <c r="BF59" s="48" t="s">
        <v>485</v>
      </c>
      <c r="BG59" s="63">
        <f>IF(BE59=Local,0,VLOOKUP(BF59,Long_distance_values_subs,Subrates!$C$5,FALSE))</f>
        <v>0</v>
      </c>
      <c r="BH59" s="63">
        <f>IF(BE59=Local,0,Subrates!$D$121)</f>
        <v>0</v>
      </c>
      <c r="BI59" s="1140"/>
      <c r="BJ59" s="401">
        <f t="shared" si="54"/>
        <v>0</v>
      </c>
      <c r="BK59" s="351">
        <f t="shared" si="28"/>
        <v>0</v>
      </c>
      <c r="BL59" s="316">
        <f t="shared" si="29"/>
        <v>0</v>
      </c>
      <c r="BM59" s="828">
        <f t="shared" si="30"/>
        <v>1.5</v>
      </c>
      <c r="BN59" s="136"/>
      <c r="BO59" s="139">
        <f t="shared" si="31"/>
        <v>1.5</v>
      </c>
      <c r="BP59" s="318"/>
      <c r="BQ59" s="319">
        <f t="shared" si="32"/>
        <v>0</v>
      </c>
      <c r="BR59" s="37" t="s">
        <v>125</v>
      </c>
      <c r="BS59" s="37" t="s">
        <v>349</v>
      </c>
      <c r="BT59" s="63">
        <f t="shared" si="33"/>
        <v>6.2664411871606829</v>
      </c>
      <c r="BU59" s="408">
        <f t="shared" si="34"/>
        <v>0</v>
      </c>
      <c r="BV59" s="37" t="s">
        <v>411</v>
      </c>
      <c r="BW59" s="37" t="s">
        <v>3</v>
      </c>
      <c r="BX59" s="150">
        <f t="shared" si="35"/>
        <v>1.9221853757639424</v>
      </c>
      <c r="BY59" s="157">
        <f t="shared" si="36"/>
        <v>0</v>
      </c>
      <c r="BZ59" s="347">
        <f t="shared" si="37"/>
        <v>0</v>
      </c>
      <c r="CA59" s="318"/>
      <c r="CB59" s="63">
        <f>Subrates!$C$94</f>
        <v>2.2000000000000002</v>
      </c>
      <c r="CC59" s="318"/>
      <c r="CD59" s="63">
        <f>Subrates!$C$95</f>
        <v>13.200000000000001</v>
      </c>
      <c r="CE59" s="318"/>
      <c r="CF59" s="63">
        <f>Subrates!$C$96</f>
        <v>14.3</v>
      </c>
      <c r="CG59" s="351">
        <f t="shared" si="38"/>
        <v>0</v>
      </c>
      <c r="CH59" s="316"/>
      <c r="CI59" s="406">
        <f>Subrates!$C$106</f>
        <v>21234.52910306484</v>
      </c>
      <c r="CJ59" s="351">
        <f t="shared" si="55"/>
        <v>0</v>
      </c>
      <c r="CK59" s="63">
        <f>Subrates!$C$105</f>
        <v>2885.2856380177936</v>
      </c>
      <c r="CL59" s="407">
        <f t="shared" si="39"/>
        <v>0</v>
      </c>
      <c r="CM59" s="316">
        <f t="shared" si="40"/>
        <v>0</v>
      </c>
      <c r="CN59" s="73"/>
      <c r="CO59" s="324">
        <f t="shared" si="56"/>
        <v>0</v>
      </c>
      <c r="CP59" s="316"/>
      <c r="CQ59" s="324">
        <f t="shared" si="57"/>
        <v>0</v>
      </c>
      <c r="CR59" s="63">
        <f>Subrates!$C$109</f>
        <v>0.66402036681578014</v>
      </c>
      <c r="CS59" s="347">
        <f t="shared" si="58"/>
        <v>0</v>
      </c>
      <c r="CT59" s="319">
        <f t="shared" si="59"/>
        <v>0.15</v>
      </c>
      <c r="CU59" s="73"/>
      <c r="CV59" s="318"/>
      <c r="CW59" s="319">
        <f t="shared" si="60"/>
        <v>0</v>
      </c>
      <c r="CX59" s="37" t="s">
        <v>125</v>
      </c>
      <c r="CY59" s="383" t="s">
        <v>348</v>
      </c>
      <c r="CZ59" s="63">
        <f t="shared" si="41"/>
        <v>4.8064250364478198</v>
      </c>
      <c r="DA59" s="157">
        <f t="shared" si="61"/>
        <v>0</v>
      </c>
      <c r="DB59" s="149" t="s">
        <v>2026</v>
      </c>
      <c r="DC59" s="48" t="s">
        <v>485</v>
      </c>
      <c r="DD59" s="63">
        <f>IF(DB59=Local,0,VLOOKUP(DC59,Long_distance_values_subs,Subrates!$C$5,FALSE))</f>
        <v>0</v>
      </c>
      <c r="DE59" s="63">
        <f>IF(DB59=Local,0,Subrates!$D$122)</f>
        <v>0</v>
      </c>
      <c r="DF59" s="1140"/>
      <c r="DG59" s="158">
        <f>IF(DF59="",CW59*VLOOKUP(DC59,Long_distance_values_subs,Subrates!$H$5,FALSE)*DD59+CW59*DE59,CW59*DF59)</f>
        <v>0</v>
      </c>
      <c r="DH59" s="351">
        <f t="shared" si="42"/>
        <v>0</v>
      </c>
      <c r="DI59" s="318"/>
      <c r="DJ59" s="195" t="s">
        <v>48</v>
      </c>
      <c r="DK59" s="1096" t="str">
        <f>IF(DJ59=Lists!$B$18,"N/A",VLOOKUP(DJ59,Lists!$B$18:$D$26,Lists!$C$3,FALSE))</f>
        <v>N/A</v>
      </c>
      <c r="DL59" s="63">
        <f>IF(DJ59=Lists!$B$18,0,VLOOKUP(DK59,Amend_TOV,TOV!$F$1,FALSE))</f>
        <v>0</v>
      </c>
      <c r="DM59" s="117"/>
      <c r="DN59" s="318"/>
      <c r="DO59" s="195" t="s">
        <v>48</v>
      </c>
      <c r="DP59" s="1096" t="str">
        <f>IF(DO59=Lists!$B$18,"N/A",VLOOKUP(DO59,Lists!$B$18:$D$26,Lists!$C$3,FALSE))</f>
        <v>N/A</v>
      </c>
      <c r="DQ59" s="41">
        <f>IF(DO59=Lists!$B$18,0,VLOOKUP(DP59,Amend_TOV,TOV!$F$1,FALSE))</f>
        <v>0</v>
      </c>
      <c r="DR59" s="117"/>
      <c r="DS59" s="318"/>
      <c r="DT59" s="195" t="s">
        <v>48</v>
      </c>
      <c r="DU59" s="1096" t="str">
        <f>IF(DT59=Lists!$B$18,"N/A",VLOOKUP(DT59,Lists!$B$18:$D$26,Lists!$C$3,FALSE))</f>
        <v>N/A</v>
      </c>
      <c r="DV59" s="41">
        <f>IF(DT59=Lists!$B$18,0,VLOOKUP(DU59,Amend_TOV,TOV!$F$1,FALSE))</f>
        <v>0</v>
      </c>
      <c r="DW59" s="117"/>
      <c r="DX59" s="351">
        <f t="shared" si="43"/>
        <v>0</v>
      </c>
      <c r="DY59" s="316">
        <f t="shared" si="44"/>
        <v>0</v>
      </c>
      <c r="DZ59" s="66">
        <v>1</v>
      </c>
      <c r="EA59" s="66"/>
      <c r="EB59" s="67">
        <f t="shared" si="45"/>
        <v>0</v>
      </c>
      <c r="EC59" s="16" t="str">
        <f t="shared" si="62"/>
        <v>No Alert</v>
      </c>
      <c r="ED59" s="351">
        <f t="shared" si="63"/>
        <v>0</v>
      </c>
      <c r="EE59" s="351">
        <f t="shared" si="64"/>
        <v>0</v>
      </c>
      <c r="EF59" s="1154">
        <f t="shared" si="46"/>
        <v>0</v>
      </c>
      <c r="EG59" s="1154"/>
      <c r="EH59" s="351">
        <f t="shared" si="65"/>
        <v>0</v>
      </c>
      <c r="EI59" s="63">
        <f t="shared" si="47"/>
        <v>2850</v>
      </c>
      <c r="EJ59" s="117"/>
      <c r="EK59" s="351">
        <f t="shared" si="48"/>
        <v>0</v>
      </c>
      <c r="EL59" s="159"/>
      <c r="EM59" s="106">
        <f t="shared" si="66"/>
        <v>0</v>
      </c>
      <c r="EN59" s="1097">
        <f t="shared" si="49"/>
        <v>0</v>
      </c>
      <c r="EO59" s="803">
        <f t="shared" si="50"/>
        <v>0</v>
      </c>
      <c r="EP59" s="215"/>
      <c r="EQ59" s="217"/>
      <c r="ER59" s="217"/>
      <c r="ES59" s="217"/>
      <c r="ET59" s="217"/>
      <c r="EU59" s="217"/>
      <c r="EV59" s="217"/>
      <c r="EW59" s="218"/>
    </row>
    <row r="60" spans="2:153" s="520" customFormat="1" ht="15">
      <c r="B60" s="310"/>
      <c r="C60" s="989">
        <f t="shared" si="51"/>
        <v>9</v>
      </c>
      <c r="D60" s="168"/>
      <c r="E60" s="316"/>
      <c r="F60" s="255" t="s">
        <v>1879</v>
      </c>
      <c r="G60" s="316">
        <f t="shared" si="3"/>
        <v>0</v>
      </c>
      <c r="H60" s="77"/>
      <c r="I60" s="316"/>
      <c r="J60" s="77"/>
      <c r="K60" s="316"/>
      <c r="L60" s="37" t="s">
        <v>428</v>
      </c>
      <c r="M60" s="318"/>
      <c r="N60" s="319">
        <f t="shared" si="4"/>
        <v>0</v>
      </c>
      <c r="O60" s="318"/>
      <c r="P60" s="319">
        <f t="shared" si="5"/>
        <v>0</v>
      </c>
      <c r="Q60" s="37" t="s">
        <v>411</v>
      </c>
      <c r="R60" s="37" t="s">
        <v>3</v>
      </c>
      <c r="S60" s="150">
        <f t="shared" si="6"/>
        <v>1.9221853757639424</v>
      </c>
      <c r="T60" s="156">
        <f t="shared" si="7"/>
        <v>8904.769113128099</v>
      </c>
      <c r="U60" s="347">
        <f t="shared" si="8"/>
        <v>0</v>
      </c>
      <c r="V60" s="347">
        <f t="shared" si="9"/>
        <v>0</v>
      </c>
      <c r="W60" s="139">
        <f t="shared" si="10"/>
        <v>1</v>
      </c>
      <c r="X60" s="136"/>
      <c r="Y60" s="139">
        <f t="shared" si="52"/>
        <v>1</v>
      </c>
      <c r="Z60" s="318"/>
      <c r="AA60" s="319">
        <f t="shared" si="11"/>
        <v>0</v>
      </c>
      <c r="AB60" s="37" t="s">
        <v>125</v>
      </c>
      <c r="AC60" s="37" t="s">
        <v>349</v>
      </c>
      <c r="AD60" s="63">
        <f t="shared" si="12"/>
        <v>6.2664411871606829</v>
      </c>
      <c r="AE60" s="347">
        <f t="shared" si="13"/>
        <v>0</v>
      </c>
      <c r="AF60" s="316">
        <f t="shared" si="14"/>
        <v>0</v>
      </c>
      <c r="AG60" s="828">
        <f t="shared" si="15"/>
        <v>0.6</v>
      </c>
      <c r="AH60" s="136"/>
      <c r="AI60" s="139">
        <f t="shared" si="16"/>
        <v>0.6</v>
      </c>
      <c r="AJ60" s="318"/>
      <c r="AK60" s="319">
        <f t="shared" si="17"/>
        <v>0</v>
      </c>
      <c r="AL60" s="63">
        <f>Subrates!$C$97</f>
        <v>4.7138306819209967</v>
      </c>
      <c r="AM60" s="401">
        <f t="shared" si="18"/>
        <v>0</v>
      </c>
      <c r="AN60" s="37" t="s">
        <v>125</v>
      </c>
      <c r="AO60" s="37" t="s">
        <v>349</v>
      </c>
      <c r="AP60" s="63">
        <f t="shared" si="19"/>
        <v>6.2664411871606829</v>
      </c>
      <c r="AQ60" s="401">
        <f t="shared" si="20"/>
        <v>0</v>
      </c>
      <c r="AR60" s="37" t="s">
        <v>411</v>
      </c>
      <c r="AS60" s="47" t="s">
        <v>3</v>
      </c>
      <c r="AT60" s="150">
        <f t="shared" si="21"/>
        <v>1.9221853757639424</v>
      </c>
      <c r="AU60" s="401">
        <f t="shared" si="22"/>
        <v>0</v>
      </c>
      <c r="AV60" s="347">
        <f t="shared" si="53"/>
        <v>0</v>
      </c>
      <c r="AW60" s="316">
        <f t="shared" si="23"/>
        <v>0</v>
      </c>
      <c r="AX60" s="828">
        <f t="shared" si="24"/>
        <v>0.5</v>
      </c>
      <c r="AY60" s="136"/>
      <c r="AZ60" s="139">
        <f t="shared" si="25"/>
        <v>0.5</v>
      </c>
      <c r="BA60" s="318"/>
      <c r="BB60" s="319">
        <f t="shared" si="26"/>
        <v>0</v>
      </c>
      <c r="BC60" s="63">
        <f>IF(BE60=Local,Subrates!$C$98,Subrates!$C$99)</f>
        <v>8.0873484007548591</v>
      </c>
      <c r="BD60" s="401">
        <f t="shared" si="27"/>
        <v>0</v>
      </c>
      <c r="BE60" s="149" t="s">
        <v>2026</v>
      </c>
      <c r="BF60" s="48" t="s">
        <v>485</v>
      </c>
      <c r="BG60" s="63">
        <f>IF(BE60=Local,0,VLOOKUP(BF60,Long_distance_values_subs,Subrates!$C$5,FALSE))</f>
        <v>0</v>
      </c>
      <c r="BH60" s="63">
        <f>IF(BE60=Local,0,Subrates!$D$121)</f>
        <v>0</v>
      </c>
      <c r="BI60" s="1140"/>
      <c r="BJ60" s="401">
        <f t="shared" si="54"/>
        <v>0</v>
      </c>
      <c r="BK60" s="351">
        <f t="shared" si="28"/>
        <v>0</v>
      </c>
      <c r="BL60" s="316">
        <f t="shared" si="29"/>
        <v>0</v>
      </c>
      <c r="BM60" s="828">
        <f t="shared" si="30"/>
        <v>1.5</v>
      </c>
      <c r="BN60" s="136"/>
      <c r="BO60" s="139">
        <f t="shared" si="31"/>
        <v>1.5</v>
      </c>
      <c r="BP60" s="318"/>
      <c r="BQ60" s="319">
        <f t="shared" si="32"/>
        <v>0</v>
      </c>
      <c r="BR60" s="37" t="s">
        <v>125</v>
      </c>
      <c r="BS60" s="37" t="s">
        <v>349</v>
      </c>
      <c r="BT60" s="63">
        <f t="shared" si="33"/>
        <v>6.2664411871606829</v>
      </c>
      <c r="BU60" s="408">
        <f t="shared" si="34"/>
        <v>0</v>
      </c>
      <c r="BV60" s="37" t="s">
        <v>411</v>
      </c>
      <c r="BW60" s="37" t="s">
        <v>3</v>
      </c>
      <c r="BX60" s="150">
        <f t="shared" si="35"/>
        <v>1.9221853757639424</v>
      </c>
      <c r="BY60" s="157">
        <f t="shared" si="36"/>
        <v>0</v>
      </c>
      <c r="BZ60" s="347">
        <f t="shared" si="37"/>
        <v>0</v>
      </c>
      <c r="CA60" s="318"/>
      <c r="CB60" s="63">
        <f>Subrates!$C$94</f>
        <v>2.2000000000000002</v>
      </c>
      <c r="CC60" s="318"/>
      <c r="CD60" s="63">
        <f>Subrates!$C$95</f>
        <v>13.200000000000001</v>
      </c>
      <c r="CE60" s="318"/>
      <c r="CF60" s="63">
        <f>Subrates!$C$96</f>
        <v>14.3</v>
      </c>
      <c r="CG60" s="351">
        <f t="shared" si="38"/>
        <v>0</v>
      </c>
      <c r="CH60" s="316"/>
      <c r="CI60" s="406">
        <f>Subrates!$C$106</f>
        <v>21234.52910306484</v>
      </c>
      <c r="CJ60" s="351">
        <f t="shared" si="55"/>
        <v>0</v>
      </c>
      <c r="CK60" s="63">
        <f>Subrates!$C$105</f>
        <v>2885.2856380177936</v>
      </c>
      <c r="CL60" s="407">
        <f t="shared" si="39"/>
        <v>0</v>
      </c>
      <c r="CM60" s="316">
        <f t="shared" si="40"/>
        <v>0</v>
      </c>
      <c r="CN60" s="73"/>
      <c r="CO60" s="324">
        <f t="shared" si="56"/>
        <v>0</v>
      </c>
      <c r="CP60" s="316"/>
      <c r="CQ60" s="324">
        <f t="shared" si="57"/>
        <v>0</v>
      </c>
      <c r="CR60" s="63">
        <f>Subrates!$C$109</f>
        <v>0.66402036681578014</v>
      </c>
      <c r="CS60" s="347">
        <f t="shared" si="58"/>
        <v>0</v>
      </c>
      <c r="CT60" s="319">
        <f t="shared" si="59"/>
        <v>0.15</v>
      </c>
      <c r="CU60" s="73"/>
      <c r="CV60" s="318"/>
      <c r="CW60" s="319">
        <f t="shared" si="60"/>
        <v>0</v>
      </c>
      <c r="CX60" s="37" t="s">
        <v>125</v>
      </c>
      <c r="CY60" s="383" t="s">
        <v>348</v>
      </c>
      <c r="CZ60" s="63">
        <f t="shared" si="41"/>
        <v>4.8064250364478198</v>
      </c>
      <c r="DA60" s="157">
        <f t="shared" si="61"/>
        <v>0</v>
      </c>
      <c r="DB60" s="149" t="s">
        <v>2026</v>
      </c>
      <c r="DC60" s="48" t="s">
        <v>485</v>
      </c>
      <c r="DD60" s="63">
        <f>IF(DB60=Local,0,VLOOKUP(DC60,Long_distance_values_subs,Subrates!$C$5,FALSE))</f>
        <v>0</v>
      </c>
      <c r="DE60" s="63">
        <f>IF(DB60=Local,0,Subrates!$D$122)</f>
        <v>0</v>
      </c>
      <c r="DF60" s="1140"/>
      <c r="DG60" s="158">
        <f>IF(DF60="",CW60*VLOOKUP(DC60,Long_distance_values_subs,Subrates!$H$5,FALSE)*DD60+CW60*DE60,CW60*DF60)</f>
        <v>0</v>
      </c>
      <c r="DH60" s="351">
        <f t="shared" si="42"/>
        <v>0</v>
      </c>
      <c r="DI60" s="318"/>
      <c r="DJ60" s="195" t="s">
        <v>48</v>
      </c>
      <c r="DK60" s="1096" t="str">
        <f>IF(DJ60=Lists!$B$18,"N/A",VLOOKUP(DJ60,Lists!$B$18:$D$26,Lists!$C$3,FALSE))</f>
        <v>N/A</v>
      </c>
      <c r="DL60" s="63">
        <f>IF(DJ60=Lists!$B$18,0,VLOOKUP(DK60,Amend_TOV,TOV!$F$1,FALSE))</f>
        <v>0</v>
      </c>
      <c r="DM60" s="117"/>
      <c r="DN60" s="318"/>
      <c r="DO60" s="195" t="s">
        <v>48</v>
      </c>
      <c r="DP60" s="1096" t="str">
        <f>IF(DO60=Lists!$B$18,"N/A",VLOOKUP(DO60,Lists!$B$18:$D$26,Lists!$C$3,FALSE))</f>
        <v>N/A</v>
      </c>
      <c r="DQ60" s="41">
        <f>IF(DO60=Lists!$B$18,0,VLOOKUP(DP60,Amend_TOV,TOV!$F$1,FALSE))</f>
        <v>0</v>
      </c>
      <c r="DR60" s="117"/>
      <c r="DS60" s="318"/>
      <c r="DT60" s="195" t="s">
        <v>48</v>
      </c>
      <c r="DU60" s="1096" t="str">
        <f>IF(DT60=Lists!$B$18,"N/A",VLOOKUP(DT60,Lists!$B$18:$D$26,Lists!$C$3,FALSE))</f>
        <v>N/A</v>
      </c>
      <c r="DV60" s="41">
        <f>IF(DT60=Lists!$B$18,0,VLOOKUP(DU60,Amend_TOV,TOV!$F$1,FALSE))</f>
        <v>0</v>
      </c>
      <c r="DW60" s="117"/>
      <c r="DX60" s="351">
        <f t="shared" si="43"/>
        <v>0</v>
      </c>
      <c r="DY60" s="316">
        <f t="shared" si="44"/>
        <v>0</v>
      </c>
      <c r="DZ60" s="66">
        <v>1</v>
      </c>
      <c r="EA60" s="66"/>
      <c r="EB60" s="67">
        <f t="shared" si="45"/>
        <v>0</v>
      </c>
      <c r="EC60" s="16" t="str">
        <f t="shared" si="62"/>
        <v>No Alert</v>
      </c>
      <c r="ED60" s="351">
        <f t="shared" si="63"/>
        <v>0</v>
      </c>
      <c r="EE60" s="351">
        <f t="shared" si="64"/>
        <v>0</v>
      </c>
      <c r="EF60" s="1154">
        <f t="shared" si="46"/>
        <v>0</v>
      </c>
      <c r="EG60" s="1154"/>
      <c r="EH60" s="351">
        <f t="shared" si="65"/>
        <v>0</v>
      </c>
      <c r="EI60" s="63">
        <f t="shared" si="47"/>
        <v>2850</v>
      </c>
      <c r="EJ60" s="117"/>
      <c r="EK60" s="351">
        <f t="shared" si="48"/>
        <v>0</v>
      </c>
      <c r="EL60" s="159"/>
      <c r="EM60" s="106">
        <f t="shared" si="66"/>
        <v>0</v>
      </c>
      <c r="EN60" s="1097">
        <f t="shared" si="49"/>
        <v>0</v>
      </c>
      <c r="EO60" s="803">
        <f t="shared" si="50"/>
        <v>0</v>
      </c>
      <c r="EP60" s="215"/>
      <c r="EQ60" s="217"/>
      <c r="ER60" s="217"/>
      <c r="ES60" s="217"/>
      <c r="ET60" s="217"/>
      <c r="EU60" s="217"/>
      <c r="EV60" s="217"/>
      <c r="EW60" s="218"/>
    </row>
    <row r="61" spans="2:153" s="520" customFormat="1" ht="15">
      <c r="B61" s="310"/>
      <c r="C61" s="989">
        <f t="shared" si="51"/>
        <v>10</v>
      </c>
      <c r="D61" s="168"/>
      <c r="E61" s="316"/>
      <c r="F61" s="255" t="s">
        <v>1879</v>
      </c>
      <c r="G61" s="316">
        <f t="shared" si="3"/>
        <v>0</v>
      </c>
      <c r="H61" s="77"/>
      <c r="I61" s="316"/>
      <c r="J61" s="77"/>
      <c r="K61" s="316"/>
      <c r="L61" s="37" t="s">
        <v>428</v>
      </c>
      <c r="M61" s="318"/>
      <c r="N61" s="319">
        <f t="shared" si="4"/>
        <v>0</v>
      </c>
      <c r="O61" s="318"/>
      <c r="P61" s="319">
        <f t="shared" si="5"/>
        <v>0</v>
      </c>
      <c r="Q61" s="37" t="s">
        <v>411</v>
      </c>
      <c r="R61" s="37" t="s">
        <v>3</v>
      </c>
      <c r="S61" s="150">
        <f t="shared" si="6"/>
        <v>1.9221853757639424</v>
      </c>
      <c r="T61" s="156">
        <f t="shared" si="7"/>
        <v>8904.769113128099</v>
      </c>
      <c r="U61" s="347">
        <f t="shared" si="8"/>
        <v>0</v>
      </c>
      <c r="V61" s="347">
        <f t="shared" si="9"/>
        <v>0</v>
      </c>
      <c r="W61" s="139">
        <f t="shared" si="10"/>
        <v>1</v>
      </c>
      <c r="X61" s="136"/>
      <c r="Y61" s="139">
        <f t="shared" si="52"/>
        <v>1</v>
      </c>
      <c r="Z61" s="318"/>
      <c r="AA61" s="319">
        <f t="shared" si="11"/>
        <v>0</v>
      </c>
      <c r="AB61" s="37" t="s">
        <v>125</v>
      </c>
      <c r="AC61" s="37" t="s">
        <v>349</v>
      </c>
      <c r="AD61" s="63">
        <f t="shared" si="12"/>
        <v>6.2664411871606829</v>
      </c>
      <c r="AE61" s="347">
        <f t="shared" si="13"/>
        <v>0</v>
      </c>
      <c r="AF61" s="316">
        <f t="shared" si="14"/>
        <v>0</v>
      </c>
      <c r="AG61" s="828">
        <f t="shared" si="15"/>
        <v>0.6</v>
      </c>
      <c r="AH61" s="136"/>
      <c r="AI61" s="139">
        <f t="shared" si="16"/>
        <v>0.6</v>
      </c>
      <c r="AJ61" s="318"/>
      <c r="AK61" s="319">
        <f t="shared" si="17"/>
        <v>0</v>
      </c>
      <c r="AL61" s="63">
        <f>Subrates!$C$97</f>
        <v>4.7138306819209967</v>
      </c>
      <c r="AM61" s="401">
        <f t="shared" si="18"/>
        <v>0</v>
      </c>
      <c r="AN61" s="37" t="s">
        <v>125</v>
      </c>
      <c r="AO61" s="37" t="s">
        <v>349</v>
      </c>
      <c r="AP61" s="63">
        <f t="shared" si="19"/>
        <v>6.2664411871606829</v>
      </c>
      <c r="AQ61" s="401">
        <f t="shared" si="20"/>
        <v>0</v>
      </c>
      <c r="AR61" s="37" t="s">
        <v>411</v>
      </c>
      <c r="AS61" s="47" t="s">
        <v>3</v>
      </c>
      <c r="AT61" s="150">
        <f t="shared" si="21"/>
        <v>1.9221853757639424</v>
      </c>
      <c r="AU61" s="401">
        <f t="shared" si="22"/>
        <v>0</v>
      </c>
      <c r="AV61" s="347">
        <f t="shared" si="53"/>
        <v>0</v>
      </c>
      <c r="AW61" s="316">
        <f t="shared" si="23"/>
        <v>0</v>
      </c>
      <c r="AX61" s="828">
        <f t="shared" si="24"/>
        <v>0.5</v>
      </c>
      <c r="AY61" s="136"/>
      <c r="AZ61" s="139">
        <f t="shared" si="25"/>
        <v>0.5</v>
      </c>
      <c r="BA61" s="318"/>
      <c r="BB61" s="319">
        <f t="shared" si="26"/>
        <v>0</v>
      </c>
      <c r="BC61" s="63">
        <f>IF(BE61=Local,Subrates!$C$98,Subrates!$C$99)</f>
        <v>8.0873484007548591</v>
      </c>
      <c r="BD61" s="401">
        <f t="shared" si="27"/>
        <v>0</v>
      </c>
      <c r="BE61" s="149" t="s">
        <v>2026</v>
      </c>
      <c r="BF61" s="48" t="s">
        <v>485</v>
      </c>
      <c r="BG61" s="63">
        <f>IF(BE61=Local,0,VLOOKUP(BF61,Long_distance_values_subs,Subrates!$C$5,FALSE))</f>
        <v>0</v>
      </c>
      <c r="BH61" s="63">
        <f>IF(BE61=Local,0,Subrates!$D$121)</f>
        <v>0</v>
      </c>
      <c r="BI61" s="1140"/>
      <c r="BJ61" s="401">
        <f t="shared" si="54"/>
        <v>0</v>
      </c>
      <c r="BK61" s="351">
        <f t="shared" si="28"/>
        <v>0</v>
      </c>
      <c r="BL61" s="316">
        <f t="shared" si="29"/>
        <v>0</v>
      </c>
      <c r="BM61" s="828">
        <f t="shared" si="30"/>
        <v>1.5</v>
      </c>
      <c r="BN61" s="136"/>
      <c r="BO61" s="139">
        <f t="shared" si="31"/>
        <v>1.5</v>
      </c>
      <c r="BP61" s="318"/>
      <c r="BQ61" s="319">
        <f t="shared" si="32"/>
        <v>0</v>
      </c>
      <c r="BR61" s="37" t="s">
        <v>125</v>
      </c>
      <c r="BS61" s="37" t="s">
        <v>349</v>
      </c>
      <c r="BT61" s="63">
        <f t="shared" si="33"/>
        <v>6.2664411871606829</v>
      </c>
      <c r="BU61" s="408">
        <f t="shared" si="34"/>
        <v>0</v>
      </c>
      <c r="BV61" s="37" t="s">
        <v>411</v>
      </c>
      <c r="BW61" s="37" t="s">
        <v>3</v>
      </c>
      <c r="BX61" s="150">
        <f t="shared" si="35"/>
        <v>1.9221853757639424</v>
      </c>
      <c r="BY61" s="157">
        <f t="shared" si="36"/>
        <v>0</v>
      </c>
      <c r="BZ61" s="347">
        <f t="shared" si="37"/>
        <v>0</v>
      </c>
      <c r="CA61" s="318"/>
      <c r="CB61" s="63">
        <f>Subrates!$C$94</f>
        <v>2.2000000000000002</v>
      </c>
      <c r="CC61" s="318"/>
      <c r="CD61" s="63">
        <f>Subrates!$C$95</f>
        <v>13.200000000000001</v>
      </c>
      <c r="CE61" s="318"/>
      <c r="CF61" s="63">
        <f>Subrates!$C$96</f>
        <v>14.3</v>
      </c>
      <c r="CG61" s="351">
        <f t="shared" si="38"/>
        <v>0</v>
      </c>
      <c r="CH61" s="316"/>
      <c r="CI61" s="406">
        <f>Subrates!$C$106</f>
        <v>21234.52910306484</v>
      </c>
      <c r="CJ61" s="351">
        <f t="shared" si="55"/>
        <v>0</v>
      </c>
      <c r="CK61" s="63">
        <f>Subrates!$C$105</f>
        <v>2885.2856380177936</v>
      </c>
      <c r="CL61" s="407">
        <f t="shared" si="39"/>
        <v>0</v>
      </c>
      <c r="CM61" s="316">
        <f t="shared" si="40"/>
        <v>0</v>
      </c>
      <c r="CN61" s="73"/>
      <c r="CO61" s="324">
        <f t="shared" si="56"/>
        <v>0</v>
      </c>
      <c r="CP61" s="316"/>
      <c r="CQ61" s="324">
        <f t="shared" si="57"/>
        <v>0</v>
      </c>
      <c r="CR61" s="63">
        <f>Subrates!$C$109</f>
        <v>0.66402036681578014</v>
      </c>
      <c r="CS61" s="347">
        <f t="shared" si="58"/>
        <v>0</v>
      </c>
      <c r="CT61" s="319">
        <f t="shared" si="59"/>
        <v>0.15</v>
      </c>
      <c r="CU61" s="73"/>
      <c r="CV61" s="318"/>
      <c r="CW61" s="319">
        <f t="shared" si="60"/>
        <v>0</v>
      </c>
      <c r="CX61" s="37" t="s">
        <v>125</v>
      </c>
      <c r="CY61" s="383" t="s">
        <v>348</v>
      </c>
      <c r="CZ61" s="63">
        <f t="shared" si="41"/>
        <v>4.8064250364478198</v>
      </c>
      <c r="DA61" s="157">
        <f t="shared" si="61"/>
        <v>0</v>
      </c>
      <c r="DB61" s="149" t="s">
        <v>2026</v>
      </c>
      <c r="DC61" s="48" t="s">
        <v>485</v>
      </c>
      <c r="DD61" s="63">
        <f>IF(DB61=Local,0,VLOOKUP(DC61,Long_distance_values_subs,Subrates!$C$5,FALSE))</f>
        <v>0</v>
      </c>
      <c r="DE61" s="63">
        <f>IF(DB61=Local,0,Subrates!$D$122)</f>
        <v>0</v>
      </c>
      <c r="DF61" s="1140"/>
      <c r="DG61" s="158">
        <f>IF(DF61="",CW61*VLOOKUP(DC61,Long_distance_values_subs,Subrates!$H$5,FALSE)*DD61+CW61*DE61,CW61*DF61)</f>
        <v>0</v>
      </c>
      <c r="DH61" s="351">
        <f t="shared" si="42"/>
        <v>0</v>
      </c>
      <c r="DI61" s="318"/>
      <c r="DJ61" s="195" t="s">
        <v>48</v>
      </c>
      <c r="DK61" s="1096" t="str">
        <f>IF(DJ61=Lists!$B$18,"N/A",VLOOKUP(DJ61,Lists!$B$18:$D$26,Lists!$C$3,FALSE))</f>
        <v>N/A</v>
      </c>
      <c r="DL61" s="63">
        <f>IF(DJ61=Lists!$B$18,0,VLOOKUP(DK61,Amend_TOV,TOV!$F$1,FALSE))</f>
        <v>0</v>
      </c>
      <c r="DM61" s="117"/>
      <c r="DN61" s="318"/>
      <c r="DO61" s="195" t="s">
        <v>48</v>
      </c>
      <c r="DP61" s="1096" t="str">
        <f>IF(DO61=Lists!$B$18,"N/A",VLOOKUP(DO61,Lists!$B$18:$D$26,Lists!$C$3,FALSE))</f>
        <v>N/A</v>
      </c>
      <c r="DQ61" s="41">
        <f>IF(DO61=Lists!$B$18,0,VLOOKUP(DP61,Amend_TOV,TOV!$F$1,FALSE))</f>
        <v>0</v>
      </c>
      <c r="DR61" s="117"/>
      <c r="DS61" s="318"/>
      <c r="DT61" s="195" t="s">
        <v>48</v>
      </c>
      <c r="DU61" s="1096" t="str">
        <f>IF(DT61=Lists!$B$18,"N/A",VLOOKUP(DT61,Lists!$B$18:$D$26,Lists!$C$3,FALSE))</f>
        <v>N/A</v>
      </c>
      <c r="DV61" s="41">
        <f>IF(DT61=Lists!$B$18,0,VLOOKUP(DU61,Amend_TOV,TOV!$F$1,FALSE))</f>
        <v>0</v>
      </c>
      <c r="DW61" s="117"/>
      <c r="DX61" s="351">
        <f t="shared" si="43"/>
        <v>0</v>
      </c>
      <c r="DY61" s="316">
        <f t="shared" si="44"/>
        <v>0</v>
      </c>
      <c r="DZ61" s="66">
        <v>1</v>
      </c>
      <c r="EA61" s="66"/>
      <c r="EB61" s="67">
        <f t="shared" si="45"/>
        <v>0</v>
      </c>
      <c r="EC61" s="16" t="str">
        <f t="shared" si="62"/>
        <v>No Alert</v>
      </c>
      <c r="ED61" s="351">
        <f t="shared" si="63"/>
        <v>0</v>
      </c>
      <c r="EE61" s="351">
        <f t="shared" si="64"/>
        <v>0</v>
      </c>
      <c r="EF61" s="1154">
        <f t="shared" si="46"/>
        <v>0</v>
      </c>
      <c r="EG61" s="1154"/>
      <c r="EH61" s="351">
        <f t="shared" si="65"/>
        <v>0</v>
      </c>
      <c r="EI61" s="63">
        <f t="shared" si="47"/>
        <v>2850</v>
      </c>
      <c r="EJ61" s="117"/>
      <c r="EK61" s="351">
        <f t="shared" si="48"/>
        <v>0</v>
      </c>
      <c r="EL61" s="159"/>
      <c r="EM61" s="106">
        <f t="shared" si="66"/>
        <v>0</v>
      </c>
      <c r="EN61" s="1097">
        <f t="shared" si="49"/>
        <v>0</v>
      </c>
      <c r="EO61" s="803">
        <f t="shared" si="50"/>
        <v>0</v>
      </c>
      <c r="EP61" s="215"/>
      <c r="EQ61" s="217"/>
      <c r="ER61" s="217"/>
      <c r="ES61" s="217"/>
      <c r="ET61" s="217"/>
      <c r="EU61" s="217"/>
      <c r="EV61" s="217"/>
      <c r="EW61" s="218"/>
    </row>
    <row r="62" spans="2:153" s="520" customFormat="1" ht="15">
      <c r="B62" s="310"/>
      <c r="C62" s="989">
        <f t="shared" si="51"/>
        <v>11</v>
      </c>
      <c r="D62" s="168"/>
      <c r="E62" s="316"/>
      <c r="F62" s="255" t="s">
        <v>1879</v>
      </c>
      <c r="G62" s="316">
        <f t="shared" si="3"/>
        <v>0</v>
      </c>
      <c r="H62" s="77"/>
      <c r="I62" s="316"/>
      <c r="J62" s="77"/>
      <c r="K62" s="316"/>
      <c r="L62" s="37" t="s">
        <v>428</v>
      </c>
      <c r="M62" s="318"/>
      <c r="N62" s="319">
        <f t="shared" si="4"/>
        <v>0</v>
      </c>
      <c r="O62" s="318"/>
      <c r="P62" s="319">
        <f t="shared" si="5"/>
        <v>0</v>
      </c>
      <c r="Q62" s="37" t="s">
        <v>411</v>
      </c>
      <c r="R62" s="37" t="s">
        <v>3</v>
      </c>
      <c r="S62" s="150">
        <f t="shared" si="6"/>
        <v>1.9221853757639424</v>
      </c>
      <c r="T62" s="156">
        <f t="shared" si="7"/>
        <v>8904.769113128099</v>
      </c>
      <c r="U62" s="347">
        <f t="shared" si="8"/>
        <v>0</v>
      </c>
      <c r="V62" s="347">
        <f t="shared" si="9"/>
        <v>0</v>
      </c>
      <c r="W62" s="139">
        <f t="shared" si="10"/>
        <v>1</v>
      </c>
      <c r="X62" s="136"/>
      <c r="Y62" s="139">
        <f t="shared" si="52"/>
        <v>1</v>
      </c>
      <c r="Z62" s="318"/>
      <c r="AA62" s="319">
        <f t="shared" si="11"/>
        <v>0</v>
      </c>
      <c r="AB62" s="37" t="s">
        <v>125</v>
      </c>
      <c r="AC62" s="37" t="s">
        <v>349</v>
      </c>
      <c r="AD62" s="63">
        <f t="shared" si="12"/>
        <v>6.2664411871606829</v>
      </c>
      <c r="AE62" s="347">
        <f t="shared" si="13"/>
        <v>0</v>
      </c>
      <c r="AF62" s="316">
        <f t="shared" si="14"/>
        <v>0</v>
      </c>
      <c r="AG62" s="828">
        <f t="shared" si="15"/>
        <v>0.6</v>
      </c>
      <c r="AH62" s="136"/>
      <c r="AI62" s="139">
        <f t="shared" si="16"/>
        <v>0.6</v>
      </c>
      <c r="AJ62" s="318"/>
      <c r="AK62" s="319">
        <f t="shared" si="17"/>
        <v>0</v>
      </c>
      <c r="AL62" s="63">
        <f>Subrates!$C$97</f>
        <v>4.7138306819209967</v>
      </c>
      <c r="AM62" s="401">
        <f t="shared" si="18"/>
        <v>0</v>
      </c>
      <c r="AN62" s="37" t="s">
        <v>125</v>
      </c>
      <c r="AO62" s="37" t="s">
        <v>349</v>
      </c>
      <c r="AP62" s="63">
        <f t="shared" si="19"/>
        <v>6.2664411871606829</v>
      </c>
      <c r="AQ62" s="401">
        <f t="shared" si="20"/>
        <v>0</v>
      </c>
      <c r="AR62" s="37" t="s">
        <v>411</v>
      </c>
      <c r="AS62" s="47" t="s">
        <v>3</v>
      </c>
      <c r="AT62" s="150">
        <f t="shared" si="21"/>
        <v>1.9221853757639424</v>
      </c>
      <c r="AU62" s="401">
        <f t="shared" si="22"/>
        <v>0</v>
      </c>
      <c r="AV62" s="347">
        <f t="shared" si="53"/>
        <v>0</v>
      </c>
      <c r="AW62" s="316">
        <f t="shared" si="23"/>
        <v>0</v>
      </c>
      <c r="AX62" s="828">
        <f t="shared" si="24"/>
        <v>0.5</v>
      </c>
      <c r="AY62" s="136"/>
      <c r="AZ62" s="139">
        <f t="shared" si="25"/>
        <v>0.5</v>
      </c>
      <c r="BA62" s="318"/>
      <c r="BB62" s="319">
        <f t="shared" si="26"/>
        <v>0</v>
      </c>
      <c r="BC62" s="63">
        <f>IF(BE62=Local,Subrates!$C$98,Subrates!$C$99)</f>
        <v>8.0873484007548591</v>
      </c>
      <c r="BD62" s="401">
        <f t="shared" si="27"/>
        <v>0</v>
      </c>
      <c r="BE62" s="149" t="s">
        <v>2026</v>
      </c>
      <c r="BF62" s="48" t="s">
        <v>485</v>
      </c>
      <c r="BG62" s="63">
        <f>IF(BE62=Local,0,VLOOKUP(BF62,Long_distance_values_subs,Subrates!$C$5,FALSE))</f>
        <v>0</v>
      </c>
      <c r="BH62" s="63">
        <f>IF(BE62=Local,0,Subrates!$D$121)</f>
        <v>0</v>
      </c>
      <c r="BI62" s="1140"/>
      <c r="BJ62" s="401">
        <f t="shared" si="54"/>
        <v>0</v>
      </c>
      <c r="BK62" s="351">
        <f t="shared" si="28"/>
        <v>0</v>
      </c>
      <c r="BL62" s="316">
        <f t="shared" si="29"/>
        <v>0</v>
      </c>
      <c r="BM62" s="828">
        <f t="shared" si="30"/>
        <v>1.5</v>
      </c>
      <c r="BN62" s="136"/>
      <c r="BO62" s="139">
        <f t="shared" si="31"/>
        <v>1.5</v>
      </c>
      <c r="BP62" s="318"/>
      <c r="BQ62" s="319">
        <f t="shared" si="32"/>
        <v>0</v>
      </c>
      <c r="BR62" s="37" t="s">
        <v>125</v>
      </c>
      <c r="BS62" s="37" t="s">
        <v>349</v>
      </c>
      <c r="BT62" s="63">
        <f t="shared" si="33"/>
        <v>6.2664411871606829</v>
      </c>
      <c r="BU62" s="408">
        <f t="shared" si="34"/>
        <v>0</v>
      </c>
      <c r="BV62" s="37" t="s">
        <v>411</v>
      </c>
      <c r="BW62" s="37" t="s">
        <v>3</v>
      </c>
      <c r="BX62" s="150">
        <f t="shared" si="35"/>
        <v>1.9221853757639424</v>
      </c>
      <c r="BY62" s="157">
        <f t="shared" si="36"/>
        <v>0</v>
      </c>
      <c r="BZ62" s="347">
        <f t="shared" si="37"/>
        <v>0</v>
      </c>
      <c r="CA62" s="318"/>
      <c r="CB62" s="63">
        <f>Subrates!$C$94</f>
        <v>2.2000000000000002</v>
      </c>
      <c r="CC62" s="318"/>
      <c r="CD62" s="63">
        <f>Subrates!$C$95</f>
        <v>13.200000000000001</v>
      </c>
      <c r="CE62" s="318"/>
      <c r="CF62" s="63">
        <f>Subrates!$C$96</f>
        <v>14.3</v>
      </c>
      <c r="CG62" s="351">
        <f t="shared" si="38"/>
        <v>0</v>
      </c>
      <c r="CH62" s="316"/>
      <c r="CI62" s="406">
        <f>Subrates!$C$106</f>
        <v>21234.52910306484</v>
      </c>
      <c r="CJ62" s="351">
        <f t="shared" si="55"/>
        <v>0</v>
      </c>
      <c r="CK62" s="63">
        <f>Subrates!$C$105</f>
        <v>2885.2856380177936</v>
      </c>
      <c r="CL62" s="407">
        <f t="shared" si="39"/>
        <v>0</v>
      </c>
      <c r="CM62" s="316">
        <f t="shared" si="40"/>
        <v>0</v>
      </c>
      <c r="CN62" s="73"/>
      <c r="CO62" s="324">
        <f t="shared" si="56"/>
        <v>0</v>
      </c>
      <c r="CP62" s="316"/>
      <c r="CQ62" s="324">
        <f t="shared" si="57"/>
        <v>0</v>
      </c>
      <c r="CR62" s="63">
        <f>Subrates!$C$109</f>
        <v>0.66402036681578014</v>
      </c>
      <c r="CS62" s="347">
        <f t="shared" si="58"/>
        <v>0</v>
      </c>
      <c r="CT62" s="319">
        <f t="shared" si="59"/>
        <v>0.15</v>
      </c>
      <c r="CU62" s="73"/>
      <c r="CV62" s="318"/>
      <c r="CW62" s="319">
        <f t="shared" si="60"/>
        <v>0</v>
      </c>
      <c r="CX62" s="37" t="s">
        <v>125</v>
      </c>
      <c r="CY62" s="383" t="s">
        <v>348</v>
      </c>
      <c r="CZ62" s="63">
        <f t="shared" si="41"/>
        <v>4.8064250364478198</v>
      </c>
      <c r="DA62" s="157">
        <f t="shared" si="61"/>
        <v>0</v>
      </c>
      <c r="DB62" s="149" t="s">
        <v>2026</v>
      </c>
      <c r="DC62" s="48" t="s">
        <v>485</v>
      </c>
      <c r="DD62" s="63">
        <f>IF(DB62=Local,0,VLOOKUP(DC62,Long_distance_values_subs,Subrates!$C$5,FALSE))</f>
        <v>0</v>
      </c>
      <c r="DE62" s="63">
        <f>IF(DB62=Local,0,Subrates!$D$122)</f>
        <v>0</v>
      </c>
      <c r="DF62" s="1140"/>
      <c r="DG62" s="158">
        <f>IF(DF62="",CW62*VLOOKUP(DC62,Long_distance_values_subs,Subrates!$H$5,FALSE)*DD62+CW62*DE62,CW62*DF62)</f>
        <v>0</v>
      </c>
      <c r="DH62" s="351">
        <f t="shared" si="42"/>
        <v>0</v>
      </c>
      <c r="DI62" s="318"/>
      <c r="DJ62" s="195" t="s">
        <v>48</v>
      </c>
      <c r="DK62" s="1096" t="str">
        <f>IF(DJ62=Lists!$B$18,"N/A",VLOOKUP(DJ62,Lists!$B$18:$D$26,Lists!$C$3,FALSE))</f>
        <v>N/A</v>
      </c>
      <c r="DL62" s="63">
        <f>IF(DJ62=Lists!$B$18,0,VLOOKUP(DK62,Amend_TOV,TOV!$F$1,FALSE))</f>
        <v>0</v>
      </c>
      <c r="DM62" s="117"/>
      <c r="DN62" s="318"/>
      <c r="DO62" s="195" t="s">
        <v>48</v>
      </c>
      <c r="DP62" s="1096" t="str">
        <f>IF(DO62=Lists!$B$18,"N/A",VLOOKUP(DO62,Lists!$B$18:$D$26,Lists!$C$3,FALSE))</f>
        <v>N/A</v>
      </c>
      <c r="DQ62" s="41">
        <f>IF(DO62=Lists!$B$18,0,VLOOKUP(DP62,Amend_TOV,TOV!$F$1,FALSE))</f>
        <v>0</v>
      </c>
      <c r="DR62" s="117"/>
      <c r="DS62" s="318"/>
      <c r="DT62" s="195" t="s">
        <v>48</v>
      </c>
      <c r="DU62" s="1096" t="str">
        <f>IF(DT62=Lists!$B$18,"N/A",VLOOKUP(DT62,Lists!$B$18:$D$26,Lists!$C$3,FALSE))</f>
        <v>N/A</v>
      </c>
      <c r="DV62" s="41">
        <f>IF(DT62=Lists!$B$18,0,VLOOKUP(DU62,Amend_TOV,TOV!$F$1,FALSE))</f>
        <v>0</v>
      </c>
      <c r="DW62" s="117"/>
      <c r="DX62" s="351">
        <f t="shared" si="43"/>
        <v>0</v>
      </c>
      <c r="DY62" s="316">
        <f t="shared" si="44"/>
        <v>0</v>
      </c>
      <c r="DZ62" s="66">
        <v>1</v>
      </c>
      <c r="EA62" s="66"/>
      <c r="EB62" s="67">
        <f t="shared" si="45"/>
        <v>0</v>
      </c>
      <c r="EC62" s="16" t="str">
        <f t="shared" si="62"/>
        <v>No Alert</v>
      </c>
      <c r="ED62" s="351">
        <f t="shared" si="63"/>
        <v>0</v>
      </c>
      <c r="EE62" s="351">
        <f t="shared" si="64"/>
        <v>0</v>
      </c>
      <c r="EF62" s="1154">
        <f t="shared" si="46"/>
        <v>0</v>
      </c>
      <c r="EG62" s="1154"/>
      <c r="EH62" s="351">
        <f t="shared" si="65"/>
        <v>0</v>
      </c>
      <c r="EI62" s="63">
        <f t="shared" si="47"/>
        <v>2850</v>
      </c>
      <c r="EJ62" s="117"/>
      <c r="EK62" s="351">
        <f t="shared" si="48"/>
        <v>0</v>
      </c>
      <c r="EL62" s="159"/>
      <c r="EM62" s="106">
        <f t="shared" si="66"/>
        <v>0</v>
      </c>
      <c r="EN62" s="1097">
        <f t="shared" si="49"/>
        <v>0</v>
      </c>
      <c r="EO62" s="803">
        <f t="shared" si="50"/>
        <v>0</v>
      </c>
      <c r="EP62" s="215"/>
      <c r="EQ62" s="217"/>
      <c r="ER62" s="217"/>
      <c r="ES62" s="217"/>
      <c r="ET62" s="217"/>
      <c r="EU62" s="217"/>
      <c r="EV62" s="217"/>
      <c r="EW62" s="218"/>
    </row>
    <row r="63" spans="2:153" s="520" customFormat="1" ht="15">
      <c r="B63" s="310"/>
      <c r="C63" s="989">
        <f t="shared" si="51"/>
        <v>12</v>
      </c>
      <c r="D63" s="168"/>
      <c r="E63" s="316"/>
      <c r="F63" s="255" t="s">
        <v>1879</v>
      </c>
      <c r="G63" s="316">
        <f t="shared" si="3"/>
        <v>0</v>
      </c>
      <c r="H63" s="77"/>
      <c r="I63" s="316"/>
      <c r="J63" s="77"/>
      <c r="K63" s="316"/>
      <c r="L63" s="37" t="s">
        <v>428</v>
      </c>
      <c r="M63" s="318"/>
      <c r="N63" s="319">
        <f t="shared" si="4"/>
        <v>0</v>
      </c>
      <c r="O63" s="318"/>
      <c r="P63" s="319">
        <f t="shared" si="5"/>
        <v>0</v>
      </c>
      <c r="Q63" s="37" t="s">
        <v>411</v>
      </c>
      <c r="R63" s="37" t="s">
        <v>3</v>
      </c>
      <c r="S63" s="150">
        <f t="shared" si="6"/>
        <v>1.9221853757639424</v>
      </c>
      <c r="T63" s="156">
        <f t="shared" si="7"/>
        <v>8904.769113128099</v>
      </c>
      <c r="U63" s="347">
        <f t="shared" si="8"/>
        <v>0</v>
      </c>
      <c r="V63" s="347">
        <f t="shared" si="9"/>
        <v>0</v>
      </c>
      <c r="W63" s="139">
        <f t="shared" si="10"/>
        <v>1</v>
      </c>
      <c r="X63" s="136"/>
      <c r="Y63" s="139">
        <f t="shared" si="52"/>
        <v>1</v>
      </c>
      <c r="Z63" s="318"/>
      <c r="AA63" s="319">
        <f t="shared" si="11"/>
        <v>0</v>
      </c>
      <c r="AB63" s="37" t="s">
        <v>125</v>
      </c>
      <c r="AC63" s="37" t="s">
        <v>349</v>
      </c>
      <c r="AD63" s="63">
        <f t="shared" si="12"/>
        <v>6.2664411871606829</v>
      </c>
      <c r="AE63" s="347">
        <f t="shared" si="13"/>
        <v>0</v>
      </c>
      <c r="AF63" s="316">
        <f t="shared" si="14"/>
        <v>0</v>
      </c>
      <c r="AG63" s="828">
        <f t="shared" si="15"/>
        <v>0.6</v>
      </c>
      <c r="AH63" s="136"/>
      <c r="AI63" s="139">
        <f t="shared" si="16"/>
        <v>0.6</v>
      </c>
      <c r="AJ63" s="318"/>
      <c r="AK63" s="319">
        <f t="shared" si="17"/>
        <v>0</v>
      </c>
      <c r="AL63" s="63">
        <f>Subrates!$C$97</f>
        <v>4.7138306819209967</v>
      </c>
      <c r="AM63" s="401">
        <f t="shared" si="18"/>
        <v>0</v>
      </c>
      <c r="AN63" s="37" t="s">
        <v>125</v>
      </c>
      <c r="AO63" s="37" t="s">
        <v>349</v>
      </c>
      <c r="AP63" s="63">
        <f t="shared" si="19"/>
        <v>6.2664411871606829</v>
      </c>
      <c r="AQ63" s="401">
        <f t="shared" si="20"/>
        <v>0</v>
      </c>
      <c r="AR63" s="37" t="s">
        <v>411</v>
      </c>
      <c r="AS63" s="47" t="s">
        <v>3</v>
      </c>
      <c r="AT63" s="150">
        <f t="shared" si="21"/>
        <v>1.9221853757639424</v>
      </c>
      <c r="AU63" s="401">
        <f t="shared" si="22"/>
        <v>0</v>
      </c>
      <c r="AV63" s="347">
        <f t="shared" si="53"/>
        <v>0</v>
      </c>
      <c r="AW63" s="316">
        <f t="shared" si="23"/>
        <v>0</v>
      </c>
      <c r="AX63" s="828">
        <f t="shared" si="24"/>
        <v>0.5</v>
      </c>
      <c r="AY63" s="136"/>
      <c r="AZ63" s="139">
        <f t="shared" si="25"/>
        <v>0.5</v>
      </c>
      <c r="BA63" s="318"/>
      <c r="BB63" s="319">
        <f t="shared" si="26"/>
        <v>0</v>
      </c>
      <c r="BC63" s="63">
        <f>IF(BE63=Local,Subrates!$C$98,Subrates!$C$99)</f>
        <v>8.0873484007548591</v>
      </c>
      <c r="BD63" s="401">
        <f t="shared" si="27"/>
        <v>0</v>
      </c>
      <c r="BE63" s="149" t="s">
        <v>2026</v>
      </c>
      <c r="BF63" s="48" t="s">
        <v>485</v>
      </c>
      <c r="BG63" s="63">
        <f>IF(BE63=Local,0,VLOOKUP(BF63,Long_distance_values_subs,Subrates!$C$5,FALSE))</f>
        <v>0</v>
      </c>
      <c r="BH63" s="63">
        <f>IF(BE63=Local,0,Subrates!$D$121)</f>
        <v>0</v>
      </c>
      <c r="BI63" s="1140"/>
      <c r="BJ63" s="401">
        <f t="shared" si="54"/>
        <v>0</v>
      </c>
      <c r="BK63" s="351">
        <f t="shared" si="28"/>
        <v>0</v>
      </c>
      <c r="BL63" s="316">
        <f t="shared" si="29"/>
        <v>0</v>
      </c>
      <c r="BM63" s="828">
        <f t="shared" si="30"/>
        <v>1.5</v>
      </c>
      <c r="BN63" s="136"/>
      <c r="BO63" s="139">
        <f t="shared" si="31"/>
        <v>1.5</v>
      </c>
      <c r="BP63" s="318"/>
      <c r="BQ63" s="319">
        <f t="shared" si="32"/>
        <v>0</v>
      </c>
      <c r="BR63" s="37" t="s">
        <v>125</v>
      </c>
      <c r="BS63" s="37" t="s">
        <v>349</v>
      </c>
      <c r="BT63" s="63">
        <f t="shared" si="33"/>
        <v>6.2664411871606829</v>
      </c>
      <c r="BU63" s="408">
        <f t="shared" si="34"/>
        <v>0</v>
      </c>
      <c r="BV63" s="37" t="s">
        <v>411</v>
      </c>
      <c r="BW63" s="37" t="s">
        <v>3</v>
      </c>
      <c r="BX63" s="150">
        <f t="shared" si="35"/>
        <v>1.9221853757639424</v>
      </c>
      <c r="BY63" s="157">
        <f t="shared" si="36"/>
        <v>0</v>
      </c>
      <c r="BZ63" s="347">
        <f t="shared" si="37"/>
        <v>0</v>
      </c>
      <c r="CA63" s="318"/>
      <c r="CB63" s="63">
        <f>Subrates!$C$94</f>
        <v>2.2000000000000002</v>
      </c>
      <c r="CC63" s="318"/>
      <c r="CD63" s="63">
        <f>Subrates!$C$95</f>
        <v>13.200000000000001</v>
      </c>
      <c r="CE63" s="318"/>
      <c r="CF63" s="63">
        <f>Subrates!$C$96</f>
        <v>14.3</v>
      </c>
      <c r="CG63" s="351">
        <f t="shared" si="38"/>
        <v>0</v>
      </c>
      <c r="CH63" s="316"/>
      <c r="CI63" s="406">
        <f>Subrates!$C$106</f>
        <v>21234.52910306484</v>
      </c>
      <c r="CJ63" s="351">
        <f t="shared" si="55"/>
        <v>0</v>
      </c>
      <c r="CK63" s="63">
        <f>Subrates!$C$105</f>
        <v>2885.2856380177936</v>
      </c>
      <c r="CL63" s="407">
        <f t="shared" si="39"/>
        <v>0</v>
      </c>
      <c r="CM63" s="316">
        <f t="shared" si="40"/>
        <v>0</v>
      </c>
      <c r="CN63" s="73"/>
      <c r="CO63" s="324">
        <f t="shared" si="56"/>
        <v>0</v>
      </c>
      <c r="CP63" s="316"/>
      <c r="CQ63" s="324">
        <f t="shared" si="57"/>
        <v>0</v>
      </c>
      <c r="CR63" s="63">
        <f>Subrates!$C$109</f>
        <v>0.66402036681578014</v>
      </c>
      <c r="CS63" s="347">
        <f t="shared" si="58"/>
        <v>0</v>
      </c>
      <c r="CT63" s="319">
        <f t="shared" si="59"/>
        <v>0.15</v>
      </c>
      <c r="CU63" s="73"/>
      <c r="CV63" s="318"/>
      <c r="CW63" s="319">
        <f t="shared" si="60"/>
        <v>0</v>
      </c>
      <c r="CX63" s="37" t="s">
        <v>125</v>
      </c>
      <c r="CY63" s="383" t="s">
        <v>348</v>
      </c>
      <c r="CZ63" s="63">
        <f t="shared" si="41"/>
        <v>4.8064250364478198</v>
      </c>
      <c r="DA63" s="157">
        <f t="shared" si="61"/>
        <v>0</v>
      </c>
      <c r="DB63" s="149" t="s">
        <v>2026</v>
      </c>
      <c r="DC63" s="48" t="s">
        <v>485</v>
      </c>
      <c r="DD63" s="63">
        <f>IF(DB63=Local,0,VLOOKUP(DC63,Long_distance_values_subs,Subrates!$C$5,FALSE))</f>
        <v>0</v>
      </c>
      <c r="DE63" s="63">
        <f>IF(DB63=Local,0,Subrates!$D$122)</f>
        <v>0</v>
      </c>
      <c r="DF63" s="1140"/>
      <c r="DG63" s="158">
        <f>IF(DF63="",CW63*VLOOKUP(DC63,Long_distance_values_subs,Subrates!$H$5,FALSE)*DD63+CW63*DE63,CW63*DF63)</f>
        <v>0</v>
      </c>
      <c r="DH63" s="351">
        <f t="shared" si="42"/>
        <v>0</v>
      </c>
      <c r="DI63" s="318"/>
      <c r="DJ63" s="195" t="s">
        <v>48</v>
      </c>
      <c r="DK63" s="1096" t="str">
        <f>IF(DJ63=Lists!$B$18,"N/A",VLOOKUP(DJ63,Lists!$B$18:$D$26,Lists!$C$3,FALSE))</f>
        <v>N/A</v>
      </c>
      <c r="DL63" s="63">
        <f>IF(DJ63=Lists!$B$18,0,VLOOKUP(DK63,Amend_TOV,TOV!$F$1,FALSE))</f>
        <v>0</v>
      </c>
      <c r="DM63" s="117"/>
      <c r="DN63" s="318"/>
      <c r="DO63" s="195" t="s">
        <v>48</v>
      </c>
      <c r="DP63" s="1096" t="str">
        <f>IF(DO63=Lists!$B$18,"N/A",VLOOKUP(DO63,Lists!$B$18:$D$26,Lists!$C$3,FALSE))</f>
        <v>N/A</v>
      </c>
      <c r="DQ63" s="41">
        <f>IF(DO63=Lists!$B$18,0,VLOOKUP(DP63,Amend_TOV,TOV!$F$1,FALSE))</f>
        <v>0</v>
      </c>
      <c r="DR63" s="117"/>
      <c r="DS63" s="318"/>
      <c r="DT63" s="195" t="s">
        <v>48</v>
      </c>
      <c r="DU63" s="1096" t="str">
        <f>IF(DT63=Lists!$B$18,"N/A",VLOOKUP(DT63,Lists!$B$18:$D$26,Lists!$C$3,FALSE))</f>
        <v>N/A</v>
      </c>
      <c r="DV63" s="41">
        <f>IF(DT63=Lists!$B$18,0,VLOOKUP(DU63,Amend_TOV,TOV!$F$1,FALSE))</f>
        <v>0</v>
      </c>
      <c r="DW63" s="117"/>
      <c r="DX63" s="351">
        <f t="shared" si="43"/>
        <v>0</v>
      </c>
      <c r="DY63" s="316">
        <f t="shared" si="44"/>
        <v>0</v>
      </c>
      <c r="DZ63" s="66">
        <v>1</v>
      </c>
      <c r="EA63" s="66"/>
      <c r="EB63" s="67">
        <f t="shared" si="45"/>
        <v>0</v>
      </c>
      <c r="EC63" s="16" t="str">
        <f t="shared" si="62"/>
        <v>No Alert</v>
      </c>
      <c r="ED63" s="351">
        <f t="shared" si="63"/>
        <v>0</v>
      </c>
      <c r="EE63" s="351">
        <f t="shared" si="64"/>
        <v>0</v>
      </c>
      <c r="EF63" s="1154">
        <f t="shared" si="46"/>
        <v>0</v>
      </c>
      <c r="EG63" s="1154"/>
      <c r="EH63" s="351">
        <f t="shared" si="65"/>
        <v>0</v>
      </c>
      <c r="EI63" s="63">
        <f t="shared" si="47"/>
        <v>2850</v>
      </c>
      <c r="EJ63" s="117"/>
      <c r="EK63" s="351">
        <f t="shared" si="48"/>
        <v>0</v>
      </c>
      <c r="EL63" s="159"/>
      <c r="EM63" s="106">
        <f t="shared" si="66"/>
        <v>0</v>
      </c>
      <c r="EN63" s="1097">
        <f t="shared" si="49"/>
        <v>0</v>
      </c>
      <c r="EO63" s="803">
        <f t="shared" si="50"/>
        <v>0</v>
      </c>
      <c r="EP63" s="215"/>
      <c r="EQ63" s="217"/>
      <c r="ER63" s="217"/>
      <c r="ES63" s="217"/>
      <c r="ET63" s="217"/>
      <c r="EU63" s="217"/>
      <c r="EV63" s="217"/>
      <c r="EW63" s="218"/>
    </row>
    <row r="64" spans="2:153" s="520" customFormat="1" ht="15">
      <c r="B64" s="310"/>
      <c r="C64" s="989">
        <f t="shared" si="51"/>
        <v>13</v>
      </c>
      <c r="D64" s="168"/>
      <c r="E64" s="316"/>
      <c r="F64" s="255" t="s">
        <v>1879</v>
      </c>
      <c r="G64" s="316">
        <f t="shared" si="3"/>
        <v>0</v>
      </c>
      <c r="H64" s="77"/>
      <c r="I64" s="316"/>
      <c r="J64" s="77"/>
      <c r="K64" s="316"/>
      <c r="L64" s="37" t="s">
        <v>428</v>
      </c>
      <c r="M64" s="318"/>
      <c r="N64" s="319">
        <f t="shared" si="4"/>
        <v>0</v>
      </c>
      <c r="O64" s="318"/>
      <c r="P64" s="319">
        <f t="shared" si="5"/>
        <v>0</v>
      </c>
      <c r="Q64" s="37" t="s">
        <v>411</v>
      </c>
      <c r="R64" s="37" t="s">
        <v>3</v>
      </c>
      <c r="S64" s="150">
        <f t="shared" si="6"/>
        <v>1.9221853757639424</v>
      </c>
      <c r="T64" s="156">
        <f t="shared" si="7"/>
        <v>8904.769113128099</v>
      </c>
      <c r="U64" s="347">
        <f t="shared" si="8"/>
        <v>0</v>
      </c>
      <c r="V64" s="347">
        <f t="shared" si="9"/>
        <v>0</v>
      </c>
      <c r="W64" s="139">
        <f t="shared" si="10"/>
        <v>1</v>
      </c>
      <c r="X64" s="136"/>
      <c r="Y64" s="139">
        <f t="shared" si="52"/>
        <v>1</v>
      </c>
      <c r="Z64" s="318"/>
      <c r="AA64" s="319">
        <f t="shared" si="11"/>
        <v>0</v>
      </c>
      <c r="AB64" s="37" t="s">
        <v>125</v>
      </c>
      <c r="AC64" s="37" t="s">
        <v>349</v>
      </c>
      <c r="AD64" s="63">
        <f t="shared" si="12"/>
        <v>6.2664411871606829</v>
      </c>
      <c r="AE64" s="347">
        <f t="shared" si="13"/>
        <v>0</v>
      </c>
      <c r="AF64" s="316">
        <f t="shared" si="14"/>
        <v>0</v>
      </c>
      <c r="AG64" s="828">
        <f t="shared" si="15"/>
        <v>0.6</v>
      </c>
      <c r="AH64" s="136"/>
      <c r="AI64" s="139">
        <f t="shared" si="16"/>
        <v>0.6</v>
      </c>
      <c r="AJ64" s="318"/>
      <c r="AK64" s="319">
        <f t="shared" si="17"/>
        <v>0</v>
      </c>
      <c r="AL64" s="63">
        <f>Subrates!$C$97</f>
        <v>4.7138306819209967</v>
      </c>
      <c r="AM64" s="401">
        <f t="shared" si="18"/>
        <v>0</v>
      </c>
      <c r="AN64" s="37" t="s">
        <v>125</v>
      </c>
      <c r="AO64" s="37" t="s">
        <v>349</v>
      </c>
      <c r="AP64" s="63">
        <f t="shared" si="19"/>
        <v>6.2664411871606829</v>
      </c>
      <c r="AQ64" s="401">
        <f t="shared" si="20"/>
        <v>0</v>
      </c>
      <c r="AR64" s="37" t="s">
        <v>411</v>
      </c>
      <c r="AS64" s="47" t="s">
        <v>3</v>
      </c>
      <c r="AT64" s="150">
        <f t="shared" si="21"/>
        <v>1.9221853757639424</v>
      </c>
      <c r="AU64" s="401">
        <f t="shared" si="22"/>
        <v>0</v>
      </c>
      <c r="AV64" s="347">
        <f t="shared" si="53"/>
        <v>0</v>
      </c>
      <c r="AW64" s="316">
        <f t="shared" si="23"/>
        <v>0</v>
      </c>
      <c r="AX64" s="828">
        <f t="shared" si="24"/>
        <v>0.5</v>
      </c>
      <c r="AY64" s="136"/>
      <c r="AZ64" s="139">
        <f t="shared" si="25"/>
        <v>0.5</v>
      </c>
      <c r="BA64" s="318"/>
      <c r="BB64" s="319">
        <f t="shared" si="26"/>
        <v>0</v>
      </c>
      <c r="BC64" s="63">
        <f>IF(BE64=Local,Subrates!$C$98,Subrates!$C$99)</f>
        <v>8.0873484007548591</v>
      </c>
      <c r="BD64" s="401">
        <f t="shared" si="27"/>
        <v>0</v>
      </c>
      <c r="BE64" s="149" t="s">
        <v>2026</v>
      </c>
      <c r="BF64" s="48" t="s">
        <v>485</v>
      </c>
      <c r="BG64" s="63">
        <f>IF(BE64=Local,0,VLOOKUP(BF64,Long_distance_values_subs,Subrates!$C$5,FALSE))</f>
        <v>0</v>
      </c>
      <c r="BH64" s="63">
        <f>IF(BE64=Local,0,Subrates!$D$121)</f>
        <v>0</v>
      </c>
      <c r="BI64" s="1140"/>
      <c r="BJ64" s="401">
        <f t="shared" si="54"/>
        <v>0</v>
      </c>
      <c r="BK64" s="351">
        <f t="shared" si="28"/>
        <v>0</v>
      </c>
      <c r="BL64" s="316">
        <f t="shared" si="29"/>
        <v>0</v>
      </c>
      <c r="BM64" s="828">
        <f t="shared" si="30"/>
        <v>1.5</v>
      </c>
      <c r="BN64" s="136"/>
      <c r="BO64" s="139">
        <f t="shared" si="31"/>
        <v>1.5</v>
      </c>
      <c r="BP64" s="318"/>
      <c r="BQ64" s="319">
        <f t="shared" si="32"/>
        <v>0</v>
      </c>
      <c r="BR64" s="37" t="s">
        <v>125</v>
      </c>
      <c r="BS64" s="37" t="s">
        <v>349</v>
      </c>
      <c r="BT64" s="63">
        <f t="shared" si="33"/>
        <v>6.2664411871606829</v>
      </c>
      <c r="BU64" s="408">
        <f t="shared" si="34"/>
        <v>0</v>
      </c>
      <c r="BV64" s="37" t="s">
        <v>411</v>
      </c>
      <c r="BW64" s="37" t="s">
        <v>3</v>
      </c>
      <c r="BX64" s="150">
        <f t="shared" si="35"/>
        <v>1.9221853757639424</v>
      </c>
      <c r="BY64" s="157">
        <f t="shared" si="36"/>
        <v>0</v>
      </c>
      <c r="BZ64" s="347">
        <f t="shared" si="37"/>
        <v>0</v>
      </c>
      <c r="CA64" s="318"/>
      <c r="CB64" s="63">
        <f>Subrates!$C$94</f>
        <v>2.2000000000000002</v>
      </c>
      <c r="CC64" s="318"/>
      <c r="CD64" s="63">
        <f>Subrates!$C$95</f>
        <v>13.200000000000001</v>
      </c>
      <c r="CE64" s="318"/>
      <c r="CF64" s="63">
        <f>Subrates!$C$96</f>
        <v>14.3</v>
      </c>
      <c r="CG64" s="351">
        <f t="shared" si="38"/>
        <v>0</v>
      </c>
      <c r="CH64" s="316"/>
      <c r="CI64" s="406">
        <f>Subrates!$C$106</f>
        <v>21234.52910306484</v>
      </c>
      <c r="CJ64" s="351">
        <f t="shared" si="55"/>
        <v>0</v>
      </c>
      <c r="CK64" s="63">
        <f>Subrates!$C$105</f>
        <v>2885.2856380177936</v>
      </c>
      <c r="CL64" s="407">
        <f t="shared" si="39"/>
        <v>0</v>
      </c>
      <c r="CM64" s="316">
        <f t="shared" si="40"/>
        <v>0</v>
      </c>
      <c r="CN64" s="73"/>
      <c r="CO64" s="324">
        <f t="shared" si="56"/>
        <v>0</v>
      </c>
      <c r="CP64" s="316"/>
      <c r="CQ64" s="324">
        <f t="shared" si="57"/>
        <v>0</v>
      </c>
      <c r="CR64" s="63">
        <f>Subrates!$C$109</f>
        <v>0.66402036681578014</v>
      </c>
      <c r="CS64" s="347">
        <f t="shared" si="58"/>
        <v>0</v>
      </c>
      <c r="CT64" s="319">
        <f t="shared" si="59"/>
        <v>0.15</v>
      </c>
      <c r="CU64" s="73"/>
      <c r="CV64" s="318"/>
      <c r="CW64" s="319">
        <f t="shared" si="60"/>
        <v>0</v>
      </c>
      <c r="CX64" s="37" t="s">
        <v>125</v>
      </c>
      <c r="CY64" s="383" t="s">
        <v>348</v>
      </c>
      <c r="CZ64" s="63">
        <f t="shared" si="41"/>
        <v>4.8064250364478198</v>
      </c>
      <c r="DA64" s="157">
        <f t="shared" si="61"/>
        <v>0</v>
      </c>
      <c r="DB64" s="149" t="s">
        <v>2026</v>
      </c>
      <c r="DC64" s="48" t="s">
        <v>485</v>
      </c>
      <c r="DD64" s="63">
        <f>IF(DB64=Local,0,VLOOKUP(DC64,Long_distance_values_subs,Subrates!$C$5,FALSE))</f>
        <v>0</v>
      </c>
      <c r="DE64" s="63">
        <f>IF(DB64=Local,0,Subrates!$D$122)</f>
        <v>0</v>
      </c>
      <c r="DF64" s="1140"/>
      <c r="DG64" s="158">
        <f>IF(DF64="",CW64*VLOOKUP(DC64,Long_distance_values_subs,Subrates!$H$5,FALSE)*DD64+CW64*DE64,CW64*DF64)</f>
        <v>0</v>
      </c>
      <c r="DH64" s="351">
        <f t="shared" si="42"/>
        <v>0</v>
      </c>
      <c r="DI64" s="318"/>
      <c r="DJ64" s="195" t="s">
        <v>48</v>
      </c>
      <c r="DK64" s="1096" t="str">
        <f>IF(DJ64=Lists!$B$18,"N/A",VLOOKUP(DJ64,Lists!$B$18:$D$26,Lists!$C$3,FALSE))</f>
        <v>N/A</v>
      </c>
      <c r="DL64" s="63">
        <f>IF(DJ64=Lists!$B$18,0,VLOOKUP(DK64,Amend_TOV,TOV!$F$1,FALSE))</f>
        <v>0</v>
      </c>
      <c r="DM64" s="117"/>
      <c r="DN64" s="318"/>
      <c r="DO64" s="195" t="s">
        <v>48</v>
      </c>
      <c r="DP64" s="1096" t="str">
        <f>IF(DO64=Lists!$B$18,"N/A",VLOOKUP(DO64,Lists!$B$18:$D$26,Lists!$C$3,FALSE))</f>
        <v>N/A</v>
      </c>
      <c r="DQ64" s="41">
        <f>IF(DO64=Lists!$B$18,0,VLOOKUP(DP64,Amend_TOV,TOV!$F$1,FALSE))</f>
        <v>0</v>
      </c>
      <c r="DR64" s="117"/>
      <c r="DS64" s="318"/>
      <c r="DT64" s="195" t="s">
        <v>48</v>
      </c>
      <c r="DU64" s="1096" t="str">
        <f>IF(DT64=Lists!$B$18,"N/A",VLOOKUP(DT64,Lists!$B$18:$D$26,Lists!$C$3,FALSE))</f>
        <v>N/A</v>
      </c>
      <c r="DV64" s="41">
        <f>IF(DT64=Lists!$B$18,0,VLOOKUP(DU64,Amend_TOV,TOV!$F$1,FALSE))</f>
        <v>0</v>
      </c>
      <c r="DW64" s="117"/>
      <c r="DX64" s="351">
        <f t="shared" si="43"/>
        <v>0</v>
      </c>
      <c r="DY64" s="316">
        <f t="shared" si="44"/>
        <v>0</v>
      </c>
      <c r="DZ64" s="66">
        <v>1</v>
      </c>
      <c r="EA64" s="66"/>
      <c r="EB64" s="67">
        <f t="shared" si="45"/>
        <v>0</v>
      </c>
      <c r="EC64" s="16" t="str">
        <f t="shared" si="62"/>
        <v>No Alert</v>
      </c>
      <c r="ED64" s="351">
        <f t="shared" si="63"/>
        <v>0</v>
      </c>
      <c r="EE64" s="351">
        <f t="shared" si="64"/>
        <v>0</v>
      </c>
      <c r="EF64" s="1154">
        <f t="shared" si="46"/>
        <v>0</v>
      </c>
      <c r="EG64" s="1154"/>
      <c r="EH64" s="351">
        <f t="shared" si="65"/>
        <v>0</v>
      </c>
      <c r="EI64" s="63">
        <f t="shared" si="47"/>
        <v>2850</v>
      </c>
      <c r="EJ64" s="117"/>
      <c r="EK64" s="351">
        <f t="shared" si="48"/>
        <v>0</v>
      </c>
      <c r="EL64" s="159"/>
      <c r="EM64" s="106">
        <f t="shared" si="66"/>
        <v>0</v>
      </c>
      <c r="EN64" s="1097">
        <f t="shared" si="49"/>
        <v>0</v>
      </c>
      <c r="EO64" s="803">
        <f t="shared" si="50"/>
        <v>0</v>
      </c>
      <c r="EP64" s="215"/>
      <c r="EQ64" s="217"/>
      <c r="ER64" s="217"/>
      <c r="ES64" s="217"/>
      <c r="ET64" s="217"/>
      <c r="EU64" s="217"/>
      <c r="EV64" s="217"/>
      <c r="EW64" s="218"/>
    </row>
    <row r="65" spans="1:153" s="520" customFormat="1" ht="15">
      <c r="B65" s="310"/>
      <c r="C65" s="989">
        <f t="shared" si="51"/>
        <v>14</v>
      </c>
      <c r="D65" s="168"/>
      <c r="E65" s="316"/>
      <c r="F65" s="255" t="s">
        <v>1879</v>
      </c>
      <c r="G65" s="316">
        <f t="shared" si="3"/>
        <v>0</v>
      </c>
      <c r="H65" s="77"/>
      <c r="I65" s="316"/>
      <c r="J65" s="77"/>
      <c r="K65" s="316"/>
      <c r="L65" s="37" t="s">
        <v>428</v>
      </c>
      <c r="M65" s="318"/>
      <c r="N65" s="319">
        <f t="shared" si="4"/>
        <v>0</v>
      </c>
      <c r="O65" s="318"/>
      <c r="P65" s="319">
        <f t="shared" si="5"/>
        <v>0</v>
      </c>
      <c r="Q65" s="37" t="s">
        <v>411</v>
      </c>
      <c r="R65" s="37" t="s">
        <v>3</v>
      </c>
      <c r="S65" s="150">
        <f t="shared" si="6"/>
        <v>1.9221853757639424</v>
      </c>
      <c r="T65" s="156">
        <f t="shared" si="7"/>
        <v>8904.769113128099</v>
      </c>
      <c r="U65" s="347">
        <f t="shared" si="8"/>
        <v>0</v>
      </c>
      <c r="V65" s="347">
        <f t="shared" si="9"/>
        <v>0</v>
      </c>
      <c r="W65" s="139">
        <f t="shared" si="10"/>
        <v>1</v>
      </c>
      <c r="X65" s="136"/>
      <c r="Y65" s="139">
        <f t="shared" si="52"/>
        <v>1</v>
      </c>
      <c r="Z65" s="318"/>
      <c r="AA65" s="319">
        <f t="shared" si="11"/>
        <v>0</v>
      </c>
      <c r="AB65" s="37" t="s">
        <v>125</v>
      </c>
      <c r="AC65" s="37" t="s">
        <v>349</v>
      </c>
      <c r="AD65" s="63">
        <f t="shared" si="12"/>
        <v>6.2664411871606829</v>
      </c>
      <c r="AE65" s="347">
        <f t="shared" si="13"/>
        <v>0</v>
      </c>
      <c r="AF65" s="316">
        <f t="shared" si="14"/>
        <v>0</v>
      </c>
      <c r="AG65" s="828">
        <f t="shared" si="15"/>
        <v>0.6</v>
      </c>
      <c r="AH65" s="136"/>
      <c r="AI65" s="139">
        <f t="shared" si="16"/>
        <v>0.6</v>
      </c>
      <c r="AJ65" s="318"/>
      <c r="AK65" s="319">
        <f t="shared" si="17"/>
        <v>0</v>
      </c>
      <c r="AL65" s="63">
        <f>Subrates!$C$97</f>
        <v>4.7138306819209967</v>
      </c>
      <c r="AM65" s="401">
        <f t="shared" si="18"/>
        <v>0</v>
      </c>
      <c r="AN65" s="37" t="s">
        <v>125</v>
      </c>
      <c r="AO65" s="37" t="s">
        <v>349</v>
      </c>
      <c r="AP65" s="63">
        <f t="shared" si="19"/>
        <v>6.2664411871606829</v>
      </c>
      <c r="AQ65" s="401">
        <f t="shared" si="20"/>
        <v>0</v>
      </c>
      <c r="AR65" s="37" t="s">
        <v>411</v>
      </c>
      <c r="AS65" s="47" t="s">
        <v>3</v>
      </c>
      <c r="AT65" s="150">
        <f t="shared" si="21"/>
        <v>1.9221853757639424</v>
      </c>
      <c r="AU65" s="401">
        <f t="shared" si="22"/>
        <v>0</v>
      </c>
      <c r="AV65" s="347">
        <f t="shared" si="53"/>
        <v>0</v>
      </c>
      <c r="AW65" s="316">
        <f t="shared" si="23"/>
        <v>0</v>
      </c>
      <c r="AX65" s="828">
        <f t="shared" si="24"/>
        <v>0.5</v>
      </c>
      <c r="AY65" s="136"/>
      <c r="AZ65" s="139">
        <f t="shared" si="25"/>
        <v>0.5</v>
      </c>
      <c r="BA65" s="318"/>
      <c r="BB65" s="319">
        <f t="shared" si="26"/>
        <v>0</v>
      </c>
      <c r="BC65" s="63">
        <f>IF(BE65=Local,Subrates!$C$98,Subrates!$C$99)</f>
        <v>8.0873484007548591</v>
      </c>
      <c r="BD65" s="401">
        <f t="shared" si="27"/>
        <v>0</v>
      </c>
      <c r="BE65" s="149" t="s">
        <v>2026</v>
      </c>
      <c r="BF65" s="48" t="s">
        <v>485</v>
      </c>
      <c r="BG65" s="63">
        <f>IF(BE65=Local,0,VLOOKUP(BF65,Long_distance_values_subs,Subrates!$C$5,FALSE))</f>
        <v>0</v>
      </c>
      <c r="BH65" s="63">
        <f>IF(BE65=Local,0,Subrates!$D$121)</f>
        <v>0</v>
      </c>
      <c r="BI65" s="1140"/>
      <c r="BJ65" s="401">
        <f t="shared" si="54"/>
        <v>0</v>
      </c>
      <c r="BK65" s="351">
        <f t="shared" si="28"/>
        <v>0</v>
      </c>
      <c r="BL65" s="316">
        <f t="shared" si="29"/>
        <v>0</v>
      </c>
      <c r="BM65" s="828">
        <f t="shared" si="30"/>
        <v>1.5</v>
      </c>
      <c r="BN65" s="136"/>
      <c r="BO65" s="139">
        <f t="shared" si="31"/>
        <v>1.5</v>
      </c>
      <c r="BP65" s="318"/>
      <c r="BQ65" s="319">
        <f t="shared" si="32"/>
        <v>0</v>
      </c>
      <c r="BR65" s="37" t="s">
        <v>125</v>
      </c>
      <c r="BS65" s="37" t="s">
        <v>349</v>
      </c>
      <c r="BT65" s="63">
        <f t="shared" si="33"/>
        <v>6.2664411871606829</v>
      </c>
      <c r="BU65" s="408">
        <f t="shared" si="34"/>
        <v>0</v>
      </c>
      <c r="BV65" s="37" t="s">
        <v>411</v>
      </c>
      <c r="BW65" s="37" t="s">
        <v>3</v>
      </c>
      <c r="BX65" s="150">
        <f t="shared" si="35"/>
        <v>1.9221853757639424</v>
      </c>
      <c r="BY65" s="157">
        <f t="shared" si="36"/>
        <v>0</v>
      </c>
      <c r="BZ65" s="347">
        <f t="shared" si="37"/>
        <v>0</v>
      </c>
      <c r="CA65" s="318"/>
      <c r="CB65" s="63">
        <f>Subrates!$C$94</f>
        <v>2.2000000000000002</v>
      </c>
      <c r="CC65" s="318"/>
      <c r="CD65" s="63">
        <f>Subrates!$C$95</f>
        <v>13.200000000000001</v>
      </c>
      <c r="CE65" s="318"/>
      <c r="CF65" s="63">
        <f>Subrates!$C$96</f>
        <v>14.3</v>
      </c>
      <c r="CG65" s="351">
        <f t="shared" si="38"/>
        <v>0</v>
      </c>
      <c r="CH65" s="316"/>
      <c r="CI65" s="406">
        <f>Subrates!$C$106</f>
        <v>21234.52910306484</v>
      </c>
      <c r="CJ65" s="351">
        <f t="shared" si="55"/>
        <v>0</v>
      </c>
      <c r="CK65" s="63">
        <f>Subrates!$C$105</f>
        <v>2885.2856380177936</v>
      </c>
      <c r="CL65" s="407">
        <f t="shared" si="39"/>
        <v>0</v>
      </c>
      <c r="CM65" s="316">
        <f t="shared" si="40"/>
        <v>0</v>
      </c>
      <c r="CN65" s="73"/>
      <c r="CO65" s="324">
        <f t="shared" si="56"/>
        <v>0</v>
      </c>
      <c r="CP65" s="316"/>
      <c r="CQ65" s="324">
        <f t="shared" si="57"/>
        <v>0</v>
      </c>
      <c r="CR65" s="63">
        <f>Subrates!$C$109</f>
        <v>0.66402036681578014</v>
      </c>
      <c r="CS65" s="347">
        <f t="shared" si="58"/>
        <v>0</v>
      </c>
      <c r="CT65" s="319">
        <f t="shared" si="59"/>
        <v>0.15</v>
      </c>
      <c r="CU65" s="73"/>
      <c r="CV65" s="318"/>
      <c r="CW65" s="319">
        <f t="shared" si="60"/>
        <v>0</v>
      </c>
      <c r="CX65" s="37" t="s">
        <v>125</v>
      </c>
      <c r="CY65" s="383" t="s">
        <v>348</v>
      </c>
      <c r="CZ65" s="63">
        <f t="shared" si="41"/>
        <v>4.8064250364478198</v>
      </c>
      <c r="DA65" s="157">
        <f t="shared" si="61"/>
        <v>0</v>
      </c>
      <c r="DB65" s="149" t="s">
        <v>2026</v>
      </c>
      <c r="DC65" s="48" t="s">
        <v>485</v>
      </c>
      <c r="DD65" s="63">
        <f>IF(DB65=Local,0,VLOOKUP(DC65,Long_distance_values_subs,Subrates!$C$5,FALSE))</f>
        <v>0</v>
      </c>
      <c r="DE65" s="63">
        <f>IF(DB65=Local,0,Subrates!$D$122)</f>
        <v>0</v>
      </c>
      <c r="DF65" s="1140"/>
      <c r="DG65" s="158">
        <f>IF(DF65="",CW65*VLOOKUP(DC65,Long_distance_values_subs,Subrates!$H$5,FALSE)*DD65+CW65*DE65,CW65*DF65)</f>
        <v>0</v>
      </c>
      <c r="DH65" s="351">
        <f t="shared" si="42"/>
        <v>0</v>
      </c>
      <c r="DI65" s="318"/>
      <c r="DJ65" s="195" t="s">
        <v>48</v>
      </c>
      <c r="DK65" s="1096" t="str">
        <f>IF(DJ65=Lists!$B$18,"N/A",VLOOKUP(DJ65,Lists!$B$18:$D$26,Lists!$C$3,FALSE))</f>
        <v>N/A</v>
      </c>
      <c r="DL65" s="63">
        <f>IF(DJ65=Lists!$B$18,0,VLOOKUP(DK65,Amend_TOV,TOV!$F$1,FALSE))</f>
        <v>0</v>
      </c>
      <c r="DM65" s="117"/>
      <c r="DN65" s="318"/>
      <c r="DO65" s="195" t="s">
        <v>48</v>
      </c>
      <c r="DP65" s="1096" t="str">
        <f>IF(DO65=Lists!$B$18,"N/A",VLOOKUP(DO65,Lists!$B$18:$D$26,Lists!$C$3,FALSE))</f>
        <v>N/A</v>
      </c>
      <c r="DQ65" s="41">
        <f>IF(DO65=Lists!$B$18,0,VLOOKUP(DP65,Amend_TOV,TOV!$F$1,FALSE))</f>
        <v>0</v>
      </c>
      <c r="DR65" s="117"/>
      <c r="DS65" s="318"/>
      <c r="DT65" s="195" t="s">
        <v>48</v>
      </c>
      <c r="DU65" s="1096" t="str">
        <f>IF(DT65=Lists!$B$18,"N/A",VLOOKUP(DT65,Lists!$B$18:$D$26,Lists!$C$3,FALSE))</f>
        <v>N/A</v>
      </c>
      <c r="DV65" s="41">
        <f>IF(DT65=Lists!$B$18,0,VLOOKUP(DU65,Amend_TOV,TOV!$F$1,FALSE))</f>
        <v>0</v>
      </c>
      <c r="DW65" s="117"/>
      <c r="DX65" s="351">
        <f t="shared" si="43"/>
        <v>0</v>
      </c>
      <c r="DY65" s="316">
        <f t="shared" si="44"/>
        <v>0</v>
      </c>
      <c r="DZ65" s="66">
        <v>1</v>
      </c>
      <c r="EA65" s="66"/>
      <c r="EB65" s="67">
        <f t="shared" si="45"/>
        <v>0</v>
      </c>
      <c r="EC65" s="16" t="str">
        <f t="shared" si="62"/>
        <v>No Alert</v>
      </c>
      <c r="ED65" s="351">
        <f t="shared" si="63"/>
        <v>0</v>
      </c>
      <c r="EE65" s="351">
        <f t="shared" si="64"/>
        <v>0</v>
      </c>
      <c r="EF65" s="1154">
        <f t="shared" si="46"/>
        <v>0</v>
      </c>
      <c r="EG65" s="1154"/>
      <c r="EH65" s="351">
        <f t="shared" si="65"/>
        <v>0</v>
      </c>
      <c r="EI65" s="63">
        <f t="shared" si="47"/>
        <v>2850</v>
      </c>
      <c r="EJ65" s="117"/>
      <c r="EK65" s="351">
        <f t="shared" si="48"/>
        <v>0</v>
      </c>
      <c r="EL65" s="159"/>
      <c r="EM65" s="106">
        <f t="shared" si="66"/>
        <v>0</v>
      </c>
      <c r="EN65" s="1097">
        <f t="shared" si="49"/>
        <v>0</v>
      </c>
      <c r="EO65" s="803">
        <f t="shared" si="50"/>
        <v>0</v>
      </c>
      <c r="EP65" s="215"/>
      <c r="EQ65" s="217"/>
      <c r="ER65" s="217"/>
      <c r="ES65" s="217"/>
      <c r="ET65" s="217"/>
      <c r="EU65" s="217"/>
      <c r="EV65" s="217"/>
      <c r="EW65" s="218"/>
    </row>
    <row r="66" spans="1:153" s="520" customFormat="1" ht="15">
      <c r="B66" s="310"/>
      <c r="C66" s="989">
        <f t="shared" si="51"/>
        <v>15</v>
      </c>
      <c r="D66" s="168"/>
      <c r="E66" s="316"/>
      <c r="F66" s="255" t="s">
        <v>1879</v>
      </c>
      <c r="G66" s="316">
        <f t="shared" si="3"/>
        <v>0</v>
      </c>
      <c r="H66" s="77"/>
      <c r="I66" s="316"/>
      <c r="J66" s="77"/>
      <c r="K66" s="316"/>
      <c r="L66" s="37" t="s">
        <v>428</v>
      </c>
      <c r="M66" s="318"/>
      <c r="N66" s="319">
        <f t="shared" si="4"/>
        <v>0</v>
      </c>
      <c r="O66" s="318"/>
      <c r="P66" s="319">
        <f t="shared" si="5"/>
        <v>0</v>
      </c>
      <c r="Q66" s="37" t="s">
        <v>411</v>
      </c>
      <c r="R66" s="37" t="s">
        <v>3</v>
      </c>
      <c r="S66" s="150">
        <f t="shared" si="6"/>
        <v>1.9221853757639424</v>
      </c>
      <c r="T66" s="156">
        <f t="shared" si="7"/>
        <v>8904.769113128099</v>
      </c>
      <c r="U66" s="347">
        <f t="shared" si="8"/>
        <v>0</v>
      </c>
      <c r="V66" s="347">
        <f t="shared" si="9"/>
        <v>0</v>
      </c>
      <c r="W66" s="139">
        <f t="shared" si="10"/>
        <v>1</v>
      </c>
      <c r="X66" s="136"/>
      <c r="Y66" s="139">
        <f t="shared" si="52"/>
        <v>1</v>
      </c>
      <c r="Z66" s="318"/>
      <c r="AA66" s="319">
        <f t="shared" si="11"/>
        <v>0</v>
      </c>
      <c r="AB66" s="37" t="s">
        <v>125</v>
      </c>
      <c r="AC66" s="37" t="s">
        <v>349</v>
      </c>
      <c r="AD66" s="63">
        <f t="shared" si="12"/>
        <v>6.2664411871606829</v>
      </c>
      <c r="AE66" s="347">
        <f t="shared" si="13"/>
        <v>0</v>
      </c>
      <c r="AF66" s="316">
        <f t="shared" si="14"/>
        <v>0</v>
      </c>
      <c r="AG66" s="828">
        <f t="shared" si="15"/>
        <v>0.6</v>
      </c>
      <c r="AH66" s="136"/>
      <c r="AI66" s="139">
        <f t="shared" si="16"/>
        <v>0.6</v>
      </c>
      <c r="AJ66" s="318"/>
      <c r="AK66" s="319">
        <f t="shared" si="17"/>
        <v>0</v>
      </c>
      <c r="AL66" s="63">
        <f>Subrates!$C$97</f>
        <v>4.7138306819209967</v>
      </c>
      <c r="AM66" s="401">
        <f t="shared" si="18"/>
        <v>0</v>
      </c>
      <c r="AN66" s="37" t="s">
        <v>125</v>
      </c>
      <c r="AO66" s="37" t="s">
        <v>349</v>
      </c>
      <c r="AP66" s="63">
        <f t="shared" si="19"/>
        <v>6.2664411871606829</v>
      </c>
      <c r="AQ66" s="401">
        <f t="shared" si="20"/>
        <v>0</v>
      </c>
      <c r="AR66" s="37" t="s">
        <v>411</v>
      </c>
      <c r="AS66" s="47" t="s">
        <v>3</v>
      </c>
      <c r="AT66" s="150">
        <f t="shared" si="21"/>
        <v>1.9221853757639424</v>
      </c>
      <c r="AU66" s="401">
        <f t="shared" si="22"/>
        <v>0</v>
      </c>
      <c r="AV66" s="347">
        <f t="shared" si="53"/>
        <v>0</v>
      </c>
      <c r="AW66" s="316">
        <f t="shared" si="23"/>
        <v>0</v>
      </c>
      <c r="AX66" s="828">
        <f t="shared" si="24"/>
        <v>0.5</v>
      </c>
      <c r="AY66" s="136"/>
      <c r="AZ66" s="139">
        <f t="shared" si="25"/>
        <v>0.5</v>
      </c>
      <c r="BA66" s="318"/>
      <c r="BB66" s="319">
        <f t="shared" si="26"/>
        <v>0</v>
      </c>
      <c r="BC66" s="63">
        <f>IF(BE66=Local,Subrates!$C$98,Subrates!$C$99)</f>
        <v>8.0873484007548591</v>
      </c>
      <c r="BD66" s="401">
        <f t="shared" si="27"/>
        <v>0</v>
      </c>
      <c r="BE66" s="149" t="s">
        <v>2026</v>
      </c>
      <c r="BF66" s="48" t="s">
        <v>485</v>
      </c>
      <c r="BG66" s="63">
        <f>IF(BE66=Local,0,VLOOKUP(BF66,Long_distance_values_subs,Subrates!$C$5,FALSE))</f>
        <v>0</v>
      </c>
      <c r="BH66" s="63">
        <f>IF(BE66=Local,0,Subrates!$D$121)</f>
        <v>0</v>
      </c>
      <c r="BI66" s="1140"/>
      <c r="BJ66" s="401">
        <f t="shared" si="54"/>
        <v>0</v>
      </c>
      <c r="BK66" s="351">
        <f t="shared" si="28"/>
        <v>0</v>
      </c>
      <c r="BL66" s="316">
        <f t="shared" si="29"/>
        <v>0</v>
      </c>
      <c r="BM66" s="828">
        <f t="shared" si="30"/>
        <v>1.5</v>
      </c>
      <c r="BN66" s="136"/>
      <c r="BO66" s="139">
        <f t="shared" si="31"/>
        <v>1.5</v>
      </c>
      <c r="BP66" s="318"/>
      <c r="BQ66" s="319">
        <f t="shared" si="32"/>
        <v>0</v>
      </c>
      <c r="BR66" s="37" t="s">
        <v>125</v>
      </c>
      <c r="BS66" s="37" t="s">
        <v>349</v>
      </c>
      <c r="BT66" s="63">
        <f t="shared" si="33"/>
        <v>6.2664411871606829</v>
      </c>
      <c r="BU66" s="408">
        <f t="shared" si="34"/>
        <v>0</v>
      </c>
      <c r="BV66" s="37" t="s">
        <v>411</v>
      </c>
      <c r="BW66" s="37" t="s">
        <v>3</v>
      </c>
      <c r="BX66" s="150">
        <f t="shared" si="35"/>
        <v>1.9221853757639424</v>
      </c>
      <c r="BY66" s="157">
        <f t="shared" si="36"/>
        <v>0</v>
      </c>
      <c r="BZ66" s="347">
        <f t="shared" si="37"/>
        <v>0</v>
      </c>
      <c r="CA66" s="318"/>
      <c r="CB66" s="63">
        <f>Subrates!$C$94</f>
        <v>2.2000000000000002</v>
      </c>
      <c r="CC66" s="318"/>
      <c r="CD66" s="63">
        <f>Subrates!$C$95</f>
        <v>13.200000000000001</v>
      </c>
      <c r="CE66" s="318"/>
      <c r="CF66" s="63">
        <f>Subrates!$C$96</f>
        <v>14.3</v>
      </c>
      <c r="CG66" s="351">
        <f t="shared" si="38"/>
        <v>0</v>
      </c>
      <c r="CH66" s="316"/>
      <c r="CI66" s="406">
        <f>Subrates!$C$106</f>
        <v>21234.52910306484</v>
      </c>
      <c r="CJ66" s="351">
        <f t="shared" si="55"/>
        <v>0</v>
      </c>
      <c r="CK66" s="63">
        <f>Subrates!$C$105</f>
        <v>2885.2856380177936</v>
      </c>
      <c r="CL66" s="407">
        <f t="shared" si="39"/>
        <v>0</v>
      </c>
      <c r="CM66" s="316">
        <f t="shared" si="40"/>
        <v>0</v>
      </c>
      <c r="CN66" s="73"/>
      <c r="CO66" s="324">
        <f t="shared" si="56"/>
        <v>0</v>
      </c>
      <c r="CP66" s="316"/>
      <c r="CQ66" s="324">
        <f t="shared" si="57"/>
        <v>0</v>
      </c>
      <c r="CR66" s="63">
        <f>Subrates!$C$109</f>
        <v>0.66402036681578014</v>
      </c>
      <c r="CS66" s="347">
        <f t="shared" si="58"/>
        <v>0</v>
      </c>
      <c r="CT66" s="319">
        <f t="shared" si="59"/>
        <v>0.15</v>
      </c>
      <c r="CU66" s="73"/>
      <c r="CV66" s="318"/>
      <c r="CW66" s="319">
        <f t="shared" si="60"/>
        <v>0</v>
      </c>
      <c r="CX66" s="37" t="s">
        <v>125</v>
      </c>
      <c r="CY66" s="383" t="s">
        <v>348</v>
      </c>
      <c r="CZ66" s="63">
        <f t="shared" si="41"/>
        <v>4.8064250364478198</v>
      </c>
      <c r="DA66" s="157">
        <f t="shared" si="61"/>
        <v>0</v>
      </c>
      <c r="DB66" s="149" t="s">
        <v>2026</v>
      </c>
      <c r="DC66" s="48" t="s">
        <v>485</v>
      </c>
      <c r="DD66" s="63">
        <f>IF(DB66=Local,0,VLOOKUP(DC66,Long_distance_values_subs,Subrates!$C$5,FALSE))</f>
        <v>0</v>
      </c>
      <c r="DE66" s="63">
        <f>IF(DB66=Local,0,Subrates!$D$122)</f>
        <v>0</v>
      </c>
      <c r="DF66" s="1140"/>
      <c r="DG66" s="158">
        <f>IF(DF66="",CW66*VLOOKUP(DC66,Long_distance_values_subs,Subrates!$H$5,FALSE)*DD66+CW66*DE66,CW66*DF66)</f>
        <v>0</v>
      </c>
      <c r="DH66" s="351">
        <f t="shared" si="42"/>
        <v>0</v>
      </c>
      <c r="DI66" s="318"/>
      <c r="DJ66" s="195" t="s">
        <v>48</v>
      </c>
      <c r="DK66" s="1096" t="str">
        <f>IF(DJ66=Lists!$B$18,"N/A",VLOOKUP(DJ66,Lists!$B$18:$D$26,Lists!$C$3,FALSE))</f>
        <v>N/A</v>
      </c>
      <c r="DL66" s="63">
        <f>IF(DJ66=Lists!$B$18,0,VLOOKUP(DK66,Amend_TOV,TOV!$F$1,FALSE))</f>
        <v>0</v>
      </c>
      <c r="DM66" s="117"/>
      <c r="DN66" s="318"/>
      <c r="DO66" s="195" t="s">
        <v>48</v>
      </c>
      <c r="DP66" s="1096" t="str">
        <f>IF(DO66=Lists!$B$18,"N/A",VLOOKUP(DO66,Lists!$B$18:$D$26,Lists!$C$3,FALSE))</f>
        <v>N/A</v>
      </c>
      <c r="DQ66" s="41">
        <f>IF(DO66=Lists!$B$18,0,VLOOKUP(DP66,Amend_TOV,TOV!$F$1,FALSE))</f>
        <v>0</v>
      </c>
      <c r="DR66" s="117"/>
      <c r="DS66" s="318"/>
      <c r="DT66" s="195" t="s">
        <v>48</v>
      </c>
      <c r="DU66" s="1096" t="str">
        <f>IF(DT66=Lists!$B$18,"N/A",VLOOKUP(DT66,Lists!$B$18:$D$26,Lists!$C$3,FALSE))</f>
        <v>N/A</v>
      </c>
      <c r="DV66" s="41">
        <f>IF(DT66=Lists!$B$18,0,VLOOKUP(DU66,Amend_TOV,TOV!$F$1,FALSE))</f>
        <v>0</v>
      </c>
      <c r="DW66" s="117"/>
      <c r="DX66" s="351">
        <f t="shared" si="43"/>
        <v>0</v>
      </c>
      <c r="DY66" s="316">
        <f t="shared" si="44"/>
        <v>0</v>
      </c>
      <c r="DZ66" s="66">
        <v>1</v>
      </c>
      <c r="EA66" s="66"/>
      <c r="EB66" s="67">
        <f t="shared" si="45"/>
        <v>0</v>
      </c>
      <c r="EC66" s="16" t="str">
        <f t="shared" si="62"/>
        <v>No Alert</v>
      </c>
      <c r="ED66" s="351">
        <f t="shared" si="63"/>
        <v>0</v>
      </c>
      <c r="EE66" s="351">
        <f t="shared" si="64"/>
        <v>0</v>
      </c>
      <c r="EF66" s="1154">
        <f t="shared" si="46"/>
        <v>0</v>
      </c>
      <c r="EG66" s="1154"/>
      <c r="EH66" s="351">
        <f t="shared" si="65"/>
        <v>0</v>
      </c>
      <c r="EI66" s="63">
        <f t="shared" si="47"/>
        <v>2850</v>
      </c>
      <c r="EJ66" s="117"/>
      <c r="EK66" s="351">
        <f t="shared" si="48"/>
        <v>0</v>
      </c>
      <c r="EL66" s="159"/>
      <c r="EM66" s="106">
        <f t="shared" si="66"/>
        <v>0</v>
      </c>
      <c r="EN66" s="1097">
        <f t="shared" si="49"/>
        <v>0</v>
      </c>
      <c r="EO66" s="803">
        <f t="shared" si="50"/>
        <v>0</v>
      </c>
      <c r="EP66" s="215"/>
      <c r="EQ66" s="217"/>
      <c r="ER66" s="217"/>
      <c r="ES66" s="217"/>
      <c r="ET66" s="217"/>
      <c r="EU66" s="217"/>
      <c r="EV66" s="217"/>
      <c r="EW66" s="218"/>
    </row>
    <row r="67" spans="1:153" s="520" customFormat="1" ht="15">
      <c r="B67" s="310"/>
      <c r="C67" s="989">
        <f t="shared" si="51"/>
        <v>16</v>
      </c>
      <c r="D67" s="168"/>
      <c r="E67" s="316"/>
      <c r="F67" s="255" t="s">
        <v>1879</v>
      </c>
      <c r="G67" s="316">
        <f t="shared" si="3"/>
        <v>0</v>
      </c>
      <c r="H67" s="77"/>
      <c r="I67" s="316"/>
      <c r="J67" s="77"/>
      <c r="K67" s="316"/>
      <c r="L67" s="37" t="s">
        <v>428</v>
      </c>
      <c r="M67" s="318"/>
      <c r="N67" s="319">
        <f t="shared" si="4"/>
        <v>0</v>
      </c>
      <c r="O67" s="318"/>
      <c r="P67" s="319">
        <f t="shared" si="5"/>
        <v>0</v>
      </c>
      <c r="Q67" s="37" t="s">
        <v>411</v>
      </c>
      <c r="R67" s="37" t="s">
        <v>3</v>
      </c>
      <c r="S67" s="150">
        <f t="shared" si="6"/>
        <v>1.9221853757639424</v>
      </c>
      <c r="T67" s="156">
        <f t="shared" si="7"/>
        <v>8904.769113128099</v>
      </c>
      <c r="U67" s="347">
        <f t="shared" si="8"/>
        <v>0</v>
      </c>
      <c r="V67" s="347">
        <f t="shared" si="9"/>
        <v>0</v>
      </c>
      <c r="W67" s="139">
        <f t="shared" si="10"/>
        <v>1</v>
      </c>
      <c r="X67" s="136"/>
      <c r="Y67" s="139">
        <f t="shared" si="52"/>
        <v>1</v>
      </c>
      <c r="Z67" s="318"/>
      <c r="AA67" s="319">
        <f t="shared" si="11"/>
        <v>0</v>
      </c>
      <c r="AB67" s="37" t="s">
        <v>125</v>
      </c>
      <c r="AC67" s="37" t="s">
        <v>349</v>
      </c>
      <c r="AD67" s="63">
        <f t="shared" si="12"/>
        <v>6.2664411871606829</v>
      </c>
      <c r="AE67" s="347">
        <f t="shared" si="13"/>
        <v>0</v>
      </c>
      <c r="AF67" s="316">
        <f t="shared" si="14"/>
        <v>0</v>
      </c>
      <c r="AG67" s="828">
        <f t="shared" si="15"/>
        <v>0.6</v>
      </c>
      <c r="AH67" s="136"/>
      <c r="AI67" s="139">
        <f t="shared" si="16"/>
        <v>0.6</v>
      </c>
      <c r="AJ67" s="318"/>
      <c r="AK67" s="319">
        <f t="shared" si="17"/>
        <v>0</v>
      </c>
      <c r="AL67" s="63">
        <f>Subrates!$C$97</f>
        <v>4.7138306819209967</v>
      </c>
      <c r="AM67" s="401">
        <f t="shared" si="18"/>
        <v>0</v>
      </c>
      <c r="AN67" s="37" t="s">
        <v>125</v>
      </c>
      <c r="AO67" s="37" t="s">
        <v>349</v>
      </c>
      <c r="AP67" s="63">
        <f t="shared" si="19"/>
        <v>6.2664411871606829</v>
      </c>
      <c r="AQ67" s="401">
        <f t="shared" si="20"/>
        <v>0</v>
      </c>
      <c r="AR67" s="37" t="s">
        <v>411</v>
      </c>
      <c r="AS67" s="47" t="s">
        <v>3</v>
      </c>
      <c r="AT67" s="150">
        <f t="shared" si="21"/>
        <v>1.9221853757639424</v>
      </c>
      <c r="AU67" s="401">
        <f t="shared" si="22"/>
        <v>0</v>
      </c>
      <c r="AV67" s="347">
        <f t="shared" si="53"/>
        <v>0</v>
      </c>
      <c r="AW67" s="316">
        <f t="shared" si="23"/>
        <v>0</v>
      </c>
      <c r="AX67" s="828">
        <f t="shared" si="24"/>
        <v>0.5</v>
      </c>
      <c r="AY67" s="136"/>
      <c r="AZ67" s="139">
        <f t="shared" si="25"/>
        <v>0.5</v>
      </c>
      <c r="BA67" s="318"/>
      <c r="BB67" s="319">
        <f t="shared" si="26"/>
        <v>0</v>
      </c>
      <c r="BC67" s="63">
        <f>IF(BE67=Local,Subrates!$C$98,Subrates!$C$99)</f>
        <v>8.0873484007548591</v>
      </c>
      <c r="BD67" s="401">
        <f t="shared" si="27"/>
        <v>0</v>
      </c>
      <c r="BE67" s="149" t="s">
        <v>2026</v>
      </c>
      <c r="BF67" s="48" t="s">
        <v>485</v>
      </c>
      <c r="BG67" s="63">
        <f>IF(BE67=Local,0,VLOOKUP(BF67,Long_distance_values_subs,Subrates!$C$5,FALSE))</f>
        <v>0</v>
      </c>
      <c r="BH67" s="63">
        <f>IF(BE67=Local,0,Subrates!$D$121)</f>
        <v>0</v>
      </c>
      <c r="BI67" s="1140"/>
      <c r="BJ67" s="401">
        <f t="shared" si="54"/>
        <v>0</v>
      </c>
      <c r="BK67" s="351">
        <f t="shared" si="28"/>
        <v>0</v>
      </c>
      <c r="BL67" s="316">
        <f t="shared" si="29"/>
        <v>0</v>
      </c>
      <c r="BM67" s="828">
        <f t="shared" si="30"/>
        <v>1.5</v>
      </c>
      <c r="BN67" s="136"/>
      <c r="BO67" s="139">
        <f t="shared" si="31"/>
        <v>1.5</v>
      </c>
      <c r="BP67" s="318"/>
      <c r="BQ67" s="319">
        <f t="shared" si="32"/>
        <v>0</v>
      </c>
      <c r="BR67" s="37" t="s">
        <v>125</v>
      </c>
      <c r="BS67" s="37" t="s">
        <v>349</v>
      </c>
      <c r="BT67" s="63">
        <f t="shared" si="33"/>
        <v>6.2664411871606829</v>
      </c>
      <c r="BU67" s="408">
        <f t="shared" si="34"/>
        <v>0</v>
      </c>
      <c r="BV67" s="37" t="s">
        <v>411</v>
      </c>
      <c r="BW67" s="37" t="s">
        <v>3</v>
      </c>
      <c r="BX67" s="150">
        <f t="shared" si="35"/>
        <v>1.9221853757639424</v>
      </c>
      <c r="BY67" s="157">
        <f t="shared" si="36"/>
        <v>0</v>
      </c>
      <c r="BZ67" s="347">
        <f t="shared" si="37"/>
        <v>0</v>
      </c>
      <c r="CA67" s="318"/>
      <c r="CB67" s="63">
        <f>Subrates!$C$94</f>
        <v>2.2000000000000002</v>
      </c>
      <c r="CC67" s="318"/>
      <c r="CD67" s="63">
        <f>Subrates!$C$95</f>
        <v>13.200000000000001</v>
      </c>
      <c r="CE67" s="318"/>
      <c r="CF67" s="63">
        <f>Subrates!$C$96</f>
        <v>14.3</v>
      </c>
      <c r="CG67" s="351">
        <f t="shared" si="38"/>
        <v>0</v>
      </c>
      <c r="CH67" s="316"/>
      <c r="CI67" s="406">
        <f>Subrates!$C$106</f>
        <v>21234.52910306484</v>
      </c>
      <c r="CJ67" s="351">
        <f t="shared" si="55"/>
        <v>0</v>
      </c>
      <c r="CK67" s="63">
        <f>Subrates!$C$105</f>
        <v>2885.2856380177936</v>
      </c>
      <c r="CL67" s="407">
        <f t="shared" si="39"/>
        <v>0</v>
      </c>
      <c r="CM67" s="316">
        <f t="shared" si="40"/>
        <v>0</v>
      </c>
      <c r="CN67" s="73"/>
      <c r="CO67" s="324">
        <f t="shared" si="56"/>
        <v>0</v>
      </c>
      <c r="CP67" s="316"/>
      <c r="CQ67" s="324">
        <f t="shared" si="57"/>
        <v>0</v>
      </c>
      <c r="CR67" s="63">
        <f>Subrates!$C$109</f>
        <v>0.66402036681578014</v>
      </c>
      <c r="CS67" s="347">
        <f t="shared" si="58"/>
        <v>0</v>
      </c>
      <c r="CT67" s="319">
        <f t="shared" si="59"/>
        <v>0.15</v>
      </c>
      <c r="CU67" s="73"/>
      <c r="CV67" s="318"/>
      <c r="CW67" s="319">
        <f t="shared" si="60"/>
        <v>0</v>
      </c>
      <c r="CX67" s="37" t="s">
        <v>125</v>
      </c>
      <c r="CY67" s="383" t="s">
        <v>348</v>
      </c>
      <c r="CZ67" s="63">
        <f t="shared" si="41"/>
        <v>4.8064250364478198</v>
      </c>
      <c r="DA67" s="157">
        <f t="shared" si="61"/>
        <v>0</v>
      </c>
      <c r="DB67" s="149" t="s">
        <v>2026</v>
      </c>
      <c r="DC67" s="48" t="s">
        <v>485</v>
      </c>
      <c r="DD67" s="63">
        <f>IF(DB67=Local,0,VLOOKUP(DC67,Long_distance_values_subs,Subrates!$C$5,FALSE))</f>
        <v>0</v>
      </c>
      <c r="DE67" s="63">
        <f>IF(DB67=Local,0,Subrates!$D$122)</f>
        <v>0</v>
      </c>
      <c r="DF67" s="1140"/>
      <c r="DG67" s="158">
        <f>IF(DF67="",CW67*VLOOKUP(DC67,Long_distance_values_subs,Subrates!$H$5,FALSE)*DD67+CW67*DE67,CW67*DF67)</f>
        <v>0</v>
      </c>
      <c r="DH67" s="351">
        <f t="shared" si="42"/>
        <v>0</v>
      </c>
      <c r="DI67" s="318"/>
      <c r="DJ67" s="195" t="s">
        <v>48</v>
      </c>
      <c r="DK67" s="1096" t="str">
        <f>IF(DJ67=Lists!$B$18,"N/A",VLOOKUP(DJ67,Lists!$B$18:$D$26,Lists!$C$3,FALSE))</f>
        <v>N/A</v>
      </c>
      <c r="DL67" s="63">
        <f>IF(DJ67=Lists!$B$18,0,VLOOKUP(DK67,Amend_TOV,TOV!$F$1,FALSE))</f>
        <v>0</v>
      </c>
      <c r="DM67" s="117"/>
      <c r="DN67" s="318"/>
      <c r="DO67" s="195" t="s">
        <v>48</v>
      </c>
      <c r="DP67" s="1096" t="str">
        <f>IF(DO67=Lists!$B$18,"N/A",VLOOKUP(DO67,Lists!$B$18:$D$26,Lists!$C$3,FALSE))</f>
        <v>N/A</v>
      </c>
      <c r="DQ67" s="41">
        <f>IF(DO67=Lists!$B$18,0,VLOOKUP(DP67,Amend_TOV,TOV!$F$1,FALSE))</f>
        <v>0</v>
      </c>
      <c r="DR67" s="117"/>
      <c r="DS67" s="318"/>
      <c r="DT67" s="195" t="s">
        <v>48</v>
      </c>
      <c r="DU67" s="1096" t="str">
        <f>IF(DT67=Lists!$B$18,"N/A",VLOOKUP(DT67,Lists!$B$18:$D$26,Lists!$C$3,FALSE))</f>
        <v>N/A</v>
      </c>
      <c r="DV67" s="41">
        <f>IF(DT67=Lists!$B$18,0,VLOOKUP(DU67,Amend_TOV,TOV!$F$1,FALSE))</f>
        <v>0</v>
      </c>
      <c r="DW67" s="117"/>
      <c r="DX67" s="351">
        <f t="shared" si="43"/>
        <v>0</v>
      </c>
      <c r="DY67" s="316">
        <f t="shared" si="44"/>
        <v>0</v>
      </c>
      <c r="DZ67" s="66">
        <v>1</v>
      </c>
      <c r="EA67" s="66"/>
      <c r="EB67" s="67">
        <f t="shared" si="45"/>
        <v>0</v>
      </c>
      <c r="EC67" s="16" t="str">
        <f t="shared" si="62"/>
        <v>No Alert</v>
      </c>
      <c r="ED67" s="351">
        <f t="shared" si="63"/>
        <v>0</v>
      </c>
      <c r="EE67" s="351">
        <f t="shared" si="64"/>
        <v>0</v>
      </c>
      <c r="EF67" s="1154">
        <f t="shared" si="46"/>
        <v>0</v>
      </c>
      <c r="EG67" s="1154"/>
      <c r="EH67" s="351">
        <f t="shared" si="65"/>
        <v>0</v>
      </c>
      <c r="EI67" s="63">
        <f t="shared" si="47"/>
        <v>2850</v>
      </c>
      <c r="EJ67" s="117"/>
      <c r="EK67" s="351">
        <f t="shared" si="48"/>
        <v>0</v>
      </c>
      <c r="EL67" s="159"/>
      <c r="EM67" s="106">
        <f t="shared" si="66"/>
        <v>0</v>
      </c>
      <c r="EN67" s="1097">
        <f t="shared" si="49"/>
        <v>0</v>
      </c>
      <c r="EO67" s="803">
        <f t="shared" si="50"/>
        <v>0</v>
      </c>
      <c r="EP67" s="215"/>
      <c r="EQ67" s="217"/>
      <c r="ER67" s="217"/>
      <c r="ES67" s="217"/>
      <c r="ET67" s="217"/>
      <c r="EU67" s="217"/>
      <c r="EV67" s="217"/>
      <c r="EW67" s="218"/>
    </row>
    <row r="68" spans="1:153" s="520" customFormat="1" ht="15">
      <c r="B68" s="310"/>
      <c r="C68" s="989">
        <f t="shared" si="51"/>
        <v>17</v>
      </c>
      <c r="D68" s="168"/>
      <c r="E68" s="316"/>
      <c r="F68" s="255" t="s">
        <v>1879</v>
      </c>
      <c r="G68" s="316">
        <f t="shared" si="3"/>
        <v>0</v>
      </c>
      <c r="H68" s="77"/>
      <c r="I68" s="316"/>
      <c r="J68" s="77"/>
      <c r="K68" s="316"/>
      <c r="L68" s="37" t="s">
        <v>428</v>
      </c>
      <c r="M68" s="318"/>
      <c r="N68" s="319">
        <f t="shared" si="4"/>
        <v>0</v>
      </c>
      <c r="O68" s="318"/>
      <c r="P68" s="319">
        <f t="shared" si="5"/>
        <v>0</v>
      </c>
      <c r="Q68" s="37" t="s">
        <v>411</v>
      </c>
      <c r="R68" s="37" t="s">
        <v>3</v>
      </c>
      <c r="S68" s="150">
        <f t="shared" si="6"/>
        <v>1.9221853757639424</v>
      </c>
      <c r="T68" s="156">
        <f t="shared" si="7"/>
        <v>8904.769113128099</v>
      </c>
      <c r="U68" s="347">
        <f t="shared" si="8"/>
        <v>0</v>
      </c>
      <c r="V68" s="347">
        <f t="shared" si="9"/>
        <v>0</v>
      </c>
      <c r="W68" s="139">
        <f t="shared" si="10"/>
        <v>1</v>
      </c>
      <c r="X68" s="136"/>
      <c r="Y68" s="139">
        <f t="shared" si="52"/>
        <v>1</v>
      </c>
      <c r="Z68" s="318"/>
      <c r="AA68" s="319">
        <f t="shared" si="11"/>
        <v>0</v>
      </c>
      <c r="AB68" s="37" t="s">
        <v>125</v>
      </c>
      <c r="AC68" s="37" t="s">
        <v>349</v>
      </c>
      <c r="AD68" s="63">
        <f t="shared" si="12"/>
        <v>6.2664411871606829</v>
      </c>
      <c r="AE68" s="347">
        <f t="shared" si="13"/>
        <v>0</v>
      </c>
      <c r="AF68" s="316">
        <f t="shared" si="14"/>
        <v>0</v>
      </c>
      <c r="AG68" s="828">
        <f t="shared" si="15"/>
        <v>0.6</v>
      </c>
      <c r="AH68" s="136"/>
      <c r="AI68" s="139">
        <f t="shared" si="16"/>
        <v>0.6</v>
      </c>
      <c r="AJ68" s="318"/>
      <c r="AK68" s="319">
        <f t="shared" si="17"/>
        <v>0</v>
      </c>
      <c r="AL68" s="63">
        <f>Subrates!$C$97</f>
        <v>4.7138306819209967</v>
      </c>
      <c r="AM68" s="401">
        <f t="shared" si="18"/>
        <v>0</v>
      </c>
      <c r="AN68" s="37" t="s">
        <v>125</v>
      </c>
      <c r="AO68" s="37" t="s">
        <v>349</v>
      </c>
      <c r="AP68" s="63">
        <f t="shared" si="19"/>
        <v>6.2664411871606829</v>
      </c>
      <c r="AQ68" s="401">
        <f t="shared" si="20"/>
        <v>0</v>
      </c>
      <c r="AR68" s="37" t="s">
        <v>411</v>
      </c>
      <c r="AS68" s="47" t="s">
        <v>3</v>
      </c>
      <c r="AT68" s="150">
        <f t="shared" si="21"/>
        <v>1.9221853757639424</v>
      </c>
      <c r="AU68" s="401">
        <f t="shared" si="22"/>
        <v>0</v>
      </c>
      <c r="AV68" s="347">
        <f t="shared" si="53"/>
        <v>0</v>
      </c>
      <c r="AW68" s="316">
        <f t="shared" si="23"/>
        <v>0</v>
      </c>
      <c r="AX68" s="828">
        <f t="shared" si="24"/>
        <v>0.5</v>
      </c>
      <c r="AY68" s="136"/>
      <c r="AZ68" s="139">
        <f t="shared" si="25"/>
        <v>0.5</v>
      </c>
      <c r="BA68" s="318"/>
      <c r="BB68" s="319">
        <f t="shared" si="26"/>
        <v>0</v>
      </c>
      <c r="BC68" s="63">
        <f>IF(BE68=Local,Subrates!$C$98,Subrates!$C$99)</f>
        <v>8.0873484007548591</v>
      </c>
      <c r="BD68" s="401">
        <f t="shared" si="27"/>
        <v>0</v>
      </c>
      <c r="BE68" s="149" t="s">
        <v>2026</v>
      </c>
      <c r="BF68" s="48" t="s">
        <v>485</v>
      </c>
      <c r="BG68" s="63">
        <f>IF(BE68=Local,0,VLOOKUP(BF68,Long_distance_values_subs,Subrates!$C$5,FALSE))</f>
        <v>0</v>
      </c>
      <c r="BH68" s="63">
        <f>IF(BE68=Local,0,Subrates!$D$121)</f>
        <v>0</v>
      </c>
      <c r="BI68" s="1140"/>
      <c r="BJ68" s="401">
        <f t="shared" si="54"/>
        <v>0</v>
      </c>
      <c r="BK68" s="351">
        <f t="shared" si="28"/>
        <v>0</v>
      </c>
      <c r="BL68" s="316">
        <f t="shared" si="29"/>
        <v>0</v>
      </c>
      <c r="BM68" s="828">
        <f t="shared" si="30"/>
        <v>1.5</v>
      </c>
      <c r="BN68" s="136"/>
      <c r="BO68" s="139">
        <f t="shared" si="31"/>
        <v>1.5</v>
      </c>
      <c r="BP68" s="318"/>
      <c r="BQ68" s="319">
        <f t="shared" si="32"/>
        <v>0</v>
      </c>
      <c r="BR68" s="37" t="s">
        <v>125</v>
      </c>
      <c r="BS68" s="37" t="s">
        <v>349</v>
      </c>
      <c r="BT68" s="63">
        <f t="shared" si="33"/>
        <v>6.2664411871606829</v>
      </c>
      <c r="BU68" s="408">
        <f t="shared" si="34"/>
        <v>0</v>
      </c>
      <c r="BV68" s="37" t="s">
        <v>411</v>
      </c>
      <c r="BW68" s="37" t="s">
        <v>3</v>
      </c>
      <c r="BX68" s="150">
        <f t="shared" si="35"/>
        <v>1.9221853757639424</v>
      </c>
      <c r="BY68" s="157">
        <f t="shared" si="36"/>
        <v>0</v>
      </c>
      <c r="BZ68" s="347">
        <f t="shared" si="37"/>
        <v>0</v>
      </c>
      <c r="CA68" s="318"/>
      <c r="CB68" s="63">
        <f>Subrates!$C$94</f>
        <v>2.2000000000000002</v>
      </c>
      <c r="CC68" s="318"/>
      <c r="CD68" s="63">
        <f>Subrates!$C$95</f>
        <v>13.200000000000001</v>
      </c>
      <c r="CE68" s="318"/>
      <c r="CF68" s="63">
        <f>Subrates!$C$96</f>
        <v>14.3</v>
      </c>
      <c r="CG68" s="351">
        <f t="shared" si="38"/>
        <v>0</v>
      </c>
      <c r="CH68" s="316"/>
      <c r="CI68" s="63">
        <f>Subrates!$C$106</f>
        <v>21234.52910306484</v>
      </c>
      <c r="CJ68" s="351">
        <f t="shared" si="55"/>
        <v>0</v>
      </c>
      <c r="CK68" s="63">
        <f>Subrates!$C$105</f>
        <v>2885.2856380177936</v>
      </c>
      <c r="CL68" s="407">
        <f t="shared" si="39"/>
        <v>0</v>
      </c>
      <c r="CM68" s="316">
        <f t="shared" si="40"/>
        <v>0</v>
      </c>
      <c r="CN68" s="73"/>
      <c r="CO68" s="324">
        <f t="shared" si="56"/>
        <v>0</v>
      </c>
      <c r="CP68" s="316"/>
      <c r="CQ68" s="324">
        <f t="shared" si="57"/>
        <v>0</v>
      </c>
      <c r="CR68" s="63">
        <f>Subrates!$C$109</f>
        <v>0.66402036681578014</v>
      </c>
      <c r="CS68" s="347">
        <f t="shared" si="58"/>
        <v>0</v>
      </c>
      <c r="CT68" s="319">
        <f t="shared" si="59"/>
        <v>0.15</v>
      </c>
      <c r="CU68" s="73"/>
      <c r="CV68" s="318"/>
      <c r="CW68" s="319">
        <f t="shared" si="60"/>
        <v>0</v>
      </c>
      <c r="CX68" s="37" t="s">
        <v>125</v>
      </c>
      <c r="CY68" s="383" t="s">
        <v>348</v>
      </c>
      <c r="CZ68" s="63">
        <f t="shared" si="41"/>
        <v>4.8064250364478198</v>
      </c>
      <c r="DA68" s="157">
        <f t="shared" si="61"/>
        <v>0</v>
      </c>
      <c r="DB68" s="149" t="s">
        <v>2026</v>
      </c>
      <c r="DC68" s="48" t="s">
        <v>485</v>
      </c>
      <c r="DD68" s="63">
        <f>IF(DB68=Local,0,VLOOKUP(DC68,Long_distance_values_subs,Subrates!$C$5,FALSE))</f>
        <v>0</v>
      </c>
      <c r="DE68" s="63">
        <f>IF(DB68=Local,0,Subrates!$D$122)</f>
        <v>0</v>
      </c>
      <c r="DF68" s="1140"/>
      <c r="DG68" s="158">
        <f>IF(DF68="",CW68*VLOOKUP(DC68,Long_distance_values_subs,Subrates!$H$5,FALSE)*DD68+CW68*DE68,CW68*DF68)</f>
        <v>0</v>
      </c>
      <c r="DH68" s="351">
        <f t="shared" si="42"/>
        <v>0</v>
      </c>
      <c r="DI68" s="318"/>
      <c r="DJ68" s="195" t="s">
        <v>48</v>
      </c>
      <c r="DK68" s="1096" t="str">
        <f>IF(DJ68=Lists!$B$18,"N/A",VLOOKUP(DJ68,Lists!$B$18:$D$26,Lists!$C$3,FALSE))</f>
        <v>N/A</v>
      </c>
      <c r="DL68" s="63">
        <f>IF(DJ68=Lists!$B$18,0,VLOOKUP(DK68,Amend_TOV,TOV!$F$1,FALSE))</f>
        <v>0</v>
      </c>
      <c r="DM68" s="117"/>
      <c r="DN68" s="318"/>
      <c r="DO68" s="195" t="s">
        <v>48</v>
      </c>
      <c r="DP68" s="1096" t="str">
        <f>IF(DO68=Lists!$B$18,"N/A",VLOOKUP(DO68,Lists!$B$18:$D$26,Lists!$C$3,FALSE))</f>
        <v>N/A</v>
      </c>
      <c r="DQ68" s="41">
        <f>IF(DO68=Lists!$B$18,0,VLOOKUP(DP68,Amend_TOV,TOV!$F$1,FALSE))</f>
        <v>0</v>
      </c>
      <c r="DR68" s="117"/>
      <c r="DS68" s="318"/>
      <c r="DT68" s="195" t="s">
        <v>48</v>
      </c>
      <c r="DU68" s="1096" t="str">
        <f>IF(DT68=Lists!$B$18,"N/A",VLOOKUP(DT68,Lists!$B$18:$D$26,Lists!$C$3,FALSE))</f>
        <v>N/A</v>
      </c>
      <c r="DV68" s="41">
        <f>IF(DT68=Lists!$B$18,0,VLOOKUP(DU68,Amend_TOV,TOV!$F$1,FALSE))</f>
        <v>0</v>
      </c>
      <c r="DW68" s="117"/>
      <c r="DX68" s="351">
        <f t="shared" si="43"/>
        <v>0</v>
      </c>
      <c r="DY68" s="316">
        <f t="shared" si="44"/>
        <v>0</v>
      </c>
      <c r="DZ68" s="66">
        <v>1</v>
      </c>
      <c r="EA68" s="66"/>
      <c r="EB68" s="67">
        <f t="shared" si="45"/>
        <v>0</v>
      </c>
      <c r="EC68" s="16" t="str">
        <f t="shared" si="62"/>
        <v>No Alert</v>
      </c>
      <c r="ED68" s="351">
        <f t="shared" si="63"/>
        <v>0</v>
      </c>
      <c r="EE68" s="351">
        <f t="shared" si="64"/>
        <v>0</v>
      </c>
      <c r="EF68" s="1154">
        <f t="shared" si="46"/>
        <v>0</v>
      </c>
      <c r="EG68" s="1154"/>
      <c r="EH68" s="351">
        <f t="shared" si="65"/>
        <v>0</v>
      </c>
      <c r="EI68" s="63">
        <f t="shared" si="47"/>
        <v>2850</v>
      </c>
      <c r="EJ68" s="117"/>
      <c r="EK68" s="351">
        <f t="shared" si="48"/>
        <v>0</v>
      </c>
      <c r="EL68" s="159"/>
      <c r="EM68" s="106">
        <f t="shared" si="66"/>
        <v>0</v>
      </c>
      <c r="EN68" s="1097">
        <f t="shared" si="49"/>
        <v>0</v>
      </c>
      <c r="EO68" s="803">
        <f t="shared" si="50"/>
        <v>0</v>
      </c>
      <c r="EP68" s="215"/>
      <c r="EQ68" s="217"/>
      <c r="ER68" s="217"/>
      <c r="ES68" s="217"/>
      <c r="ET68" s="217"/>
      <c r="EU68" s="217"/>
      <c r="EV68" s="217"/>
      <c r="EW68" s="218"/>
    </row>
    <row r="69" spans="1:153" s="520" customFormat="1" ht="16.149999999999999" customHeight="1">
      <c r="B69" s="286" t="s">
        <v>26</v>
      </c>
      <c r="D69" s="736"/>
      <c r="E69" s="868"/>
      <c r="F69" s="873"/>
      <c r="G69" s="868"/>
      <c r="H69" s="898"/>
      <c r="I69" s="868"/>
      <c r="J69" s="898"/>
      <c r="K69" s="868"/>
      <c r="L69" s="736"/>
      <c r="M69" s="323"/>
      <c r="N69" s="323"/>
      <c r="O69" s="323"/>
      <c r="P69" s="323"/>
      <c r="Q69" s="1098"/>
      <c r="V69" s="23"/>
      <c r="W69" s="23"/>
      <c r="X69" s="131"/>
      <c r="Y69" s="131"/>
      <c r="Z69" s="323"/>
      <c r="AA69" s="323"/>
      <c r="AD69" s="768"/>
      <c r="AE69" s="23"/>
      <c r="AF69" s="323"/>
      <c r="AG69" s="131"/>
      <c r="AH69" s="131"/>
      <c r="AI69" s="131"/>
      <c r="AJ69" s="323"/>
      <c r="AK69" s="323"/>
      <c r="AM69" s="23"/>
      <c r="AQ69" s="23"/>
      <c r="AU69" s="23"/>
      <c r="AV69" s="23"/>
      <c r="AW69" s="323"/>
      <c r="AX69" s="131"/>
      <c r="AY69" s="131"/>
      <c r="AZ69" s="131"/>
      <c r="BA69" s="323"/>
      <c r="BB69" s="323"/>
      <c r="BD69" s="23"/>
      <c r="BH69" s="495"/>
      <c r="BJ69" s="23"/>
      <c r="BK69" s="54"/>
      <c r="BL69" s="323"/>
      <c r="BM69" s="131"/>
      <c r="BN69" s="131"/>
      <c r="BO69" s="131"/>
      <c r="BP69" s="323"/>
      <c r="BQ69" s="323"/>
      <c r="BR69" s="736"/>
      <c r="BS69" s="736"/>
      <c r="BU69" s="54"/>
      <c r="BV69" s="23"/>
      <c r="BY69" s="23"/>
      <c r="BZ69" s="23"/>
      <c r="CA69" s="868"/>
      <c r="CC69" s="868"/>
      <c r="CE69" s="868"/>
      <c r="CG69" s="54"/>
      <c r="CH69" s="870"/>
      <c r="CJ69" s="1099"/>
      <c r="CL69" s="54"/>
      <c r="CM69" s="323"/>
      <c r="CN69" s="131"/>
      <c r="CO69" s="323"/>
      <c r="CP69" s="323"/>
      <c r="CQ69" s="323"/>
      <c r="CR69" s="23"/>
      <c r="CS69" s="23"/>
      <c r="CT69" s="23"/>
      <c r="CU69" s="131"/>
      <c r="CV69" s="323"/>
      <c r="CW69" s="323"/>
      <c r="CY69" s="495"/>
      <c r="DA69" s="23"/>
      <c r="DH69" s="1099"/>
      <c r="DI69" s="323"/>
      <c r="DJ69" s="1098"/>
      <c r="DK69" s="1098"/>
      <c r="DN69" s="870"/>
      <c r="DO69" s="1098"/>
      <c r="DP69" s="1098"/>
      <c r="DS69" s="870"/>
      <c r="DT69" s="1098"/>
      <c r="DU69" s="1098"/>
      <c r="DX69" s="1099"/>
      <c r="DY69" s="870"/>
      <c r="ED69" s="872"/>
      <c r="EE69" s="872"/>
      <c r="EF69" s="869"/>
      <c r="EG69" s="869"/>
      <c r="EH69" s="495"/>
      <c r="EI69" s="495"/>
      <c r="EJ69" s="495"/>
      <c r="EK69" s="872"/>
      <c r="EL69" s="1099"/>
      <c r="EM69" s="109"/>
      <c r="EN69" s="872"/>
      <c r="EO69" s="872"/>
    </row>
    <row r="70" spans="1:153" s="520" customFormat="1" ht="16.149999999999999" customHeight="1">
      <c r="A70" s="793"/>
      <c r="E70" s="372">
        <f>SUM(E51:E68)</f>
        <v>0</v>
      </c>
      <c r="F70" s="899"/>
      <c r="G70" s="372">
        <f>SUM(G51:G68)</f>
        <v>0</v>
      </c>
      <c r="H70" s="1100"/>
      <c r="I70" s="372">
        <f>SUM(I51:I68)</f>
        <v>0</v>
      </c>
      <c r="J70" s="1100"/>
      <c r="K70" s="372">
        <f>SUM(K51:K68)</f>
        <v>0</v>
      </c>
      <c r="L70" s="899"/>
      <c r="M70" s="372">
        <f>SUM(M51:M68)</f>
        <v>0</v>
      </c>
      <c r="N70" s="372">
        <f>SUM(N51:N68)</f>
        <v>0</v>
      </c>
      <c r="O70" s="372">
        <f>SUM(O51:O68)</f>
        <v>0</v>
      </c>
      <c r="P70" s="372">
        <f>SUM(P51:P68)</f>
        <v>0</v>
      </c>
      <c r="Q70" s="899"/>
      <c r="U70" s="347">
        <f>SUM(U51:U69)</f>
        <v>0</v>
      </c>
      <c r="V70" s="347">
        <f>SUM(V51:V69)</f>
        <v>0</v>
      </c>
      <c r="W70" s="475"/>
      <c r="X70" s="1100"/>
      <c r="Y70" s="1100"/>
      <c r="Z70" s="1153"/>
      <c r="AA70" s="372">
        <f>SUM(AA52:AA69)</f>
        <v>0</v>
      </c>
      <c r="AD70" s="768"/>
      <c r="AE70" s="347">
        <f>SUM(AE51:AE69)</f>
        <v>0</v>
      </c>
      <c r="AF70" s="372">
        <f>SUM(AF52:AF69)</f>
        <v>0</v>
      </c>
      <c r="AG70" s="140"/>
      <c r="AH70" s="140"/>
      <c r="AI70" s="140"/>
      <c r="AJ70" s="372">
        <f>SUM(AJ51:AJ68)</f>
        <v>0</v>
      </c>
      <c r="AK70" s="372">
        <f>SUM(AK51:AK68)</f>
        <v>0</v>
      </c>
      <c r="AL70" s="768"/>
      <c r="AM70" s="347">
        <f>SUM(AM51:AM69)</f>
        <v>0</v>
      </c>
      <c r="AQ70" s="347">
        <f>SUM(AQ51:AQ69)</f>
        <v>0</v>
      </c>
      <c r="AU70" s="347">
        <f>SUM(AU51:AU69)</f>
        <v>0</v>
      </c>
      <c r="AV70" s="347">
        <f>SUM(AV51:AV69)</f>
        <v>0</v>
      </c>
      <c r="AW70" s="372">
        <f>SUM(AW51:AW68)</f>
        <v>0</v>
      </c>
      <c r="AX70" s="140"/>
      <c r="AY70" s="140"/>
      <c r="AZ70" s="140"/>
      <c r="BA70" s="372">
        <f>SUM(BA51:BA68)</f>
        <v>0</v>
      </c>
      <c r="BB70" s="372">
        <f>SUM(BB51:BB68)</f>
        <v>0</v>
      </c>
      <c r="BD70" s="347">
        <f>SUM(BD51:BD69)</f>
        <v>0</v>
      </c>
      <c r="BH70" s="1101"/>
      <c r="BJ70" s="347">
        <f>SUM(BJ51:BJ69)</f>
        <v>0</v>
      </c>
      <c r="BK70" s="351">
        <f>SUM(BK51:BK69)</f>
        <v>0</v>
      </c>
      <c r="BL70" s="372">
        <f>SUM(BL51:BL68)</f>
        <v>0</v>
      </c>
      <c r="BM70" s="898"/>
      <c r="BN70" s="898"/>
      <c r="BO70" s="898"/>
      <c r="BP70" s="372">
        <f>SUM(BP51:BP68)</f>
        <v>0</v>
      </c>
      <c r="BQ70" s="372">
        <f>SUM(BQ51:BQ68)</f>
        <v>0</v>
      </c>
      <c r="BU70" s="351">
        <f>SUM(BU51:BU69)</f>
        <v>0</v>
      </c>
      <c r="BY70" s="347">
        <f>SUM(BY51:BY69)</f>
        <v>0</v>
      </c>
      <c r="BZ70" s="347">
        <f>SUM(BZ51:BZ69)</f>
        <v>0</v>
      </c>
      <c r="CA70" s="372">
        <f>SUM(CA51:CA68)</f>
        <v>0</v>
      </c>
      <c r="CC70" s="372">
        <f>SUM(CC51:CC68)</f>
        <v>0</v>
      </c>
      <c r="CE70" s="372">
        <f>SUM(CE51:CE68)</f>
        <v>0</v>
      </c>
      <c r="CG70" s="351">
        <f>SUM(CG51:CG69)</f>
        <v>0</v>
      </c>
      <c r="CH70" s="372">
        <f>SUM(CH51:CH68)</f>
        <v>0</v>
      </c>
      <c r="CJ70" s="351">
        <f>SUM(CJ51:CJ69)</f>
        <v>0</v>
      </c>
      <c r="CL70" s="351">
        <f>SUM(CL51:CL69)</f>
        <v>0</v>
      </c>
      <c r="CM70" s="372">
        <f t="shared" ref="CM70:CS70" si="67">SUM(CM51:CM69)</f>
        <v>0</v>
      </c>
      <c r="CN70" s="131"/>
      <c r="CO70" s="372">
        <f t="shared" ref="CO70" si="68">SUM(CO51:CO69)</f>
        <v>0</v>
      </c>
      <c r="CP70" s="372">
        <f t="shared" si="67"/>
        <v>0</v>
      </c>
      <c r="CQ70" s="372">
        <f t="shared" si="67"/>
        <v>0</v>
      </c>
      <c r="CR70" s="263"/>
      <c r="CS70" s="347">
        <f t="shared" si="67"/>
        <v>0</v>
      </c>
      <c r="CT70" s="23"/>
      <c r="CU70" s="898"/>
      <c r="CV70" s="868"/>
      <c r="CW70" s="372">
        <f>SUM(CW51:CW69)</f>
        <v>0</v>
      </c>
      <c r="DA70" s="347">
        <f>SUM(DA51:DA69)</f>
        <v>0</v>
      </c>
      <c r="DG70" s="347">
        <f>SUM(DG51:DG69)</f>
        <v>0</v>
      </c>
      <c r="DH70" s="351">
        <f>SUM(DH51:DH69)</f>
        <v>0</v>
      </c>
      <c r="DI70" s="372">
        <f>SUM(DI51:DI69)</f>
        <v>0</v>
      </c>
      <c r="DJ70" s="1101"/>
      <c r="DK70" s="1101"/>
      <c r="DN70" s="372">
        <f>SUM(DN51:DN69)</f>
        <v>0</v>
      </c>
      <c r="DO70" s="1101"/>
      <c r="DP70" s="1101"/>
      <c r="DS70" s="372">
        <f>SUM(DS51:DS69)</f>
        <v>0</v>
      </c>
      <c r="DT70" s="1101"/>
      <c r="DU70" s="1101"/>
      <c r="DX70" s="351">
        <f>SUM(DX51:DX69)</f>
        <v>0</v>
      </c>
      <c r="DY70" s="372">
        <f>SUM(DY51:DY69)</f>
        <v>0</v>
      </c>
      <c r="ED70" s="351">
        <f t="shared" ref="ED70:EH70" si="69">SUM(ED51:ED69)</f>
        <v>0</v>
      </c>
      <c r="EE70" s="351">
        <f t="shared" si="69"/>
        <v>0</v>
      </c>
      <c r="EF70" s="372">
        <f t="shared" si="69"/>
        <v>0</v>
      </c>
      <c r="EG70" s="372">
        <f t="shared" si="69"/>
        <v>0</v>
      </c>
      <c r="EH70" s="347">
        <f t="shared" si="69"/>
        <v>0</v>
      </c>
      <c r="EK70" s="351">
        <f>SUM(EK51:EK69)</f>
        <v>0</v>
      </c>
      <c r="EL70" s="347">
        <f>SUM(EL51:EL69)</f>
        <v>0</v>
      </c>
      <c r="EM70" s="264">
        <f>SUM(EM51:EM69)</f>
        <v>0</v>
      </c>
      <c r="EN70" s="404">
        <f>IF(E70=0,0,EM70/E70)</f>
        <v>0</v>
      </c>
      <c r="EO70" s="872"/>
    </row>
    <row r="71" spans="1:153" ht="12.75">
      <c r="E71" s="475"/>
      <c r="F71" s="475"/>
      <c r="G71" s="475"/>
      <c r="H71" s="475"/>
      <c r="I71" s="475"/>
      <c r="J71" s="475"/>
      <c r="K71" s="475"/>
      <c r="L71" s="475"/>
      <c r="M71" s="475"/>
      <c r="N71" s="475"/>
      <c r="O71" s="475"/>
      <c r="P71" s="475"/>
      <c r="Q71" s="475"/>
      <c r="R71" s="475"/>
      <c r="S71" s="475"/>
      <c r="T71" s="475"/>
      <c r="U71" s="475"/>
      <c r="V71" s="475"/>
      <c r="W71" s="475"/>
      <c r="X71" s="475"/>
      <c r="Y71" s="475"/>
      <c r="AB71" s="475"/>
      <c r="AC71" s="475"/>
      <c r="AD71" s="475"/>
      <c r="AE71" s="475"/>
      <c r="AF71" s="1123"/>
      <c r="AG71" s="475"/>
      <c r="AL71" s="475"/>
      <c r="AM71" s="475"/>
      <c r="AN71" s="475"/>
      <c r="AO71" s="475"/>
      <c r="AP71" s="475"/>
      <c r="AQ71" s="475"/>
      <c r="AR71" s="475"/>
      <c r="AS71" s="475"/>
      <c r="AT71" s="475"/>
      <c r="AU71" s="475"/>
      <c r="AV71" s="475"/>
      <c r="AZ71" s="474"/>
      <c r="BB71" s="434"/>
      <c r="BC71" s="475"/>
      <c r="BE71" s="474"/>
      <c r="BL71" s="474"/>
      <c r="BM71" s="474"/>
      <c r="BN71" s="474"/>
      <c r="BO71" s="474"/>
      <c r="BP71" s="474"/>
      <c r="BQ71" s="474"/>
      <c r="CA71" s="474"/>
      <c r="CC71" s="474"/>
      <c r="CE71" s="474"/>
      <c r="CH71" s="474"/>
      <c r="CN71" s="131"/>
      <c r="CU71" s="474"/>
      <c r="CV71" s="474"/>
      <c r="CW71" s="474"/>
      <c r="CX71" s="474"/>
      <c r="CY71" s="474"/>
      <c r="DA71" s="1068"/>
      <c r="DB71" s="474"/>
      <c r="DC71" s="474"/>
      <c r="DI71" s="474"/>
      <c r="EF71" s="474"/>
      <c r="EG71" s="474"/>
      <c r="ER71" s="475"/>
    </row>
    <row r="72" spans="1:153">
      <c r="B72" s="1073"/>
      <c r="C72" s="1073"/>
      <c r="D72" s="1073"/>
      <c r="E72" s="1074"/>
      <c r="F72" s="1074"/>
      <c r="G72" s="1074"/>
      <c r="H72" s="1074"/>
      <c r="I72" s="1074"/>
      <c r="J72" s="1074"/>
      <c r="K72" s="1074"/>
      <c r="L72" s="1074"/>
      <c r="M72" s="1074"/>
      <c r="N72" s="1074"/>
      <c r="O72" s="1074"/>
      <c r="P72" s="1074"/>
      <c r="Q72" s="1074"/>
      <c r="R72" s="1074"/>
      <c r="S72" s="1074"/>
      <c r="T72" s="1074"/>
      <c r="U72" s="1074"/>
      <c r="V72" s="1074"/>
      <c r="W72" s="1074"/>
      <c r="X72" s="1074"/>
      <c r="Y72" s="1074"/>
      <c r="Z72" s="1074"/>
      <c r="AA72" s="1074"/>
      <c r="AB72" s="1074"/>
      <c r="AC72" s="1074"/>
      <c r="AD72" s="1074"/>
      <c r="AE72" s="1074"/>
      <c r="AF72" s="1074"/>
      <c r="AG72" s="1074"/>
      <c r="AH72" s="1074"/>
      <c r="AI72" s="1074"/>
      <c r="AJ72" s="1074"/>
      <c r="AK72" s="1074"/>
      <c r="AL72" s="1074"/>
      <c r="AM72" s="1074"/>
      <c r="AN72" s="1074"/>
      <c r="AO72" s="1074"/>
      <c r="AP72" s="1074"/>
      <c r="AQ72" s="1074"/>
      <c r="AR72" s="1074"/>
      <c r="AS72" s="1074"/>
      <c r="AT72" s="1074"/>
      <c r="AU72" s="1074"/>
      <c r="AV72" s="1074"/>
      <c r="AW72" s="1074"/>
      <c r="AX72" s="1074"/>
      <c r="AY72" s="1074"/>
      <c r="AZ72" s="1074"/>
      <c r="BA72" s="1073"/>
      <c r="BB72" s="1074"/>
      <c r="BC72" s="1073"/>
      <c r="BD72" s="1074"/>
      <c r="BE72" s="1073"/>
      <c r="BF72" s="1073"/>
      <c r="BG72" s="1073"/>
      <c r="BH72" s="1073"/>
      <c r="BI72" s="1073"/>
      <c r="BJ72" s="1073"/>
      <c r="BK72" s="1073"/>
      <c r="BL72" s="1073"/>
      <c r="BM72" s="1073"/>
      <c r="BN72" s="1073"/>
      <c r="BO72" s="1073"/>
      <c r="BP72" s="1073"/>
      <c r="BQ72" s="1073"/>
      <c r="BR72" s="1073"/>
      <c r="BS72" s="1073"/>
      <c r="BT72" s="1073"/>
      <c r="BU72" s="1073"/>
      <c r="BV72" s="1073"/>
      <c r="BW72" s="1073"/>
      <c r="BX72" s="1073"/>
      <c r="BY72" s="1073"/>
      <c r="BZ72" s="1073"/>
      <c r="CA72" s="1073"/>
      <c r="CB72" s="1073"/>
      <c r="CC72" s="1073"/>
      <c r="CD72" s="1073"/>
      <c r="CE72" s="1073"/>
      <c r="CF72" s="1073"/>
      <c r="CG72" s="1073"/>
      <c r="CH72" s="1073"/>
      <c r="CI72" s="1073"/>
      <c r="CJ72" s="1073"/>
      <c r="CK72" s="1073"/>
      <c r="CL72" s="1073"/>
      <c r="CM72" s="1073"/>
      <c r="CN72" s="1073"/>
      <c r="CO72" s="1073"/>
      <c r="CP72" s="1073"/>
      <c r="CQ72" s="1073"/>
      <c r="CR72" s="1073"/>
      <c r="CS72" s="1073"/>
      <c r="CT72" s="1073"/>
      <c r="CU72" s="1073"/>
      <c r="CV72" s="1073"/>
      <c r="CW72" s="1073"/>
      <c r="CX72" s="1073"/>
      <c r="CY72" s="1073"/>
      <c r="CZ72" s="1073"/>
      <c r="DA72" s="1073"/>
      <c r="DB72" s="1073"/>
      <c r="DC72" s="1073"/>
      <c r="DD72" s="1073"/>
      <c r="DE72" s="1073"/>
      <c r="DF72" s="1073"/>
      <c r="DG72" s="1073"/>
      <c r="DH72" s="1073"/>
      <c r="DI72" s="1073"/>
      <c r="DJ72" s="1073"/>
      <c r="DK72" s="1073"/>
      <c r="DL72" s="1073"/>
      <c r="DM72" s="1073"/>
      <c r="DN72" s="1073"/>
      <c r="DO72" s="1073"/>
      <c r="DP72" s="1073"/>
      <c r="DQ72" s="1073"/>
      <c r="DR72" s="1073"/>
      <c r="DS72" s="1073"/>
      <c r="DT72" s="1073"/>
      <c r="DU72" s="1073"/>
      <c r="DV72" s="1073"/>
      <c r="DW72" s="1073"/>
      <c r="DX72" s="1073"/>
      <c r="DY72" s="1073"/>
      <c r="DZ72" s="1073"/>
      <c r="EA72" s="1073"/>
      <c r="EB72" s="1073"/>
      <c r="EC72" s="1073"/>
      <c r="ED72" s="1073"/>
      <c r="EE72" s="1073"/>
      <c r="EF72" s="1073"/>
      <c r="EG72" s="1073"/>
      <c r="EH72" s="1073"/>
      <c r="EI72" s="1073"/>
      <c r="EJ72" s="1073"/>
      <c r="EK72" s="1073"/>
      <c r="EL72" s="1073"/>
      <c r="EM72" s="1073"/>
      <c r="EN72" s="1073"/>
    </row>
  </sheetData>
  <sheetProtection algorithmName="SHA-512" hashValue="N2nJ/hmvUf3ceH7W8mdIS1PpGshnbMhxwaTIA/rlJlscDj/bqNFym2tJzYtUIDTK9tSkhCC3aSMuFlW+vSpHaA==" saltValue="sTdHERlu8fGpHUxJynfkEA==" spinCount="100000" sheet="1" objects="1" scenarios="1" autoFilter="0"/>
  <dataConsolidate/>
  <phoneticPr fontId="75" type="noConversion"/>
  <conditionalFormatting sqref="I19:I38 ED46:EE46 DM52:DM68 DR52:DR68 DW52:DW68 EJ52:EJ68">
    <cfRule type="cellIs" dxfId="286" priority="8" operator="notEqual">
      <formula>""</formula>
    </cfRule>
  </conditionalFormatting>
  <conditionalFormatting sqref="K19:AL38">
    <cfRule type="expression" dxfId="285" priority="7">
      <formula>$I19&lt;&gt;""</formula>
    </cfRule>
  </conditionalFormatting>
  <conditionalFormatting sqref="S52:T68">
    <cfRule type="cellIs" dxfId="284" priority="24" operator="equal">
      <formula>"Dozer too small"</formula>
    </cfRule>
  </conditionalFormatting>
  <conditionalFormatting sqref="S52:V68">
    <cfRule type="containsText" dxfId="283" priority="53" operator="containsText" text="NR">
      <formula>NOT(ISERROR(SEARCH("NR",S52)))</formula>
    </cfRule>
  </conditionalFormatting>
  <conditionalFormatting sqref="U52:V68">
    <cfRule type="containsText" dxfId="282" priority="32" operator="containsText" text="E">
      <formula>NOT(ISERROR(SEARCH("E",U52)))</formula>
    </cfRule>
  </conditionalFormatting>
  <conditionalFormatting sqref="AD51">
    <cfRule type="containsText" dxfId="281" priority="15" operator="containsText" text="ok">
      <formula>NOT(ISERROR(SEARCH("ok",AD51)))</formula>
    </cfRule>
    <cfRule type="containsText" dxfId="280" priority="16" operator="containsText" text="Enter">
      <formula>NOT(ISERROR(SEARCH("Enter",AD51)))</formula>
    </cfRule>
  </conditionalFormatting>
  <conditionalFormatting sqref="AE52:AE68">
    <cfRule type="containsText" dxfId="279" priority="50" operator="containsText" text="E">
      <formula>NOT(ISERROR(SEARCH("E",AE52)))</formula>
    </cfRule>
  </conditionalFormatting>
  <conditionalFormatting sqref="AM52:AM68">
    <cfRule type="containsText" dxfId="278" priority="2" operator="containsText" text="NR">
      <formula>NOT(ISERROR(SEARCH("NR",AM52)))</formula>
    </cfRule>
  </conditionalFormatting>
  <conditionalFormatting sqref="AP51">
    <cfRule type="containsText" dxfId="277" priority="13" operator="containsText" text="ok">
      <formula>NOT(ISERROR(SEARCH("ok",AP51)))</formula>
    </cfRule>
    <cfRule type="containsText" dxfId="276" priority="14" operator="containsText" text="Enter">
      <formula>NOT(ISERROR(SEARCH("Enter",AP51)))</formula>
    </cfRule>
  </conditionalFormatting>
  <conditionalFormatting sqref="AQ52:AQ68">
    <cfRule type="containsText" dxfId="275" priority="3" operator="containsText" text="NR">
      <formula>NOT(ISERROR(SEARCH("NR",AQ52)))</formula>
    </cfRule>
  </conditionalFormatting>
  <conditionalFormatting sqref="AT52:AT68">
    <cfRule type="cellIs" dxfId="274" priority="23" operator="equal">
      <formula>"Dozer too small"</formula>
    </cfRule>
  </conditionalFormatting>
  <conditionalFormatting sqref="AT52:AU68">
    <cfRule type="containsText" dxfId="273" priority="4" operator="containsText" text="NR">
      <formula>NOT(ISERROR(SEARCH("NR",AT52)))</formula>
    </cfRule>
  </conditionalFormatting>
  <conditionalFormatting sqref="BD52:BD68">
    <cfRule type="containsText" dxfId="272" priority="5" operator="containsText" text="NR">
      <formula>NOT(ISERROR(SEARCH("NR",BD52)))</formula>
    </cfRule>
  </conditionalFormatting>
  <conditionalFormatting sqref="BE52:BE68">
    <cfRule type="containsText" dxfId="271" priority="56" operator="containsText" text="Long">
      <formula>NOT(ISERROR(SEARCH("Long",BE52)))</formula>
    </cfRule>
  </conditionalFormatting>
  <conditionalFormatting sqref="BJ52:BJ68">
    <cfRule type="containsText" dxfId="270" priority="6" operator="containsText" text="NR">
      <formula>NOT(ISERROR(SEARCH("NR",BJ52)))</formula>
    </cfRule>
  </conditionalFormatting>
  <conditionalFormatting sqref="BT51">
    <cfRule type="containsText" dxfId="269" priority="11" operator="containsText" text="ok">
      <formula>NOT(ISERROR(SEARCH("ok",BT51)))</formula>
    </cfRule>
    <cfRule type="containsText" dxfId="268" priority="12" operator="containsText" text="Enter">
      <formula>NOT(ISERROR(SEARCH("Enter",BT51)))</formula>
    </cfRule>
  </conditionalFormatting>
  <conditionalFormatting sqref="BU52:BU68 BX52:BZ68">
    <cfRule type="containsText" dxfId="267" priority="57" operator="containsText" text="NR">
      <formula>NOT(ISERROR(SEARCH("NR",BU52)))</formula>
    </cfRule>
  </conditionalFormatting>
  <conditionalFormatting sqref="BX52:BX68">
    <cfRule type="cellIs" dxfId="266" priority="21" operator="equal">
      <formula>"Dozer too small"</formula>
    </cfRule>
  </conditionalFormatting>
  <conditionalFormatting sqref="BY52:BY68">
    <cfRule type="containsText" dxfId="265" priority="48" operator="containsText" text="E">
      <formula>NOT(ISERROR(SEARCH("E",BY52)))</formula>
    </cfRule>
  </conditionalFormatting>
  <conditionalFormatting sqref="CZ51">
    <cfRule type="containsText" dxfId="264" priority="9" operator="containsText" text="ok">
      <formula>NOT(ISERROR(SEARCH("ok",CZ51)))</formula>
    </cfRule>
    <cfRule type="containsText" dxfId="263" priority="10" operator="containsText" text="Enter">
      <formula>NOT(ISERROR(SEARCH("Enter",CZ51)))</formula>
    </cfRule>
  </conditionalFormatting>
  <conditionalFormatting sqref="DB52:DB68">
    <cfRule type="containsText" dxfId="262" priority="55" operator="containsText" text="Long">
      <formula>NOT(ISERROR(SEARCH("Long",DB52)))</formula>
    </cfRule>
  </conditionalFormatting>
  <conditionalFormatting sqref="EC52:EC68">
    <cfRule type="containsText" dxfId="261" priority="58" operator="containsText" text="Error">
      <formula>NOT(ISERROR(SEARCH("Error",EC52)))</formula>
    </cfRule>
  </conditionalFormatting>
  <conditionalFormatting sqref="ED43:EE43">
    <cfRule type="containsText" dxfId="260" priority="19" operator="containsText" text="No Alert">
      <formula>NOT(ISERROR(SEARCH("No Alert",ED43)))</formula>
    </cfRule>
    <cfRule type="containsText" dxfId="259" priority="20" operator="containsText" text="Enter">
      <formula>NOT(ISERROR(SEARCH("Enter",ED43)))</formula>
    </cfRule>
  </conditionalFormatting>
  <conditionalFormatting sqref="EH46">
    <cfRule type="cellIs" dxfId="258" priority="1" operator="notEqual">
      <formula>""</formula>
    </cfRule>
  </conditionalFormatting>
  <conditionalFormatting sqref="EO52:EO68">
    <cfRule type="containsText" dxfId="257" priority="47" operator="containsText" text="Error">
      <formula>NOT(ISERROR(SEARCH("Error",EO52)))</formula>
    </cfRule>
    <cfRule type="containsText" dxfId="256" priority="49" operator="containsText" text="dozer">
      <formula>NOT(ISERROR(SEARCH("dozer",EO52)))</formula>
    </cfRule>
  </conditionalFormatting>
  <dataValidations xWindow="1091" yWindow="530" count="38">
    <dataValidation type="list" allowBlank="1" showInputMessage="1" showErrorMessage="1" sqref="F19:F39 F52:F68" xr:uid="{B63D0092-A59A-4BCB-AD42-D7B597F28820}">
      <formula1>Cap_Risk_Category</formula1>
    </dataValidation>
    <dataValidation allowBlank="1" showInputMessage="1" showErrorMessage="1" prompt="Use the dropdown menu to select the Risk Category for the HLP" sqref="F17" xr:uid="{F3C74729-6DEC-4635-95F3-5B1F4E6D911E}"/>
    <dataValidation allowBlank="1" showInputMessage="1" showErrorMessage="1" prompt="Enter the total footprint area of the HLP that would require rehabilitation." sqref="E17" xr:uid="{CB06AA1B-3C4D-4A05-B03D-B4934D280E15}"/>
    <dataValidation type="list" allowBlank="1" showInputMessage="1" showErrorMessage="1" sqref="DT52:DT68 DJ52:DJ68 DO52:DO68" xr:uid="{0E77D80E-DA2C-4446-89D7-3A0BDECC2CEB}">
      <formula1>Amendments</formula1>
    </dataValidation>
    <dataValidation type="list" allowBlank="1" showInputMessage="1" showErrorMessage="1" sqref="DC52:DC68 BF52:BF68" xr:uid="{66B4EC69-6D6A-4159-96AB-50AF416CCFE0}">
      <formula1>Long_distance</formula1>
    </dataValidation>
    <dataValidation type="list" allowBlank="1" showInputMessage="1" showErrorMessage="1" sqref="DB52:DB68 BE52:BE68" xr:uid="{05A570C0-EBD0-4571-BB74-7FEF9141CD67}">
      <formula1>LongHaul</formula1>
    </dataValidation>
    <dataValidation allowBlank="1" showInputMessage="1" showErrorMessage="1" prompt="If the User has a total push volume for flat areas but not dimensions, enter the volume here.  Otherwise it is calculated." sqref="M50" xr:uid="{F4D53B14-F8B0-4A98-8E49-031A84D2CA30}"/>
    <dataValidation allowBlank="1" showInputMessage="1" showErrorMessage="1" prompt="Enter the total area of access ramps" sqref="K50" xr:uid="{11397264-0B20-4F83-97A9-D76EF4DEA54A}"/>
    <dataValidation allowBlank="1" showInputMessage="1" showErrorMessage="1" prompt="Enter the average thickness of sloped areas to be reshaped." sqref="J50" xr:uid="{CB79DDBB-CE85-40E4-B776-9A1106749DD9}"/>
    <dataValidation allowBlank="1" showInputMessage="1" showErrorMessage="1" prompt="Enter the area of slopes / battered areas to be rehabilitated." sqref="I50" xr:uid="{A2AC0911-37A1-49FE-9159-945287F50D35}"/>
    <dataValidation allowBlank="1" showInputMessage="1" showErrorMessage="1" prompt="Enter the total flat areas to be re-shaped." sqref="G50" xr:uid="{481C0C8D-8070-40DC-988E-C38A0B343F4A}"/>
    <dataValidation allowBlank="1" showInputMessage="1" showErrorMessage="1" prompt="The default is to the total footprint of the structure but the User can change the entry." sqref="CL50" xr:uid="{0B2B764C-5EE4-46A1-9569-E8707FF607DD}"/>
    <dataValidation allowBlank="1" showInputMessage="1" showErrorMessage="1" prompt="Select fleet size for growth media haulage." sqref="CY50:DA50" xr:uid="{9BB81AA3-2BEF-461F-B460-B77C139068EA}"/>
    <dataValidation allowBlank="1" showInputMessage="1" showErrorMessage="1" prompt="Select haulage distance for growth media." sqref="CX50" xr:uid="{E491B459-DC84-4CFC-9469-138F12841D02}"/>
    <dataValidation allowBlank="1" showInputMessage="1" showErrorMessage="1" prompt="If the User has a total push volume for slope areas but not dimensions, enter the volume here." sqref="O50" xr:uid="{6F65D1D4-22BF-453E-9898-3DCF3482F5F8}"/>
    <dataValidation allowBlank="1" showInputMessage="1" showErrorMessage="1" prompt="Enter the average thickness of area to be re-shaped on all flat surfaces." sqref="H50" xr:uid="{33908E83-D0B4-4185-A5E1-0DAAF206B6BF}"/>
    <dataValidation type="list" allowBlank="1" showInputMessage="1" showErrorMessage="1" sqref="BS69:BU69" xr:uid="{81EECD90-C57A-4E65-A1B1-2BC317401619}">
      <formula1>Fleet_Size_all</formula1>
    </dataValidation>
    <dataValidation type="list" allowBlank="1" showInputMessage="1" showErrorMessage="1" sqref="L52:L69" xr:uid="{2A698BAE-06EE-4EDF-8459-DD2C0133A13F}">
      <formula1>Dozer_Slope</formula1>
    </dataValidation>
    <dataValidation type="list" allowBlank="1" showInputMessage="1" showErrorMessage="1" sqref="AN52:AN68 AB52:AB68 BR52:BR69 CX52:CX68" xr:uid="{29FC2228-F591-4E36-BE04-B22BC0F05012}">
      <formula1>Load_and_Haul</formula1>
    </dataValidation>
    <dataValidation type="list" allowBlank="1" showInputMessage="1" showErrorMessage="1" sqref="R52:R68 BW52:BW68 AS52:AS68" xr:uid="{56C3ED9D-5389-4CFB-B9A2-040DD2056DDD}">
      <formula1>Dozers</formula1>
    </dataValidation>
    <dataValidation type="list" allowBlank="1" showInputMessage="1" showErrorMessage="1" sqref="Q52:Q68 BV52:BV68 AR52:AR68" xr:uid="{91812E2B-01D8-4356-B68C-D55E9CCAD2E8}">
      <formula1>Dozer_Push_Length</formula1>
    </dataValidation>
    <dataValidation allowBlank="1" showInputMessage="1" showErrorMessage="1" prompt="Enter total area of drains and drop stuctures required on dump" sqref="CL50" xr:uid="{6DCECBCF-AE13-4E67-B5D5-1A3B66159F32}"/>
    <dataValidation allowBlank="1" showInputMessage="1" showErrorMessage="1" prompt="Select the average slope angle of the reprofiled structure" sqref="L50" xr:uid="{A1AEA5B2-7B57-447E-BA78-29D9E1DC6110}"/>
    <dataValidation allowBlank="1" showInputMessage="1" showErrorMessage="1" prompt="The User can enter a volume directly here." sqref="AJ50 BA50 BP50 CV50 Z50" xr:uid="{F328779F-A44B-407C-A661-4B282F223FD0}"/>
    <dataValidation allowBlank="1" showInputMessage="1" showErrorMessage="1" prompt="If no User value is entered the default is used." sqref="Y50 AI50 AZ50 BO50" xr:uid="{AB1BA883-E30B-4D6D-A9FD-F267E00CFDD7}"/>
    <dataValidation allowBlank="1" showInputMessage="1" showErrorMessage="1" prompt="If no user volume is entered the volume is calculated using the area and thickness." sqref="AA50 AK50" xr:uid="{5CE6879D-253B-473E-80B5-0BBBC0AE2957}"/>
    <dataValidation allowBlank="1" showInputMessage="1" showErrorMessage="1" prompt="If a value is entered, the User must provide justification in the Capping Alerts sheet" sqref="DE50:DF50" xr:uid="{CF4B42BA-A81D-4947-A9D1-34618419EA14}"/>
    <dataValidation allowBlank="1" showInputMessage="1" showErrorMessage="1" prompt="Enter total area of drains and drop stuctures required to manage water." sqref="CH50" xr:uid="{936CE4C4-328F-455A-B187-C833AA3694BC}"/>
    <dataValidation allowBlank="1" showInputMessage="1" showErrorMessage="1" prompt="Calculation takes this entry if entered, otherwise default above is used." sqref="EG50" xr:uid="{98D3B3CE-B5BA-4739-98A4-8DDC5762BC89}"/>
    <dataValidation allowBlank="1" showInputMessage="1" showErrorMessage="1" prompt="The default area for testing is the total footprint of the structure" sqref="EF50" xr:uid="{A7FA20CE-18FE-4C30-A1AA-B88820C3CCFB}"/>
    <dataValidation allowBlank="1" showInputMessage="1" showErrorMessage="1" promptTitle="Administrator Note:" prompt="These values are not linked to calculations. If changed, need to be updated. " sqref="M13" xr:uid="{D59C103A-C284-4C48-9891-5D61B95E8535}"/>
    <dataValidation allowBlank="1" showInputMessage="1" showErrorMessage="1" prompt="See HLP Capping Values table for minimum thickness expectation.  If user entry is &lt;min, an alert will appear in the Capping Alerts sheet." sqref="AY50 X50" xr:uid="{E187CC3F-BF88-4DC2-8BA4-C68340722FE1}"/>
    <dataValidation allowBlank="1" showInputMessage="1" showErrorMessage="1" prompt="See HLP Capping Values for minimum thickness expectation.  If user entry is &lt;min, an alert will appear in the Capping Alerts sheet." sqref="AH50" xr:uid="{AB997AE6-585B-4715-A9AB-C7D77A317659}"/>
    <dataValidation allowBlank="1" showInputMessage="1" showErrorMessage="1" prompt="See HLP Capping Values Table for minimum thickness expectation.  If user entry is &lt;min, an alert will appear in the Capping Alerts sheet." sqref="BN50" xr:uid="{FDB29240-2587-4BE4-8C87-B426D18B7316}"/>
    <dataValidation type="whole" operator="greaterThan" allowBlank="1" showInputMessage="1" showErrorMessage="1" sqref="EG52:EG67" xr:uid="{E346AF74-005E-4022-BC08-8B2245B05611}">
      <formula1>0</formula1>
    </dataValidation>
    <dataValidation allowBlank="1" showInputMessage="1" showErrorMessage="1" prompt="Select No amend if no treatment required." sqref="DJ50 DO50 DT50" xr:uid="{50BE901C-E3F4-48DD-AA5A-F98ACA16B98A}"/>
    <dataValidation allowBlank="1" showInputMessage="1" showErrorMessage="1" prompt="If a value is entered, the User must provide justification in the Justification for Alternate Rate column to the right of this table." sqref="BI50" xr:uid="{B4B6E993-89F8-4115-B552-CB2D5CC996DF}"/>
    <dataValidation type="list" allowBlank="1" showInputMessage="1" showErrorMessage="1" sqref="CY52:CY68" xr:uid="{84691640-8137-48B3-A4BA-E2C77E71E7E2}">
      <formula1>Load_haul_fleet_sm1ml</formula1>
    </dataValidation>
  </dataValidations>
  <hyperlinks>
    <hyperlink ref="B49" location="'8. Heap Leach Pads'!B5" display="Top" xr:uid="{C6FAC8CC-B70B-4D09-ADBA-6960A728EE33}"/>
    <hyperlink ref="AG51" location="'8. Heap Leach Pads'!O5" display="'8. Heap Leach Pads'!O5" xr:uid="{B62CFC7F-C812-4478-B6D4-039C59BB8A14}"/>
    <hyperlink ref="AX51" location="'8. Heap Leach Pads'!O5" display="'8. Heap Leach Pads'!O5" xr:uid="{BF8DDAB1-F300-4B53-9EAA-86EAA67C4B17}"/>
    <hyperlink ref="BM51" location="'8. Heap Leach Pads'!O5" display="'8. Heap Leach Pads'!O5" xr:uid="{396C6E33-3C18-4019-A50D-B3F2CAD751F2}"/>
    <hyperlink ref="EI51" location="'8. Heap Leach Pads'!O5" display="'8. Heap Leach Pads'!O5" xr:uid="{A264EDDF-2E03-4DFD-9189-9B266BE343F2}"/>
    <hyperlink ref="X51" location="'8. Heap Leach Pads'!O5" display="'8. Heap Leach Pads'!O5" xr:uid="{9E04F117-044C-4F3B-90CA-27CF7D327090}"/>
    <hyperlink ref="S51" location="Subrates_Table_2" display="Subrates_Table_2" xr:uid="{90FF0EA5-9852-4FD1-A1B2-C68BDCCCA84C}"/>
    <hyperlink ref="AT51" location="Subrates_Table_2" display="Subrates_Table_2" xr:uid="{74AF0E87-D8AB-48C6-9753-C95C1B442DA6}"/>
    <hyperlink ref="BX51" location="Subrates_Table_2" display="Subrates_Table_2" xr:uid="{A612D3F1-7912-4B55-B2B8-C4B64237ABF9}"/>
    <hyperlink ref="T51" location="Subrates_Table_3" display="Subrates_Table_3" xr:uid="{EC3F9825-3E51-4FB5-A012-C5DDE3BA0B09}"/>
    <hyperlink ref="EH44" location="Subrates_Table_5" display="Subrates_Table_5" xr:uid="{17C13915-A4AC-4CDF-9EFB-197147FF17CD}"/>
    <hyperlink ref="AL51" location="Subrates_Table_5" display="Subrates_Table_5" xr:uid="{B976D7B3-F04E-4443-B268-5BACA4D835A1}"/>
    <hyperlink ref="BC51" location="Subrates_Table_5" display="Subrates_Table_5" xr:uid="{B6E67C20-DF20-42A8-9537-F4407BCD8F77}"/>
    <hyperlink ref="CB51" location="Subrates_Table_5" display="Subrates_Table_5" xr:uid="{7DC61B1D-3D28-4564-A2A8-DE306BE4AD0B}"/>
    <hyperlink ref="CD51" location="Subrates_Table_5" display="Subrates_Table_5" xr:uid="{5EAFCBBF-F582-4FFC-B175-5D7E6108EAB9}"/>
    <hyperlink ref="CF51" location="Subrates_Table_5" display="Subrates_Table_5" xr:uid="{5B1FFC93-25E6-445B-92B1-0BE6887551D9}"/>
    <hyperlink ref="CI51" location="Subrates_Table_6" display="Subrates_Table_6" xr:uid="{91AAFB51-5F64-4E5F-B210-B19991EA30D7}"/>
    <hyperlink ref="CK51" location="Subrates_Table_6" display="Subrates_Table_6" xr:uid="{2BC26EDF-6EB1-4138-B0B3-9968378CEDD1}"/>
    <hyperlink ref="BH51" location="Subrates_Table_8" display="Subrates_Table_8" xr:uid="{A24B8CB2-DE05-40E6-9A35-5819D2E7F2BA}"/>
    <hyperlink ref="DE51" location="Subrates_Table_8" display="Subrates_Table_8" xr:uid="{0C58DD2E-DBF0-4822-AF54-6FA3BE8FDD5B}"/>
    <hyperlink ref="BG51" location="Subrates_Table_9" display="Subrates_Table_9" xr:uid="{4808362F-1A6B-4B2D-BF48-69338F57605E}"/>
    <hyperlink ref="DD51" location="Subrates_Table_9" display="Subrates_Table_9" xr:uid="{F61C32CF-40E2-49E6-9C60-371364208E5C}"/>
    <hyperlink ref="AD51" location="Subrates!B7" display="Subrates!B7" xr:uid="{BF5BFF17-0AAB-4173-9FDB-4C2DE2726312}"/>
    <hyperlink ref="AP51" location="Subrates!B7" display="Subrates!B7" xr:uid="{462DF0FE-6C5F-4E2E-AF3C-FF1A09292EA9}"/>
    <hyperlink ref="BT51" location="Subrates!B7" display="Subrates!B7" xr:uid="{4CEC53B9-2E10-42D6-99AB-CC6B23A87AA8}"/>
    <hyperlink ref="CZ51" location="Subrates!B7" display="Subrates!B7" xr:uid="{CF391138-89C5-4AB2-A68B-CB0ABF2C5F83}"/>
    <hyperlink ref="B2" location="CONTENTS!A1" display="Contents" xr:uid="{150B84B1-95B8-40C0-BA3D-AC0FE8389047}"/>
    <hyperlink ref="B69" location="'8. Heap Leach Pads'!B5" display="Top" xr:uid="{68021DC9-E710-420D-AEC7-1B32F0E5F1A6}"/>
    <hyperlink ref="Y51" location="'Capping Alerts'!A1" display="Capping Alerts" xr:uid="{FCB9CC3E-6F09-4670-9C1D-E67D311ED531}"/>
    <hyperlink ref="AH51" location="'Capping Alerts'!A1" display="Capping Alerts" xr:uid="{582AE419-3228-4885-94D2-2140A66C7D6A}"/>
    <hyperlink ref="AY51" location="'Capping Alerts'!A1" display="Capping Alerts" xr:uid="{6E61C457-667F-416A-80E8-A51948E6D681}"/>
    <hyperlink ref="BN51" location="'Capping Alerts'!A1" display="Capping Alerts" xr:uid="{BE4023C6-ADB3-4557-98CE-9C6A2A3333D1}"/>
    <hyperlink ref="CU51" location="'Capping Alerts'!A1" display="Capping Alerts" xr:uid="{1C9388E2-6FEC-4889-AEB3-5829B0A1F265}"/>
    <hyperlink ref="EJ51" location="'Capping Alerts'!A1" display="Capping Alerts" xr:uid="{5AEB6991-C6ED-467E-9F26-50250D8C31BF}"/>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091" yWindow="530" count="1">
        <x14:dataValidation type="list" allowBlank="1" showInputMessage="1" showErrorMessage="1" xr:uid="{198368C2-DE5D-40CB-BDAF-118ECAC84FBA}">
          <x14:formula1>
            <xm:f>Subrates!$E$9:$G$9</xm:f>
          </x14:formula1>
          <xm:sqref>AC52:AC68 AO52:AO68 BS52:BS68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D6ED7-4EB6-40C0-92A7-B77D0A61B02B}">
  <sheetPr codeName="Sheet22">
    <tabColor theme="9" tint="-0.249977111117893"/>
  </sheetPr>
  <dimension ref="A1:FQ76"/>
  <sheetViews>
    <sheetView showGridLines="0" zoomScaleNormal="100" workbookViewId="0">
      <pane xSplit="7" ySplit="4" topLeftCell="H5" activePane="bottomRight" state="frozen"/>
      <selection pane="topRight" activeCell="H1" sqref="H1"/>
      <selection pane="bottomLeft" activeCell="A5" sqref="A5"/>
      <selection pane="bottomRight" activeCell="A2" sqref="A2"/>
    </sheetView>
  </sheetViews>
  <sheetFormatPr defaultColWidth="9" defaultRowHeight="12"/>
  <cols>
    <col min="1" max="1" width="3.42578125" style="475" customWidth="1"/>
    <col min="2" max="2" width="20.7109375" style="475" customWidth="1"/>
    <col min="3" max="3" width="18.7109375" style="475" customWidth="1"/>
    <col min="4" max="4" width="45.42578125" style="475" customWidth="1"/>
    <col min="5" max="5" width="18.7109375" style="474" customWidth="1"/>
    <col min="6" max="6" width="36.7109375" style="474" customWidth="1"/>
    <col min="7" max="18" width="18.7109375" style="474" customWidth="1"/>
    <col min="19" max="19" width="19.28515625" style="474" customWidth="1"/>
    <col min="20" max="37" width="18.7109375" style="474" customWidth="1"/>
    <col min="38" max="38" width="18.7109375" style="475" customWidth="1"/>
    <col min="39" max="39" width="19.5703125" style="475" customWidth="1"/>
    <col min="40" max="54" width="18.7109375" style="475" customWidth="1"/>
    <col min="55" max="55" width="19.28515625" style="475" customWidth="1"/>
    <col min="56" max="56" width="19.28515625" style="474" customWidth="1"/>
    <col min="57" max="131" width="18.7109375" style="475" customWidth="1"/>
    <col min="132" max="132" width="37.5703125" style="475" customWidth="1"/>
    <col min="133" max="136" width="18.7109375" style="475" customWidth="1"/>
    <col min="137" max="137" width="37.42578125" style="475" customWidth="1"/>
    <col min="138" max="141" width="18.7109375" style="475" customWidth="1"/>
    <col min="142" max="142" width="19.28515625" style="475" customWidth="1"/>
    <col min="143" max="145" width="18.7109375" style="475" customWidth="1"/>
    <col min="146" max="146" width="18.7109375" style="1068" customWidth="1"/>
    <col min="147" max="167" width="18.7109375" style="475" customWidth="1"/>
    <col min="168" max="16384" width="9" style="475"/>
  </cols>
  <sheetData>
    <row r="1" spans="2:146" ht="14.25">
      <c r="B1" s="433" t="s">
        <v>0</v>
      </c>
      <c r="C1" s="808"/>
      <c r="D1" s="520"/>
      <c r="E1" s="734"/>
      <c r="F1" s="734"/>
      <c r="R1" s="475"/>
      <c r="S1" s="475"/>
      <c r="T1" s="475"/>
      <c r="U1" s="475"/>
      <c r="V1" s="475"/>
      <c r="W1" s="475"/>
      <c r="X1" s="475"/>
      <c r="Y1" s="475"/>
      <c r="Z1" s="475"/>
      <c r="AA1" s="475"/>
      <c r="AB1" s="475"/>
      <c r="AC1" s="475"/>
      <c r="AD1" s="475"/>
      <c r="AE1" s="475"/>
      <c r="AF1" s="475"/>
      <c r="AG1" s="475"/>
      <c r="AH1" s="475"/>
      <c r="AI1" s="475"/>
      <c r="AJ1" s="475"/>
      <c r="AK1" s="475"/>
      <c r="BD1" s="475"/>
      <c r="EP1" s="475"/>
    </row>
    <row r="2" spans="2:146" ht="18" customHeight="1">
      <c r="B2" s="286" t="s">
        <v>256</v>
      </c>
      <c r="C2" s="476" t="s">
        <v>2096</v>
      </c>
      <c r="D2" s="944"/>
      <c r="E2" s="944"/>
      <c r="F2" s="944"/>
      <c r="G2" s="944"/>
      <c r="H2" s="944"/>
      <c r="I2" s="944"/>
      <c r="J2" s="944"/>
      <c r="K2" s="944"/>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BD2" s="475"/>
      <c r="EP2" s="475"/>
    </row>
    <row r="3" spans="2:146" ht="18" customHeight="1">
      <c r="B3" s="1155">
        <f>J41+EZ71</f>
        <v>0</v>
      </c>
      <c r="C3" s="736" t="s">
        <v>1516</v>
      </c>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BD3" s="475"/>
      <c r="EP3" s="475"/>
    </row>
    <row r="4" spans="2:146" ht="18" customHeight="1">
      <c r="B4" s="1156">
        <f>Summary!$G$122</f>
        <v>0</v>
      </c>
      <c r="C4" s="1157" t="s">
        <v>1484</v>
      </c>
      <c r="K4" s="475"/>
      <c r="L4" s="475"/>
      <c r="M4" s="220"/>
      <c r="N4" s="475"/>
      <c r="O4" s="475"/>
      <c r="P4" s="475"/>
      <c r="Q4" s="475"/>
      <c r="R4" s="475"/>
      <c r="S4" s="475"/>
      <c r="T4" s="475"/>
      <c r="U4" s="475"/>
      <c r="V4" s="475"/>
      <c r="W4" s="475"/>
      <c r="X4" s="475"/>
      <c r="Y4" s="475"/>
      <c r="Z4" s="475"/>
      <c r="AA4" s="475"/>
      <c r="AB4" s="475"/>
      <c r="AC4" s="475"/>
      <c r="AD4" s="475"/>
      <c r="AE4" s="475"/>
      <c r="AF4" s="475"/>
      <c r="AG4" s="475"/>
      <c r="AH4" s="475"/>
      <c r="AI4" s="475"/>
      <c r="AJ4" s="475"/>
      <c r="AK4" s="475"/>
      <c r="BD4" s="475"/>
      <c r="EP4" s="475"/>
    </row>
    <row r="5" spans="2:146" ht="12.75" customHeight="1">
      <c r="C5" s="766" t="s">
        <v>2097</v>
      </c>
      <c r="E5" s="475"/>
      <c r="F5" s="475"/>
      <c r="G5" s="475"/>
      <c r="H5" s="475"/>
      <c r="I5" s="475"/>
      <c r="K5" s="475"/>
      <c r="L5" s="475"/>
      <c r="M5" s="476" t="s">
        <v>2098</v>
      </c>
      <c r="N5" s="476"/>
      <c r="O5" s="476"/>
      <c r="P5" s="476"/>
      <c r="Q5" s="476"/>
      <c r="R5" s="476"/>
      <c r="S5" s="476"/>
      <c r="T5" s="476"/>
      <c r="U5" s="475"/>
      <c r="V5" s="475"/>
      <c r="W5" s="475"/>
      <c r="X5" s="475"/>
      <c r="Y5" s="475"/>
      <c r="Z5" s="475"/>
      <c r="AA5" s="475"/>
      <c r="AB5" s="475"/>
      <c r="AC5" s="475"/>
      <c r="AD5" s="475"/>
      <c r="AE5" s="475"/>
      <c r="AF5" s="475"/>
      <c r="AG5" s="475"/>
      <c r="AH5" s="475"/>
      <c r="AI5" s="475"/>
      <c r="AJ5" s="475"/>
      <c r="AK5" s="475"/>
      <c r="BD5" s="475"/>
      <c r="EP5" s="475"/>
    </row>
    <row r="6" spans="2:146" ht="24">
      <c r="L6" s="1064">
        <v>1</v>
      </c>
      <c r="M6" s="821" t="s">
        <v>1878</v>
      </c>
      <c r="N6" s="1158"/>
      <c r="O6" s="863" t="s">
        <v>2</v>
      </c>
      <c r="P6" s="774" t="s">
        <v>1879</v>
      </c>
      <c r="Q6" s="774" t="s">
        <v>1880</v>
      </c>
      <c r="R6" s="774" t="s">
        <v>1881</v>
      </c>
      <c r="S6" s="774" t="s">
        <v>1882</v>
      </c>
      <c r="T6" s="774" t="s">
        <v>1883</v>
      </c>
    </row>
    <row r="7" spans="2:146" ht="12.75" customHeight="1">
      <c r="L7" s="1064">
        <v>2</v>
      </c>
      <c r="M7" s="374" t="s">
        <v>2099</v>
      </c>
      <c r="N7" s="778"/>
      <c r="O7" s="249" t="s">
        <v>11</v>
      </c>
      <c r="P7" s="250">
        <v>1</v>
      </c>
      <c r="Q7" s="250">
        <v>1</v>
      </c>
      <c r="R7" s="250">
        <v>1</v>
      </c>
      <c r="S7" s="250">
        <v>1</v>
      </c>
      <c r="T7" s="250">
        <v>1</v>
      </c>
    </row>
    <row r="8" spans="2:146" ht="12.75" customHeight="1">
      <c r="L8" s="1064">
        <v>3</v>
      </c>
      <c r="M8" s="374" t="s">
        <v>2100</v>
      </c>
      <c r="N8" s="778"/>
      <c r="O8" s="249" t="s">
        <v>11</v>
      </c>
      <c r="P8" s="250">
        <v>0.5</v>
      </c>
      <c r="Q8" s="250">
        <v>0.5</v>
      </c>
      <c r="R8" s="250">
        <v>0.5</v>
      </c>
      <c r="S8" s="250">
        <v>0.5</v>
      </c>
      <c r="T8" s="250">
        <v>0.5</v>
      </c>
    </row>
    <row r="9" spans="2:146" ht="12.75" customHeight="1">
      <c r="L9" s="1064">
        <v>4</v>
      </c>
      <c r="M9" s="374" t="s">
        <v>1885</v>
      </c>
      <c r="N9" s="778"/>
      <c r="O9" s="249" t="s">
        <v>11</v>
      </c>
      <c r="P9" s="250">
        <v>0.5</v>
      </c>
      <c r="Q9" s="250">
        <v>0.5</v>
      </c>
      <c r="R9" s="250">
        <v>0.5</v>
      </c>
      <c r="S9" s="250">
        <v>0</v>
      </c>
      <c r="T9" s="250">
        <v>0</v>
      </c>
    </row>
    <row r="10" spans="2:146" ht="12.75" customHeight="1">
      <c r="L10" s="1064">
        <v>5</v>
      </c>
      <c r="M10" s="374" t="s">
        <v>1886</v>
      </c>
      <c r="N10" s="778"/>
      <c r="O10" s="249" t="s">
        <v>11</v>
      </c>
      <c r="P10" s="250">
        <v>0.6</v>
      </c>
      <c r="Q10" s="250">
        <v>0.3</v>
      </c>
      <c r="R10" s="250">
        <v>0.3</v>
      </c>
      <c r="S10" s="250">
        <v>0</v>
      </c>
      <c r="T10" s="250">
        <v>0</v>
      </c>
    </row>
    <row r="11" spans="2:146" ht="12.75" customHeight="1">
      <c r="L11" s="1064">
        <v>6</v>
      </c>
      <c r="M11" s="374" t="s">
        <v>1887</v>
      </c>
      <c r="N11" s="778"/>
      <c r="O11" s="249" t="s">
        <v>11</v>
      </c>
      <c r="P11" s="250">
        <v>0.5</v>
      </c>
      <c r="Q11" s="250">
        <v>0.3</v>
      </c>
      <c r="R11" s="250">
        <v>0</v>
      </c>
      <c r="S11" s="250">
        <v>0</v>
      </c>
      <c r="T11" s="250">
        <v>0</v>
      </c>
    </row>
    <row r="12" spans="2:146" ht="12.75" customHeight="1">
      <c r="L12" s="1064">
        <v>7</v>
      </c>
      <c r="M12" s="374" t="s">
        <v>1888</v>
      </c>
      <c r="N12" s="778"/>
      <c r="O12" s="249" t="s">
        <v>11</v>
      </c>
      <c r="P12" s="250">
        <v>1.5</v>
      </c>
      <c r="Q12" s="250">
        <v>1</v>
      </c>
      <c r="R12" s="250">
        <v>1</v>
      </c>
      <c r="S12" s="250">
        <v>1</v>
      </c>
      <c r="T12" s="250">
        <v>0</v>
      </c>
    </row>
    <row r="13" spans="2:146" ht="12.75" customHeight="1">
      <c r="L13" s="1064">
        <v>8</v>
      </c>
      <c r="M13" s="374" t="s">
        <v>1889</v>
      </c>
      <c r="N13" s="778"/>
      <c r="O13" s="249" t="s">
        <v>11</v>
      </c>
      <c r="P13" s="252">
        <v>0.15</v>
      </c>
      <c r="Q13" s="252">
        <v>0.15</v>
      </c>
      <c r="R13" s="252">
        <v>0.15</v>
      </c>
      <c r="S13" s="252">
        <v>0.15</v>
      </c>
      <c r="T13" s="252">
        <v>0.15</v>
      </c>
    </row>
    <row r="14" spans="2:146" ht="12.75" customHeight="1">
      <c r="L14" s="1064">
        <v>9</v>
      </c>
      <c r="M14" s="374" t="s">
        <v>1890</v>
      </c>
      <c r="N14" s="778"/>
      <c r="O14" s="249" t="s">
        <v>58</v>
      </c>
      <c r="P14" s="253">
        <v>3650</v>
      </c>
      <c r="Q14" s="253">
        <v>2675</v>
      </c>
      <c r="R14" s="253">
        <v>3150</v>
      </c>
      <c r="S14" s="253">
        <v>1900</v>
      </c>
      <c r="T14" s="253">
        <v>1000</v>
      </c>
    </row>
    <row r="15" spans="2:146" ht="9.75" customHeight="1">
      <c r="AI15" s="475"/>
      <c r="AK15" s="475"/>
      <c r="BD15" s="475"/>
    </row>
    <row r="16" spans="2:146">
      <c r="AI16" s="475"/>
      <c r="AK16" s="475"/>
      <c r="BD16" s="475"/>
    </row>
    <row r="17" spans="2:147" ht="18" customHeight="1">
      <c r="B17" s="286" t="s">
        <v>1588</v>
      </c>
      <c r="C17" s="761" t="s">
        <v>2101</v>
      </c>
      <c r="D17" s="761"/>
      <c r="E17" s="475"/>
      <c r="F17" s="746"/>
      <c r="G17" s="434"/>
      <c r="H17" s="434"/>
      <c r="I17" s="434"/>
      <c r="J17" s="434"/>
      <c r="BE17" s="474"/>
      <c r="EP17" s="475"/>
      <c r="EQ17" s="1068"/>
    </row>
    <row r="18" spans="2:147" ht="29.65" customHeight="1">
      <c r="B18" s="773" t="s">
        <v>1517</v>
      </c>
      <c r="C18" s="773" t="s">
        <v>27</v>
      </c>
      <c r="D18" s="773" t="s">
        <v>1583</v>
      </c>
      <c r="E18" s="773" t="s">
        <v>1650</v>
      </c>
      <c r="F18" s="812" t="s">
        <v>2060</v>
      </c>
      <c r="G18" s="773" t="s">
        <v>1585</v>
      </c>
      <c r="H18" s="773" t="s">
        <v>1895</v>
      </c>
      <c r="I18" s="773" t="s">
        <v>1896</v>
      </c>
      <c r="J18" s="775" t="s">
        <v>1587</v>
      </c>
      <c r="K18" s="776" t="s">
        <v>1759</v>
      </c>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6"/>
      <c r="AI18" s="576"/>
      <c r="AJ18" s="576"/>
      <c r="AK18" s="576"/>
      <c r="AL18" s="576"/>
      <c r="AM18" s="963"/>
      <c r="BD18" s="475"/>
      <c r="EP18" s="475"/>
    </row>
    <row r="19" spans="2:147" s="520" customFormat="1" ht="16.149999999999999" customHeight="1">
      <c r="F19" s="125" t="s">
        <v>1646</v>
      </c>
      <c r="K19" s="96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779"/>
    </row>
    <row r="20" spans="2:147" s="520" customFormat="1" ht="12.75">
      <c r="B20" s="310"/>
      <c r="C20" s="989">
        <v>1</v>
      </c>
      <c r="D20" s="175"/>
      <c r="E20" s="328"/>
      <c r="F20" s="337" t="s">
        <v>1879</v>
      </c>
      <c r="G20" s="167" t="str">
        <f>VLOOKUP(F20,Lists!$B$34:$E$39,Lists!$E$3,FALSE)</f>
        <v>#9.01</v>
      </c>
      <c r="H20" s="256">
        <f>VLOOKUP(G20,TOV!$C$476:$G$481,4,FALSE)</f>
        <v>200511.7877254964</v>
      </c>
      <c r="I20" s="292"/>
      <c r="J20" s="121">
        <f t="shared" ref="J20:J39" si="0">IF(I20="",ROUND(H20,2)*ROUND(E20,2),ROUND(I20,2)*ROUND(E20,2))</f>
        <v>0</v>
      </c>
      <c r="K20" s="192"/>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8"/>
    </row>
    <row r="21" spans="2:147" s="520" customFormat="1" ht="12.75">
      <c r="B21" s="310"/>
      <c r="C21" s="989">
        <f>C20+1</f>
        <v>2</v>
      </c>
      <c r="D21" s="175"/>
      <c r="E21" s="328"/>
      <c r="F21" s="337" t="s">
        <v>1880</v>
      </c>
      <c r="G21" s="167" t="str">
        <f>VLOOKUP(F21,Lists!$B$34:$E$39,Lists!$E$3,FALSE)</f>
        <v>#9.02</v>
      </c>
      <c r="H21" s="256">
        <f>VLOOKUP(G21,TOV!$C$464:$G$481,4,FALSE)</f>
        <v>144378.87928548455</v>
      </c>
      <c r="I21" s="292"/>
      <c r="J21" s="121">
        <f t="shared" si="0"/>
        <v>0</v>
      </c>
      <c r="K21" s="192"/>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8"/>
    </row>
    <row r="22" spans="2:147" s="520" customFormat="1" ht="12.75">
      <c r="B22" s="310"/>
      <c r="C22" s="989">
        <f t="shared" ref="C22:C39" si="1">C21+1</f>
        <v>3</v>
      </c>
      <c r="D22" s="175"/>
      <c r="E22" s="328"/>
      <c r="F22" s="337" t="s">
        <v>1881</v>
      </c>
      <c r="G22" s="167" t="str">
        <f>VLOOKUP(F22,Lists!$B$34:$E$39,Lists!$E$3,FALSE)</f>
        <v>#9.03</v>
      </c>
      <c r="H22" s="256">
        <f>VLOOKUP(G22,TOV!$C$464:$G$481,4,FALSE)</f>
        <v>114038.28034966144</v>
      </c>
      <c r="I22" s="292"/>
      <c r="J22" s="121">
        <f t="shared" si="0"/>
        <v>0</v>
      </c>
      <c r="K22" s="192"/>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8"/>
    </row>
    <row r="23" spans="2:147" s="520" customFormat="1" ht="12.75">
      <c r="B23" s="310"/>
      <c r="C23" s="989">
        <f t="shared" si="1"/>
        <v>4</v>
      </c>
      <c r="D23" s="175"/>
      <c r="E23" s="328"/>
      <c r="F23" s="337" t="s">
        <v>1882</v>
      </c>
      <c r="G23" s="167" t="str">
        <f>VLOOKUP(F23,Lists!$B$34:$E$39,Lists!$E$3,FALSE)</f>
        <v>#9.04</v>
      </c>
      <c r="H23" s="256">
        <f>VLOOKUP(G23,TOV!$C$464:$G$481,4,FALSE)</f>
        <v>75254.542169959881</v>
      </c>
      <c r="I23" s="292"/>
      <c r="J23" s="121">
        <f t="shared" si="0"/>
        <v>0</v>
      </c>
      <c r="K23" s="192"/>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8"/>
    </row>
    <row r="24" spans="2:147" s="520" customFormat="1" ht="12.75">
      <c r="B24" s="310"/>
      <c r="C24" s="989">
        <f t="shared" si="1"/>
        <v>5</v>
      </c>
      <c r="D24" s="175"/>
      <c r="E24" s="328"/>
      <c r="F24" s="337" t="s">
        <v>1883</v>
      </c>
      <c r="G24" s="167" t="str">
        <f>VLOOKUP(F24,Lists!$B$34:$E$39,Lists!$E$3,FALSE)</f>
        <v>#9.05</v>
      </c>
      <c r="H24" s="256">
        <f>VLOOKUP(G24,TOV!$C$464:$G$481,4,FALSE)</f>
        <v>23181.476592357463</v>
      </c>
      <c r="I24" s="292"/>
      <c r="J24" s="121">
        <f t="shared" si="0"/>
        <v>0</v>
      </c>
      <c r="K24" s="192"/>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8"/>
    </row>
    <row r="25" spans="2:147" s="520" customFormat="1" ht="12.75">
      <c r="B25" s="310"/>
      <c r="C25" s="989">
        <f t="shared" si="1"/>
        <v>6</v>
      </c>
      <c r="D25" s="175"/>
      <c r="E25" s="328"/>
      <c r="F25" s="337" t="s">
        <v>1222</v>
      </c>
      <c r="G25" s="167" t="str">
        <f>VLOOKUP(F25,Lists!$B$34:$E$39,Lists!$E$3,FALSE)</f>
        <v>#9.06</v>
      </c>
      <c r="H25" s="256">
        <f>VLOOKUP(G25,TOV!$C$464:$G$481,4,FALSE)</f>
        <v>2945.2971856984341</v>
      </c>
      <c r="I25" s="292"/>
      <c r="J25" s="121">
        <f t="shared" si="0"/>
        <v>0</v>
      </c>
      <c r="K25" s="192"/>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8"/>
    </row>
    <row r="26" spans="2:147" s="520" customFormat="1" ht="12.75">
      <c r="B26" s="310"/>
      <c r="C26" s="989">
        <f t="shared" si="1"/>
        <v>7</v>
      </c>
      <c r="D26" s="175"/>
      <c r="E26" s="328"/>
      <c r="F26" s="337" t="s">
        <v>1879</v>
      </c>
      <c r="G26" s="167" t="str">
        <f>VLOOKUP(F26,Lists!$B$34:$E$39,Lists!$E$3,FALSE)</f>
        <v>#9.01</v>
      </c>
      <c r="H26" s="256">
        <f>VLOOKUP(G26,TOV!$C$464:$G$481,4,FALSE)</f>
        <v>200511.7877254964</v>
      </c>
      <c r="I26" s="292"/>
      <c r="J26" s="121">
        <f t="shared" si="0"/>
        <v>0</v>
      </c>
      <c r="K26" s="192"/>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8"/>
    </row>
    <row r="27" spans="2:147" s="520" customFormat="1" ht="12.75">
      <c r="B27" s="310"/>
      <c r="C27" s="989">
        <f t="shared" si="1"/>
        <v>8</v>
      </c>
      <c r="D27" s="175"/>
      <c r="E27" s="328"/>
      <c r="F27" s="337" t="s">
        <v>1879</v>
      </c>
      <c r="G27" s="167" t="str">
        <f>VLOOKUP(F27,Lists!$B$34:$E$39,Lists!$E$3,FALSE)</f>
        <v>#9.01</v>
      </c>
      <c r="H27" s="256">
        <f>VLOOKUP(G27,TOV!$C$464:$G$481,4,FALSE)</f>
        <v>200511.7877254964</v>
      </c>
      <c r="I27" s="292"/>
      <c r="J27" s="121">
        <f t="shared" si="0"/>
        <v>0</v>
      </c>
      <c r="K27" s="192"/>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8"/>
    </row>
    <row r="28" spans="2:147" s="520" customFormat="1" ht="12.75">
      <c r="B28" s="310"/>
      <c r="C28" s="989">
        <f t="shared" si="1"/>
        <v>9</v>
      </c>
      <c r="D28" s="175"/>
      <c r="E28" s="328"/>
      <c r="F28" s="337" t="s">
        <v>1879</v>
      </c>
      <c r="G28" s="167" t="str">
        <f>VLOOKUP(F28,Lists!$B$34:$E$39,Lists!$E$3,FALSE)</f>
        <v>#9.01</v>
      </c>
      <c r="H28" s="256">
        <f>VLOOKUP(G28,TOV!$C$464:$G$481,4,FALSE)</f>
        <v>200511.7877254964</v>
      </c>
      <c r="I28" s="292"/>
      <c r="J28" s="121">
        <f t="shared" si="0"/>
        <v>0</v>
      </c>
      <c r="K28" s="192"/>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8"/>
    </row>
    <row r="29" spans="2:147" s="520" customFormat="1" ht="12.75">
      <c r="B29" s="310"/>
      <c r="C29" s="989">
        <f t="shared" si="1"/>
        <v>10</v>
      </c>
      <c r="D29" s="175"/>
      <c r="E29" s="328"/>
      <c r="F29" s="337" t="s">
        <v>1879</v>
      </c>
      <c r="G29" s="167" t="str">
        <f>VLOOKUP(F29,Lists!$B$34:$E$39,Lists!$E$3,FALSE)</f>
        <v>#9.01</v>
      </c>
      <c r="H29" s="256">
        <f>VLOOKUP(G29,TOV!$C$464:$G$481,4,FALSE)</f>
        <v>200511.7877254964</v>
      </c>
      <c r="I29" s="292"/>
      <c r="J29" s="121">
        <f t="shared" si="0"/>
        <v>0</v>
      </c>
      <c r="K29" s="192"/>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8"/>
    </row>
    <row r="30" spans="2:147" s="520" customFormat="1" ht="12.75">
      <c r="B30" s="310"/>
      <c r="C30" s="989">
        <f t="shared" si="1"/>
        <v>11</v>
      </c>
      <c r="D30" s="175"/>
      <c r="E30" s="328"/>
      <c r="F30" s="337" t="s">
        <v>1879</v>
      </c>
      <c r="G30" s="167" t="str">
        <f>VLOOKUP(F30,Lists!$B$34:$E$39,Lists!$E$3,FALSE)</f>
        <v>#9.01</v>
      </c>
      <c r="H30" s="256">
        <f>VLOOKUP(G30,TOV!$C$464:$G$481,4,FALSE)</f>
        <v>200511.7877254964</v>
      </c>
      <c r="I30" s="292"/>
      <c r="J30" s="121">
        <f t="shared" si="0"/>
        <v>0</v>
      </c>
      <c r="K30" s="192"/>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8"/>
    </row>
    <row r="31" spans="2:147" s="520" customFormat="1" ht="12.75">
      <c r="B31" s="310"/>
      <c r="C31" s="989">
        <f t="shared" si="1"/>
        <v>12</v>
      </c>
      <c r="D31" s="175"/>
      <c r="E31" s="328"/>
      <c r="F31" s="337" t="s">
        <v>1879</v>
      </c>
      <c r="G31" s="167" t="str">
        <f>VLOOKUP(F31,Lists!$B$34:$E$39,Lists!$E$3,FALSE)</f>
        <v>#9.01</v>
      </c>
      <c r="H31" s="256">
        <f>VLOOKUP(G31,TOV!$C$464:$G$481,4,FALSE)</f>
        <v>200511.7877254964</v>
      </c>
      <c r="I31" s="292"/>
      <c r="J31" s="121">
        <f t="shared" si="0"/>
        <v>0</v>
      </c>
      <c r="K31" s="192"/>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8"/>
    </row>
    <row r="32" spans="2:147" s="520" customFormat="1" ht="12.75">
      <c r="B32" s="310"/>
      <c r="C32" s="989">
        <f t="shared" si="1"/>
        <v>13</v>
      </c>
      <c r="D32" s="175"/>
      <c r="E32" s="328"/>
      <c r="F32" s="337" t="s">
        <v>1879</v>
      </c>
      <c r="G32" s="167" t="str">
        <f>VLOOKUP(F32,Lists!$B$34:$E$39,Lists!$E$3,FALSE)</f>
        <v>#9.01</v>
      </c>
      <c r="H32" s="256">
        <f>VLOOKUP(G32,TOV!$C$464:$G$481,4,FALSE)</f>
        <v>200511.7877254964</v>
      </c>
      <c r="I32" s="292"/>
      <c r="J32" s="121">
        <f t="shared" si="0"/>
        <v>0</v>
      </c>
      <c r="K32" s="192"/>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8"/>
    </row>
    <row r="33" spans="1:173" s="520" customFormat="1" ht="12.75">
      <c r="B33" s="310"/>
      <c r="C33" s="989">
        <f t="shared" si="1"/>
        <v>14</v>
      </c>
      <c r="D33" s="175"/>
      <c r="E33" s="328"/>
      <c r="F33" s="337" t="s">
        <v>1879</v>
      </c>
      <c r="G33" s="167" t="str">
        <f>VLOOKUP(F33,Lists!$B$34:$E$39,Lists!$E$3,FALSE)</f>
        <v>#9.01</v>
      </c>
      <c r="H33" s="256">
        <f>VLOOKUP(G33,TOV!$C$464:$G$481,4,FALSE)</f>
        <v>200511.7877254964</v>
      </c>
      <c r="I33" s="292"/>
      <c r="J33" s="121">
        <f t="shared" si="0"/>
        <v>0</v>
      </c>
      <c r="K33" s="192"/>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8"/>
    </row>
    <row r="34" spans="1:173" s="520" customFormat="1" ht="12.75">
      <c r="B34" s="310"/>
      <c r="C34" s="989">
        <f t="shared" si="1"/>
        <v>15</v>
      </c>
      <c r="D34" s="175"/>
      <c r="E34" s="328"/>
      <c r="F34" s="337" t="s">
        <v>1879</v>
      </c>
      <c r="G34" s="167" t="str">
        <f>VLOOKUP(F34,Lists!$B$34:$E$39,Lists!$E$3,FALSE)</f>
        <v>#9.01</v>
      </c>
      <c r="H34" s="256">
        <f>VLOOKUP(G34,TOV!$C$464:$G$481,4,FALSE)</f>
        <v>200511.7877254964</v>
      </c>
      <c r="I34" s="292"/>
      <c r="J34" s="121">
        <f t="shared" si="0"/>
        <v>0</v>
      </c>
      <c r="K34" s="192"/>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8"/>
    </row>
    <row r="35" spans="1:173" s="520" customFormat="1" ht="12.75">
      <c r="B35" s="310"/>
      <c r="C35" s="989">
        <f t="shared" si="1"/>
        <v>16</v>
      </c>
      <c r="D35" s="175"/>
      <c r="E35" s="328"/>
      <c r="F35" s="337" t="s">
        <v>1879</v>
      </c>
      <c r="G35" s="167" t="str">
        <f>VLOOKUP(F35,Lists!$B$34:$E$39,Lists!$E$3,FALSE)</f>
        <v>#9.01</v>
      </c>
      <c r="H35" s="256">
        <f>VLOOKUP(G35,TOV!$C$464:$G$481,4,FALSE)</f>
        <v>200511.7877254964</v>
      </c>
      <c r="I35" s="292"/>
      <c r="J35" s="121">
        <f t="shared" si="0"/>
        <v>0</v>
      </c>
      <c r="K35" s="192"/>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8"/>
    </row>
    <row r="36" spans="1:173" s="520" customFormat="1" ht="12.75">
      <c r="B36" s="310"/>
      <c r="C36" s="989">
        <f t="shared" si="1"/>
        <v>17</v>
      </c>
      <c r="D36" s="175"/>
      <c r="E36" s="328"/>
      <c r="F36" s="337" t="s">
        <v>1879</v>
      </c>
      <c r="G36" s="167" t="str">
        <f>VLOOKUP(F36,Lists!$B$34:$E$39,Lists!$E$3,FALSE)</f>
        <v>#9.01</v>
      </c>
      <c r="H36" s="256">
        <f>VLOOKUP(G36,TOV!$C$464:$G$481,4,FALSE)</f>
        <v>200511.7877254964</v>
      </c>
      <c r="I36" s="292"/>
      <c r="J36" s="121">
        <f t="shared" si="0"/>
        <v>0</v>
      </c>
      <c r="K36" s="192"/>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8"/>
    </row>
    <row r="37" spans="1:173" s="520" customFormat="1" ht="12.75">
      <c r="B37" s="310"/>
      <c r="C37" s="989">
        <f t="shared" si="1"/>
        <v>18</v>
      </c>
      <c r="D37" s="175"/>
      <c r="E37" s="328"/>
      <c r="F37" s="337" t="s">
        <v>1879</v>
      </c>
      <c r="G37" s="167" t="str">
        <f>VLOOKUP(F37,Lists!$B$34:$E$39,Lists!$E$3,FALSE)</f>
        <v>#9.01</v>
      </c>
      <c r="H37" s="256">
        <f>VLOOKUP(G37,TOV!$C$464:$G$481,4,FALSE)</f>
        <v>200511.7877254964</v>
      </c>
      <c r="I37" s="292"/>
      <c r="J37" s="121">
        <f t="shared" si="0"/>
        <v>0</v>
      </c>
      <c r="K37" s="192"/>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8"/>
    </row>
    <row r="38" spans="1:173" s="520" customFormat="1" ht="12.75">
      <c r="B38" s="310"/>
      <c r="C38" s="989">
        <f t="shared" si="1"/>
        <v>19</v>
      </c>
      <c r="D38" s="175"/>
      <c r="E38" s="328"/>
      <c r="F38" s="337" t="s">
        <v>1879</v>
      </c>
      <c r="G38" s="167" t="str">
        <f>VLOOKUP(F38,Lists!$B$34:$E$39,Lists!$E$3,FALSE)</f>
        <v>#9.01</v>
      </c>
      <c r="H38" s="256">
        <f>VLOOKUP(G38,TOV!$C$464:$G$481,4,FALSE)</f>
        <v>200511.7877254964</v>
      </c>
      <c r="I38" s="292"/>
      <c r="J38" s="121">
        <f t="shared" si="0"/>
        <v>0</v>
      </c>
      <c r="K38" s="192"/>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8"/>
    </row>
    <row r="39" spans="1:173" s="520" customFormat="1" ht="12.75">
      <c r="B39" s="310"/>
      <c r="C39" s="989">
        <f t="shared" si="1"/>
        <v>20</v>
      </c>
      <c r="D39" s="175"/>
      <c r="E39" s="328"/>
      <c r="F39" s="337" t="s">
        <v>1879</v>
      </c>
      <c r="G39" s="167" t="str">
        <f>VLOOKUP(F39,Lists!$B$34:$E$39,Lists!$E$3,FALSE)</f>
        <v>#9.01</v>
      </c>
      <c r="H39" s="256">
        <f>VLOOKUP(G39,TOV!$C$464:$G$481,4,FALSE)</f>
        <v>200511.7877254964</v>
      </c>
      <c r="I39" s="292"/>
      <c r="J39" s="121">
        <f t="shared" si="0"/>
        <v>0</v>
      </c>
      <c r="K39" s="192"/>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8"/>
    </row>
    <row r="40" spans="1:173" s="520" customFormat="1" ht="16.149999999999999" customHeight="1">
      <c r="B40" s="582"/>
      <c r="D40" s="495"/>
      <c r="E40" s="1012"/>
      <c r="F40" s="495"/>
      <c r="G40" s="582"/>
      <c r="H40" s="259"/>
      <c r="I40" s="272"/>
      <c r="J40" s="272"/>
      <c r="K40" s="768"/>
      <c r="L40" s="768"/>
      <c r="M40" s="768"/>
      <c r="N40" s="768"/>
      <c r="O40" s="768"/>
      <c r="P40" s="768"/>
      <c r="Q40" s="768"/>
      <c r="R40" s="768"/>
      <c r="S40" s="768"/>
      <c r="T40" s="768"/>
      <c r="U40" s="768"/>
      <c r="V40" s="768"/>
      <c r="W40" s="768"/>
      <c r="X40" s="768"/>
      <c r="Y40" s="768"/>
      <c r="Z40" s="768"/>
      <c r="AA40" s="768"/>
      <c r="AB40" s="768"/>
      <c r="AC40" s="768"/>
      <c r="AD40" s="768"/>
      <c r="AE40" s="768"/>
      <c r="AF40" s="768"/>
      <c r="AG40" s="768"/>
      <c r="AH40" s="768"/>
      <c r="AI40" s="768"/>
      <c r="AJ40" s="768"/>
      <c r="AK40" s="768"/>
      <c r="BD40" s="768"/>
      <c r="BE40" s="768"/>
      <c r="ER40" s="1071"/>
    </row>
    <row r="41" spans="1:173" s="520" customFormat="1" ht="16.149999999999999" customHeight="1">
      <c r="B41" s="495"/>
      <c r="C41" s="495"/>
      <c r="D41" s="495"/>
      <c r="E41" s="372">
        <f>SUM(E20:E40)</f>
        <v>0</v>
      </c>
      <c r="F41" s="495"/>
      <c r="G41" s="495"/>
      <c r="H41" s="495"/>
      <c r="I41" s="904"/>
      <c r="J41" s="1072">
        <f>SUM(J18:J40)</f>
        <v>0</v>
      </c>
      <c r="K41" s="768"/>
      <c r="L41" s="768"/>
      <c r="M41" s="768"/>
      <c r="N41" s="768"/>
      <c r="O41" s="768"/>
      <c r="P41" s="768"/>
      <c r="Q41" s="768"/>
      <c r="R41" s="768"/>
      <c r="S41" s="768"/>
      <c r="T41" s="768"/>
      <c r="U41" s="768"/>
      <c r="V41" s="1146"/>
      <c r="W41" s="1146"/>
      <c r="X41" s="1146"/>
      <c r="Y41" s="1146"/>
      <c r="Z41" s="1146"/>
      <c r="AA41" s="1146"/>
      <c r="AB41" s="1146"/>
      <c r="AC41" s="1146"/>
      <c r="AD41" s="768"/>
      <c r="AE41" s="768"/>
      <c r="AF41" s="768"/>
      <c r="AG41" s="1146"/>
      <c r="AH41" s="768"/>
      <c r="AI41" s="768"/>
      <c r="AJ41" s="768"/>
      <c r="AK41" s="768"/>
      <c r="BD41" s="768"/>
      <c r="BE41" s="768"/>
      <c r="ET41" s="1071"/>
    </row>
    <row r="42" spans="1:173" ht="16.149999999999999" customHeight="1">
      <c r="E42" s="475"/>
      <c r="F42" s="475"/>
      <c r="J42" s="237">
        <f>IF(E41=0,0,J41/E41)</f>
        <v>0</v>
      </c>
      <c r="K42" s="434" t="s">
        <v>41</v>
      </c>
      <c r="BE42" s="474"/>
    </row>
    <row r="43" spans="1:173" ht="16.149999999999999" customHeight="1">
      <c r="B43" s="1159"/>
      <c r="C43" s="1159"/>
      <c r="D43" s="1159"/>
      <c r="E43" s="1159"/>
      <c r="F43" s="1159"/>
      <c r="G43" s="1160"/>
      <c r="H43" s="1160"/>
      <c r="I43" s="1160"/>
      <c r="J43" s="1160"/>
      <c r="K43" s="1160"/>
      <c r="L43" s="1160"/>
      <c r="M43" s="1160"/>
      <c r="N43" s="1160"/>
      <c r="O43" s="1160"/>
      <c r="P43" s="1160"/>
      <c r="Q43" s="1160"/>
      <c r="R43" s="1160"/>
      <c r="S43" s="1160"/>
      <c r="T43" s="1160"/>
      <c r="U43" s="1160"/>
      <c r="V43" s="1160"/>
      <c r="W43" s="1160"/>
      <c r="X43" s="1160"/>
      <c r="Y43" s="1160"/>
      <c r="Z43" s="1160"/>
      <c r="AA43" s="1160"/>
      <c r="AB43" s="1160"/>
      <c r="AC43" s="1160"/>
      <c r="AD43" s="1159"/>
      <c r="AE43" s="1159"/>
      <c r="AF43" s="1159"/>
      <c r="AG43" s="1160"/>
      <c r="AH43" s="1159"/>
      <c r="AI43" s="1159"/>
      <c r="AJ43" s="1159"/>
      <c r="AK43" s="1159"/>
      <c r="AL43" s="1159"/>
      <c r="AM43" s="1159"/>
      <c r="AN43" s="1159"/>
      <c r="AO43" s="1159"/>
      <c r="AP43" s="1159"/>
      <c r="AQ43" s="1159"/>
      <c r="AR43" s="1159"/>
      <c r="AS43" s="1159"/>
      <c r="AT43" s="1159"/>
      <c r="AU43" s="1159"/>
      <c r="AV43" s="1159"/>
      <c r="AW43" s="1159"/>
      <c r="AX43" s="1159"/>
      <c r="AY43" s="1159"/>
      <c r="AZ43" s="1159"/>
      <c r="BA43" s="1159"/>
      <c r="BB43" s="1159"/>
      <c r="BC43" s="1159"/>
      <c r="BD43" s="1159"/>
      <c r="BE43" s="1159"/>
      <c r="BF43" s="1159"/>
      <c r="BG43" s="1159"/>
      <c r="BH43" s="1159"/>
      <c r="BI43" s="1159"/>
      <c r="BJ43" s="1159"/>
      <c r="BK43" s="1159"/>
      <c r="BL43" s="1159"/>
      <c r="BM43" s="1159"/>
      <c r="BN43" s="1159"/>
      <c r="BO43" s="1159"/>
      <c r="BP43" s="1159"/>
      <c r="BQ43" s="1159"/>
      <c r="BR43" s="1159"/>
      <c r="BS43" s="1159"/>
      <c r="BT43" s="1159"/>
      <c r="BU43" s="1159"/>
      <c r="BV43" s="1159"/>
      <c r="BW43" s="1159"/>
      <c r="BX43" s="1159"/>
      <c r="BY43" s="1159"/>
      <c r="BZ43" s="1159"/>
      <c r="CA43" s="1159"/>
      <c r="CB43" s="1159"/>
      <c r="CC43" s="1159"/>
      <c r="CD43" s="1159"/>
      <c r="CE43" s="1159"/>
      <c r="CF43" s="1159"/>
      <c r="CG43" s="1159"/>
      <c r="CH43" s="1159"/>
      <c r="CI43" s="1159"/>
      <c r="CJ43" s="1159"/>
      <c r="CK43" s="1159"/>
      <c r="CL43" s="1159"/>
      <c r="CM43" s="1159"/>
      <c r="CN43" s="1159"/>
      <c r="CO43" s="1159"/>
      <c r="CP43" s="1159"/>
      <c r="CQ43" s="1159"/>
      <c r="CR43" s="1159"/>
      <c r="CS43" s="1159"/>
      <c r="CT43" s="1159"/>
      <c r="CU43" s="1159"/>
      <c r="CV43" s="1159"/>
      <c r="CW43" s="1159"/>
      <c r="CX43" s="1159"/>
      <c r="CY43" s="1159"/>
      <c r="CZ43" s="1159"/>
      <c r="DA43" s="1159"/>
      <c r="DB43" s="1159"/>
      <c r="DC43" s="1159"/>
      <c r="DD43" s="1159"/>
      <c r="DE43" s="1159"/>
      <c r="DF43" s="1159"/>
      <c r="DG43" s="1159"/>
      <c r="DH43" s="1159"/>
      <c r="DI43" s="1159"/>
      <c r="DJ43" s="1159"/>
      <c r="DK43" s="1159"/>
      <c r="DL43" s="1159"/>
      <c r="DM43" s="1159"/>
      <c r="DN43" s="1159"/>
      <c r="DO43" s="1159"/>
      <c r="DP43" s="1159"/>
      <c r="DQ43" s="1159"/>
      <c r="DR43" s="1159"/>
      <c r="DS43" s="1161"/>
      <c r="DT43" s="1159"/>
      <c r="DU43" s="1159"/>
      <c r="DV43" s="1159"/>
      <c r="DW43" s="1159"/>
      <c r="DX43" s="1159"/>
      <c r="DY43" s="1159"/>
      <c r="DZ43" s="1159"/>
      <c r="EA43" s="1159"/>
      <c r="EB43" s="1159"/>
      <c r="EC43" s="1159"/>
      <c r="ED43" s="1159"/>
      <c r="EE43" s="1159"/>
      <c r="EF43" s="1159"/>
      <c r="EG43" s="1159"/>
      <c r="EH43" s="1159"/>
      <c r="EI43" s="1159"/>
      <c r="EJ43" s="1159"/>
      <c r="EK43" s="1159"/>
      <c r="EL43" s="1159"/>
      <c r="EM43" s="1159"/>
      <c r="EN43" s="1159"/>
      <c r="EO43" s="1159"/>
      <c r="EP43" s="1159"/>
      <c r="EQ43" s="1159"/>
      <c r="ER43" s="1159"/>
      <c r="ES43" s="1159"/>
      <c r="ET43" s="1159"/>
      <c r="EU43" s="1159"/>
      <c r="EV43" s="1159"/>
      <c r="EW43" s="1159"/>
      <c r="EX43" s="1159"/>
      <c r="EY43" s="1159"/>
      <c r="EZ43" s="1159"/>
      <c r="FA43" s="1159"/>
      <c r="FB43" s="1159"/>
      <c r="FC43" s="1159"/>
      <c r="FD43" s="1159"/>
      <c r="FE43" s="1159"/>
      <c r="FF43" s="1159"/>
      <c r="FG43" s="1159"/>
      <c r="FH43" s="1159"/>
      <c r="FI43" s="1159"/>
      <c r="FJ43" s="1159"/>
      <c r="FK43" s="1159"/>
      <c r="FL43" s="1159"/>
      <c r="FM43" s="1159"/>
      <c r="FN43" s="1159"/>
    </row>
    <row r="44" spans="1:173" s="434" customFormat="1" ht="16.149999999999999" customHeight="1">
      <c r="A44" s="642"/>
      <c r="B44" s="520" t="s">
        <v>2102</v>
      </c>
      <c r="C44" s="642"/>
      <c r="D44" s="1103"/>
      <c r="E44" s="1103"/>
      <c r="F44" s="1103"/>
      <c r="G44" s="1104"/>
      <c r="H44" s="1104"/>
      <c r="I44" s="1104"/>
      <c r="J44" s="1104"/>
      <c r="K44" s="1104"/>
      <c r="L44" s="1104"/>
      <c r="M44" s="1104"/>
      <c r="N44" s="1104"/>
      <c r="O44" s="1104"/>
      <c r="P44" s="1104"/>
      <c r="Q44" s="1103"/>
      <c r="R44" s="649"/>
      <c r="AJ44" s="475"/>
      <c r="AK44" s="475"/>
      <c r="AL44" s="475"/>
      <c r="AM44" s="475"/>
      <c r="AN44" s="475"/>
      <c r="AO44" s="475"/>
      <c r="AP44" s="475"/>
      <c r="AQ44" s="475"/>
      <c r="AR44" s="475"/>
      <c r="AS44" s="475"/>
      <c r="AT44" s="475"/>
      <c r="AU44" s="475"/>
      <c r="AV44" s="475"/>
      <c r="AW44" s="475"/>
      <c r="AX44" s="475"/>
      <c r="AY44" s="475"/>
      <c r="BB44" s="475"/>
      <c r="BC44" s="475"/>
      <c r="BD44" s="475"/>
      <c r="BE44" s="475"/>
      <c r="BF44" s="475"/>
      <c r="BG44" s="475"/>
      <c r="BH44" s="475"/>
      <c r="BI44" s="475"/>
      <c r="BJ44" s="475"/>
      <c r="BK44" s="475"/>
      <c r="BL44" s="475"/>
      <c r="BM44" s="475"/>
      <c r="BN44" s="475"/>
      <c r="BO44" s="475"/>
      <c r="BP44" s="475"/>
      <c r="BQ44" s="475"/>
      <c r="BR44" s="475"/>
      <c r="BV44" s="475"/>
      <c r="BW44" s="475"/>
      <c r="BX44" s="475"/>
      <c r="BY44" s="475"/>
      <c r="BZ44" s="475"/>
      <c r="CB44" s="475"/>
      <c r="CC44" s="475"/>
      <c r="CF44" s="475"/>
      <c r="CG44" s="475"/>
      <c r="CH44" s="475"/>
      <c r="CJ44" s="475"/>
      <c r="CK44" s="475"/>
      <c r="CL44" s="475"/>
      <c r="CM44" s="475"/>
      <c r="CN44" s="475"/>
      <c r="CO44" s="475"/>
      <c r="CP44" s="475"/>
      <c r="CQ44" s="475"/>
      <c r="CR44" s="475"/>
      <c r="CS44" s="475"/>
      <c r="CT44" s="475"/>
      <c r="CU44" s="475"/>
      <c r="CV44" s="475"/>
      <c r="CW44" s="475"/>
      <c r="CX44" s="475"/>
      <c r="CZ44" s="475"/>
      <c r="DA44" s="475"/>
      <c r="DB44" s="475"/>
      <c r="DC44" s="475"/>
      <c r="DD44" s="475"/>
      <c r="DE44" s="475"/>
      <c r="DF44" s="475"/>
      <c r="DG44" s="475"/>
      <c r="DH44" s="475"/>
      <c r="DI44" s="475"/>
      <c r="DJ44" s="475"/>
      <c r="DK44" s="475"/>
      <c r="DL44" s="475"/>
      <c r="DM44" s="475"/>
      <c r="DN44" s="475"/>
      <c r="DS44" s="475"/>
      <c r="DT44" s="475"/>
      <c r="DU44" s="475"/>
      <c r="DV44" s="1068"/>
      <c r="DX44" s="475"/>
      <c r="DY44" s="475"/>
      <c r="DZ44" s="475"/>
      <c r="EC44" s="475"/>
      <c r="ED44" s="475"/>
      <c r="EE44" s="475"/>
      <c r="EF44" s="475"/>
      <c r="EG44" s="475"/>
      <c r="EH44" s="475"/>
      <c r="EI44" s="475"/>
      <c r="EJ44" s="475"/>
      <c r="EK44" s="475"/>
      <c r="EL44" s="475"/>
      <c r="EM44" s="475"/>
      <c r="EN44" s="475"/>
      <c r="EO44" s="475"/>
      <c r="EP44" s="1162" t="str">
        <f>B44</f>
        <v>Alternate Rate Alert</v>
      </c>
      <c r="EQ44" s="1075" t="str">
        <f>IF(OR(EQ47="",EQ47=0),"No Alert","Enter justification")</f>
        <v>No Alert</v>
      </c>
      <c r="ER44" s="1075" t="str">
        <f>IF(OR(ER47="",ER47=0),"No Alert","Enter justification")</f>
        <v>No Alert</v>
      </c>
      <c r="ES44" s="475"/>
      <c r="ET44" s="789"/>
      <c r="EU44" s="1075" t="str">
        <f>IF(OR(EU47="",EU47=0),"No Alert","Enter justification")</f>
        <v>No Alert</v>
      </c>
      <c r="EV44" s="475"/>
      <c r="EW44" s="475"/>
    </row>
    <row r="45" spans="1:173" ht="16.149999999999999" customHeight="1">
      <c r="B45" s="520" t="s">
        <v>1521</v>
      </c>
      <c r="E45" s="475"/>
      <c r="F45" s="475"/>
      <c r="X45" s="475"/>
      <c r="Y45" s="475"/>
      <c r="Z45" s="475"/>
      <c r="AA45" s="475"/>
      <c r="AB45" s="1068"/>
      <c r="AC45" s="475"/>
      <c r="AD45" s="475"/>
      <c r="AE45" s="475"/>
      <c r="AF45" s="475"/>
      <c r="AG45" s="475"/>
      <c r="AH45" s="475"/>
      <c r="AI45" s="475"/>
      <c r="AJ45" s="475"/>
      <c r="AK45" s="475"/>
      <c r="AU45" s="474"/>
      <c r="AV45" s="474"/>
      <c r="AW45" s="474"/>
      <c r="AX45" s="474"/>
      <c r="AY45" s="474"/>
      <c r="AZ45" s="474"/>
      <c r="BD45" s="475"/>
      <c r="BM45" s="474"/>
      <c r="BN45" s="474"/>
      <c r="BO45" s="474"/>
      <c r="EP45" s="1162" t="str">
        <f>$B45</f>
        <v>TOV#</v>
      </c>
      <c r="EQ45" s="824" t="str">
        <f>TOVNum_Pasture</f>
        <v>#14.40</v>
      </c>
      <c r="ER45" s="824" t="str">
        <f>TOVNum_Native</f>
        <v>#14.41</v>
      </c>
      <c r="ES45" s="789"/>
      <c r="ET45" s="520"/>
      <c r="EU45" s="224" t="str">
        <f>Subrates_Table_5</f>
        <v>Subrates Table 5</v>
      </c>
      <c r="EY45" s="1068"/>
    </row>
    <row r="46" spans="1:173" ht="16.149999999999999" customHeight="1">
      <c r="B46" s="520" t="s">
        <v>1780</v>
      </c>
      <c r="X46" s="475"/>
      <c r="Y46" s="475"/>
      <c r="Z46" s="475"/>
      <c r="AA46" s="475"/>
      <c r="AB46" s="475"/>
      <c r="AC46" s="475"/>
      <c r="AD46" s="475"/>
      <c r="AS46" s="474"/>
      <c r="AT46" s="474"/>
      <c r="AU46" s="474"/>
      <c r="AV46" s="474"/>
      <c r="AW46" s="474"/>
      <c r="AX46" s="474"/>
      <c r="AY46" s="474"/>
      <c r="AZ46" s="474"/>
      <c r="BC46" s="474"/>
      <c r="BI46" s="474"/>
      <c r="BM46" s="474"/>
      <c r="BN46" s="474"/>
      <c r="BO46" s="474"/>
      <c r="BP46" s="474"/>
      <c r="BQ46" s="474"/>
      <c r="BR46" s="474"/>
      <c r="BU46" s="474"/>
      <c r="BV46" s="474"/>
      <c r="CB46" s="474"/>
      <c r="CC46" s="474"/>
      <c r="CD46" s="474"/>
      <c r="CE46" s="474"/>
      <c r="CF46" s="474"/>
      <c r="CG46" s="474"/>
      <c r="CH46" s="474"/>
      <c r="CR46" s="474"/>
      <c r="CS46" s="474"/>
      <c r="CT46" s="474"/>
      <c r="CV46" s="474"/>
      <c r="CW46" s="474"/>
      <c r="CX46" s="474"/>
      <c r="CZ46" s="474"/>
      <c r="DF46" s="474"/>
      <c r="DG46" s="474"/>
      <c r="DH46" s="474"/>
      <c r="DI46" s="474"/>
      <c r="DX46" s="474"/>
      <c r="EC46" s="474"/>
      <c r="EH46" s="474"/>
      <c r="EL46" s="474"/>
      <c r="EN46" s="474"/>
      <c r="EP46" s="1162" t="str">
        <f>$B46</f>
        <v>TOV Rate</v>
      </c>
      <c r="EQ46" s="41">
        <f>Seed_pasture_rate</f>
        <v>1655.5</v>
      </c>
      <c r="ER46" s="41">
        <f>Seed_native_rate</f>
        <v>4196.5</v>
      </c>
      <c r="ES46" s="789"/>
      <c r="ET46" s="520"/>
      <c r="EU46" s="41">
        <f>Subrates!$C$100</f>
        <v>972.13290984938885</v>
      </c>
      <c r="EY46" s="1068"/>
    </row>
    <row r="47" spans="1:173" s="434" customFormat="1" ht="16.149999999999999" customHeight="1">
      <c r="A47" s="475"/>
      <c r="B47" s="520" t="s">
        <v>1556</v>
      </c>
      <c r="C47" s="475"/>
      <c r="D47" s="1103"/>
      <c r="E47" s="1103"/>
      <c r="F47" s="1103"/>
      <c r="G47" s="1104"/>
      <c r="H47" s="1104"/>
      <c r="I47" s="1104"/>
      <c r="J47" s="1104"/>
      <c r="K47" s="1104"/>
      <c r="L47" s="1104"/>
      <c r="M47" s="1104"/>
      <c r="N47" s="1104"/>
      <c r="O47" s="1104"/>
      <c r="P47" s="1104"/>
      <c r="Q47" s="1104"/>
      <c r="R47" s="1104"/>
      <c r="S47" s="1104"/>
      <c r="T47" s="1104"/>
      <c r="U47" s="1104"/>
      <c r="V47" s="1104"/>
      <c r="W47" s="1104"/>
      <c r="X47" s="475"/>
      <c r="Y47" s="475"/>
      <c r="Z47" s="475"/>
      <c r="AA47" s="475"/>
      <c r="AB47" s="475"/>
      <c r="AC47" s="475"/>
      <c r="AL47" s="475"/>
      <c r="AM47" s="475"/>
      <c r="AO47" s="475"/>
      <c r="AP47" s="475"/>
      <c r="AQ47" s="475"/>
      <c r="AR47" s="475"/>
      <c r="AT47" s="475"/>
      <c r="BA47" s="475"/>
      <c r="BC47" s="475"/>
      <c r="BD47" s="475"/>
      <c r="BE47" s="475"/>
      <c r="BG47" s="475"/>
      <c r="BH47" s="475"/>
      <c r="BI47" s="475"/>
      <c r="BJ47" s="475"/>
      <c r="BL47" s="475"/>
      <c r="BM47" s="475"/>
      <c r="BN47" s="475"/>
      <c r="BS47" s="475"/>
      <c r="BT47" s="475"/>
      <c r="BW47" s="475"/>
      <c r="BX47" s="475"/>
      <c r="BY47" s="475"/>
      <c r="BZ47" s="475"/>
      <c r="CA47" s="475"/>
      <c r="CI47" s="475"/>
      <c r="CJ47" s="475"/>
      <c r="CK47" s="475"/>
      <c r="CM47" s="475"/>
      <c r="CN47" s="475"/>
      <c r="CO47" s="475"/>
      <c r="CQ47" s="475"/>
      <c r="CS47" s="475"/>
      <c r="CU47" s="475"/>
      <c r="CW47" s="475"/>
      <c r="CY47" s="475"/>
      <c r="CZ47" s="475"/>
      <c r="DB47" s="475"/>
      <c r="DC47" s="475"/>
      <c r="DD47" s="475"/>
      <c r="DG47" s="475"/>
      <c r="DH47" s="474"/>
      <c r="DJ47" s="475"/>
      <c r="DK47" s="475"/>
      <c r="DM47" s="475"/>
      <c r="DP47" s="475"/>
      <c r="DR47" s="475"/>
      <c r="DS47" s="475"/>
      <c r="DT47" s="474"/>
      <c r="DU47" s="475"/>
      <c r="DY47" s="475"/>
      <c r="DZ47" s="475"/>
      <c r="EA47" s="475"/>
      <c r="ED47" s="475"/>
      <c r="EE47" s="475"/>
      <c r="EF47" s="475"/>
      <c r="EI47" s="475"/>
      <c r="EJ47" s="475"/>
      <c r="EK47" s="475"/>
      <c r="EM47" s="475"/>
      <c r="EN47" s="475"/>
      <c r="EO47" s="475"/>
      <c r="EP47" s="1162" t="str">
        <f>$B47</f>
        <v>Alternate Rate</v>
      </c>
      <c r="EQ47" s="117"/>
      <c r="ER47" s="117"/>
      <c r="ES47" s="789"/>
      <c r="ET47" s="520"/>
      <c r="EU47" s="117"/>
      <c r="EV47" s="475"/>
      <c r="EW47" s="475"/>
      <c r="EX47" s="475"/>
      <c r="EY47" s="475"/>
      <c r="EZ47" s="475"/>
      <c r="FA47" s="475"/>
      <c r="FB47" s="475"/>
      <c r="FC47" s="475"/>
      <c r="FD47" s="475"/>
      <c r="FE47" s="475"/>
      <c r="FF47" s="475"/>
      <c r="FG47" s="475"/>
      <c r="FH47" s="475"/>
      <c r="FI47" s="475"/>
      <c r="FJ47" s="475"/>
      <c r="FK47" s="475"/>
      <c r="FL47" s="475"/>
      <c r="FM47" s="475"/>
      <c r="FN47" s="475"/>
      <c r="FO47" s="475"/>
      <c r="FP47" s="475"/>
      <c r="FQ47" s="475"/>
    </row>
    <row r="48" spans="1:173" s="434" customFormat="1" ht="16.149999999999999" customHeight="1">
      <c r="A48" s="475"/>
      <c r="B48" s="520" t="s">
        <v>2</v>
      </c>
      <c r="C48" s="475"/>
      <c r="D48" s="1103"/>
      <c r="E48" s="1103"/>
      <c r="F48" s="1103"/>
      <c r="G48" s="1104"/>
      <c r="H48" s="1104"/>
      <c r="I48" s="1104"/>
      <c r="J48" s="1104"/>
      <c r="K48" s="1104"/>
      <c r="L48" s="1104"/>
      <c r="M48" s="1104"/>
      <c r="N48" s="1104"/>
      <c r="O48" s="1104"/>
      <c r="P48" s="1104"/>
      <c r="Q48" s="1104"/>
      <c r="R48" s="1104"/>
      <c r="S48" s="1104"/>
      <c r="T48" s="1104"/>
      <c r="U48" s="1104"/>
      <c r="V48" s="1104"/>
      <c r="W48" s="1104"/>
      <c r="X48" s="475"/>
      <c r="Y48" s="475"/>
      <c r="Z48" s="475"/>
      <c r="AA48" s="475"/>
      <c r="AB48" s="475"/>
      <c r="AC48" s="475"/>
      <c r="AL48" s="475"/>
      <c r="AM48" s="475"/>
      <c r="AO48" s="475"/>
      <c r="AP48" s="475"/>
      <c r="AQ48" s="475"/>
      <c r="AR48" s="475"/>
      <c r="AT48" s="475"/>
      <c r="BA48" s="475"/>
      <c r="BC48" s="475"/>
      <c r="BD48" s="475"/>
      <c r="BE48" s="475"/>
      <c r="BG48" s="475"/>
      <c r="BH48" s="475"/>
      <c r="BI48" s="475"/>
      <c r="BJ48" s="475"/>
      <c r="BL48" s="475"/>
      <c r="BM48" s="475"/>
      <c r="BN48" s="475"/>
      <c r="BS48" s="475"/>
      <c r="BT48" s="475"/>
      <c r="BW48" s="475"/>
      <c r="BX48" s="475"/>
      <c r="BY48" s="475"/>
      <c r="BZ48" s="475"/>
      <c r="CA48" s="475"/>
      <c r="CI48" s="475"/>
      <c r="CJ48" s="475"/>
      <c r="CK48" s="475"/>
      <c r="CM48" s="475"/>
      <c r="CN48" s="475"/>
      <c r="CO48" s="475"/>
      <c r="CQ48" s="475"/>
      <c r="CS48" s="475"/>
      <c r="CU48" s="475"/>
      <c r="CW48" s="475"/>
      <c r="CY48" s="475"/>
      <c r="CZ48" s="475"/>
      <c r="DB48" s="475"/>
      <c r="DC48" s="475"/>
      <c r="DD48" s="475"/>
      <c r="DG48" s="475"/>
      <c r="DH48" s="474"/>
      <c r="DJ48" s="475"/>
      <c r="DK48" s="475"/>
      <c r="DM48" s="475"/>
      <c r="DP48" s="475"/>
      <c r="DR48" s="475"/>
      <c r="DS48" s="475"/>
      <c r="DT48" s="474"/>
      <c r="DU48" s="475"/>
      <c r="DY48" s="475"/>
      <c r="DZ48" s="475"/>
      <c r="EA48" s="475"/>
      <c r="ED48" s="475"/>
      <c r="EE48" s="475"/>
      <c r="EF48" s="475"/>
      <c r="EI48" s="475"/>
      <c r="EJ48" s="475"/>
      <c r="EK48" s="475"/>
      <c r="EM48" s="475"/>
      <c r="EN48" s="475"/>
      <c r="EO48" s="475"/>
      <c r="EP48" s="1162" t="str">
        <f>$B48</f>
        <v>Unit</v>
      </c>
      <c r="EQ48" s="768" t="str">
        <f>VLOOKUP(EQ45,TOV!$C$536:$G$585,TOV!$G$1,FALSE)</f>
        <v>ha</v>
      </c>
      <c r="ER48" s="768" t="str">
        <f>VLOOKUP(ER45,TOV!$C$536:$G$585,TOV!$G$1,FALSE)</f>
        <v>ha</v>
      </c>
      <c r="ES48" s="789"/>
      <c r="ET48" s="520"/>
      <c r="EU48" s="768" t="str">
        <f>Subrates!D100</f>
        <v>ha</v>
      </c>
      <c r="EV48" s="475"/>
      <c r="EW48" s="475"/>
      <c r="EX48" s="475"/>
      <c r="EY48" s="475"/>
      <c r="EZ48" s="475"/>
      <c r="FA48" s="475"/>
      <c r="FB48" s="475"/>
      <c r="FC48" s="475"/>
      <c r="FD48" s="475"/>
      <c r="FE48" s="475"/>
      <c r="FF48" s="475"/>
      <c r="FG48" s="475"/>
      <c r="FH48" s="475"/>
      <c r="FI48" s="475"/>
      <c r="FJ48" s="475"/>
      <c r="FK48" s="475"/>
      <c r="FL48" s="475"/>
      <c r="FM48" s="475"/>
      <c r="FN48" s="475"/>
      <c r="FO48" s="475"/>
      <c r="FP48" s="475"/>
      <c r="FQ48" s="475"/>
    </row>
    <row r="49" spans="1:173" s="434" customFormat="1" ht="16.149999999999999" customHeight="1">
      <c r="A49" s="475"/>
      <c r="B49" s="520" t="s">
        <v>1</v>
      </c>
      <c r="C49" s="475"/>
      <c r="D49" s="1103"/>
      <c r="E49" s="1103"/>
      <c r="F49" s="1103"/>
      <c r="G49" s="1104"/>
      <c r="H49" s="1104"/>
      <c r="I49" s="474"/>
      <c r="J49" s="1104"/>
      <c r="K49" s="1104"/>
      <c r="L49" s="1104"/>
      <c r="M49" s="1104"/>
      <c r="N49" s="1104"/>
      <c r="O49" s="474"/>
      <c r="P49" s="1104"/>
      <c r="Q49" s="1104"/>
      <c r="R49" s="1104"/>
      <c r="S49" s="1104"/>
      <c r="T49" s="1104"/>
      <c r="U49" s="1104"/>
      <c r="V49" s="1104"/>
      <c r="W49" s="1104"/>
      <c r="X49" s="475"/>
      <c r="Y49" s="475"/>
      <c r="Z49" s="475"/>
      <c r="AA49" s="475"/>
      <c r="AB49" s="475"/>
      <c r="AC49" s="475"/>
      <c r="AL49" s="475"/>
      <c r="AM49" s="475"/>
      <c r="AO49" s="475"/>
      <c r="AP49" s="475"/>
      <c r="AQ49" s="475"/>
      <c r="AR49" s="475"/>
      <c r="AT49" s="475"/>
      <c r="BA49" s="475"/>
      <c r="BC49" s="475"/>
      <c r="BD49" s="475"/>
      <c r="BE49" s="475"/>
      <c r="BG49" s="475"/>
      <c r="BH49" s="475"/>
      <c r="BI49" s="475"/>
      <c r="BJ49" s="475"/>
      <c r="BL49" s="475"/>
      <c r="BM49" s="475"/>
      <c r="BN49" s="475"/>
      <c r="BS49" s="475"/>
      <c r="BT49" s="475"/>
      <c r="BW49" s="475"/>
      <c r="BX49" s="475"/>
      <c r="BY49" s="475"/>
      <c r="BZ49" s="475"/>
      <c r="CA49" s="475"/>
      <c r="CI49" s="475"/>
      <c r="CJ49" s="475"/>
      <c r="CK49" s="475"/>
      <c r="CM49" s="475"/>
      <c r="CN49" s="475"/>
      <c r="CO49" s="475"/>
      <c r="CQ49" s="475"/>
      <c r="CS49" s="475"/>
      <c r="CU49" s="475"/>
      <c r="CW49" s="475"/>
      <c r="CY49" s="475"/>
      <c r="CZ49" s="475"/>
      <c r="DB49" s="475"/>
      <c r="DC49" s="475"/>
      <c r="DD49" s="475"/>
      <c r="DG49" s="475"/>
      <c r="DH49" s="474"/>
      <c r="DJ49" s="475"/>
      <c r="DK49" s="475"/>
      <c r="DM49" s="475"/>
      <c r="DP49" s="475"/>
      <c r="DR49" s="475"/>
      <c r="DS49" s="475"/>
      <c r="DT49" s="474"/>
      <c r="DU49" s="475"/>
      <c r="DY49" s="475"/>
      <c r="DZ49" s="475"/>
      <c r="EA49" s="475"/>
      <c r="ED49" s="475"/>
      <c r="EE49" s="475"/>
      <c r="EF49" s="475"/>
      <c r="EI49" s="475"/>
      <c r="EJ49" s="475"/>
      <c r="EK49" s="475"/>
      <c r="EM49" s="475"/>
      <c r="EN49" s="475"/>
      <c r="EO49" s="475"/>
      <c r="EP49" s="1162" t="str">
        <f>$B49</f>
        <v>Default</v>
      </c>
      <c r="EQ49" s="520"/>
      <c r="ER49" s="520"/>
      <c r="ES49" s="789" t="str">
        <f>$B49</f>
        <v>Default</v>
      </c>
      <c r="ET49" s="990">
        <v>1</v>
      </c>
      <c r="EU49" s="520"/>
      <c r="EV49" s="475"/>
      <c r="EW49" s="475"/>
      <c r="EX49" s="475"/>
      <c r="EY49" s="475"/>
      <c r="EZ49" s="475"/>
      <c r="FA49" s="475"/>
      <c r="FB49" s="475"/>
      <c r="FC49" s="475"/>
      <c r="FD49" s="475"/>
      <c r="FE49" s="475"/>
      <c r="FF49" s="475"/>
      <c r="FG49" s="475"/>
      <c r="FH49" s="475"/>
      <c r="FI49" s="475"/>
      <c r="FJ49" s="475"/>
      <c r="FK49" s="475"/>
      <c r="FL49" s="475"/>
      <c r="FM49" s="475"/>
      <c r="FN49" s="475"/>
      <c r="FO49" s="475"/>
      <c r="FP49" s="475"/>
      <c r="FQ49" s="475"/>
    </row>
    <row r="50" spans="1:173" ht="16.149999999999999" customHeight="1">
      <c r="B50" s="286" t="s">
        <v>26</v>
      </c>
      <c r="C50" s="761" t="s">
        <v>2103</v>
      </c>
      <c r="D50" s="761"/>
      <c r="E50" s="855" t="s">
        <v>2104</v>
      </c>
      <c r="F50" s="1078"/>
      <c r="G50" s="855" t="s">
        <v>2105</v>
      </c>
      <c r="H50" s="1078"/>
      <c r="I50" s="1078"/>
      <c r="J50" s="1078"/>
      <c r="K50" s="1078"/>
      <c r="L50" s="1078"/>
      <c r="M50" s="855" t="s">
        <v>2106</v>
      </c>
      <c r="N50" s="1078"/>
      <c r="O50" s="1078"/>
      <c r="P50" s="1078"/>
      <c r="Q50" s="1078"/>
      <c r="R50" s="1078"/>
      <c r="S50" s="855" t="s">
        <v>2107</v>
      </c>
      <c r="T50" s="1078"/>
      <c r="U50" s="1078"/>
      <c r="V50" s="1078"/>
      <c r="W50" s="1078"/>
      <c r="X50" s="1078"/>
      <c r="Y50" s="1078"/>
      <c r="Z50" s="1078"/>
      <c r="AA50" s="1078"/>
      <c r="AB50" s="1078"/>
      <c r="AC50" s="1078"/>
      <c r="AD50" s="1078"/>
      <c r="AE50" s="855" t="s">
        <v>2108</v>
      </c>
      <c r="AF50" s="1078"/>
      <c r="AG50" s="1078"/>
      <c r="AH50" s="1078"/>
      <c r="AI50" s="1078"/>
      <c r="AJ50" s="1078"/>
      <c r="AK50" s="1078"/>
      <c r="AL50" s="1078"/>
      <c r="AM50" s="1078"/>
      <c r="AN50" s="1078"/>
      <c r="AO50" s="1078"/>
      <c r="AP50" s="1078"/>
      <c r="AQ50" s="1078"/>
      <c r="AR50" s="1078"/>
      <c r="AS50" s="1078"/>
      <c r="AT50" s="1078"/>
      <c r="AU50" s="855" t="s">
        <v>2109</v>
      </c>
      <c r="AV50" s="1078"/>
      <c r="AW50" s="1078"/>
      <c r="AX50" s="1078"/>
      <c r="AY50" s="1078"/>
      <c r="AZ50" s="1078"/>
      <c r="BA50" s="1078"/>
      <c r="BB50" s="1078"/>
      <c r="BC50" s="1078"/>
      <c r="BD50" s="1078"/>
      <c r="BE50" s="1078"/>
      <c r="BF50" s="1078"/>
      <c r="BG50" s="1078"/>
      <c r="BH50" s="1078"/>
      <c r="BI50" s="1078"/>
      <c r="BJ50" s="1078"/>
      <c r="BK50" s="1078"/>
      <c r="BL50" s="1078"/>
      <c r="BM50" s="855" t="s">
        <v>2110</v>
      </c>
      <c r="BN50" s="1078"/>
      <c r="BO50" s="1078"/>
      <c r="BP50" s="1078"/>
      <c r="BQ50" s="1078"/>
      <c r="BR50" s="1078"/>
      <c r="BS50" s="1078"/>
      <c r="BT50" s="1078"/>
      <c r="BU50" s="1078"/>
      <c r="BV50" s="1078"/>
      <c r="BW50" s="1078"/>
      <c r="BX50" s="1078"/>
      <c r="BY50" s="1078"/>
      <c r="BZ50" s="1078"/>
      <c r="CA50" s="1078"/>
      <c r="CB50" s="855" t="s">
        <v>2111</v>
      </c>
      <c r="CC50" s="1078"/>
      <c r="CD50" s="1078"/>
      <c r="CE50" s="1078"/>
      <c r="CF50" s="1078"/>
      <c r="CG50" s="1078"/>
      <c r="CH50" s="1078"/>
      <c r="CI50" s="1078"/>
      <c r="CJ50" s="1078"/>
      <c r="CK50" s="1078"/>
      <c r="CL50" s="1078"/>
      <c r="CM50" s="1078"/>
      <c r="CN50" s="1078"/>
      <c r="CO50" s="1078"/>
      <c r="CP50" s="1078"/>
      <c r="CQ50" s="1078"/>
      <c r="CR50" s="1078"/>
      <c r="CS50" s="1078"/>
      <c r="CT50" s="855" t="s">
        <v>2112</v>
      </c>
      <c r="CU50" s="1078"/>
      <c r="CV50" s="1078"/>
      <c r="CW50" s="1078"/>
      <c r="CX50" s="1078"/>
      <c r="CY50" s="1078"/>
      <c r="CZ50" s="1078"/>
      <c r="DA50" s="855" t="s">
        <v>2113</v>
      </c>
      <c r="DB50" s="1078"/>
      <c r="DC50" s="1078"/>
      <c r="DD50" s="1078"/>
      <c r="DE50" s="1078"/>
      <c r="DF50" s="855" t="s">
        <v>2114</v>
      </c>
      <c r="DG50" s="1078"/>
      <c r="DH50" s="1078"/>
      <c r="DI50" s="1078"/>
      <c r="DJ50" s="1078"/>
      <c r="DK50" s="1078"/>
      <c r="DL50" s="1078"/>
      <c r="DM50" s="1078"/>
      <c r="DN50" s="1078"/>
      <c r="DO50" s="1078"/>
      <c r="DP50" s="1078"/>
      <c r="DQ50" s="1078"/>
      <c r="DR50" s="1078"/>
      <c r="DS50" s="1078"/>
      <c r="DT50" s="1078"/>
      <c r="DU50" s="1078"/>
      <c r="DV50" s="1078"/>
      <c r="DW50" s="1078"/>
      <c r="DX50" s="1078"/>
      <c r="DY50" s="1078"/>
      <c r="DZ50" s="1078"/>
      <c r="EA50" s="1078"/>
      <c r="EB50" s="1078"/>
      <c r="EC50" s="1078"/>
      <c r="ED50" s="1078"/>
      <c r="EE50" s="1078"/>
      <c r="EF50" s="1078"/>
      <c r="EG50" s="1078"/>
      <c r="EH50" s="1078"/>
      <c r="EI50" s="1078"/>
      <c r="EJ50" s="1078"/>
      <c r="EK50" s="1078"/>
      <c r="EL50" s="1078"/>
      <c r="EM50" s="1078"/>
      <c r="EN50" s="1078"/>
      <c r="EO50" s="1078"/>
      <c r="EP50" s="1079"/>
      <c r="EQ50" s="1078"/>
      <c r="ER50" s="1078"/>
      <c r="ES50" s="855" t="s">
        <v>2115</v>
      </c>
      <c r="ET50" s="1078"/>
      <c r="EU50" s="1078"/>
      <c r="EV50" s="855" t="s">
        <v>2116</v>
      </c>
      <c r="EW50" s="1078"/>
      <c r="EX50" s="1078"/>
      <c r="EY50" s="1079"/>
    </row>
    <row r="51" spans="1:173" s="1088" customFormat="1" ht="60">
      <c r="B51" s="954" t="s">
        <v>1517</v>
      </c>
      <c r="C51" s="954" t="s">
        <v>27</v>
      </c>
      <c r="D51" s="954" t="s">
        <v>1583</v>
      </c>
      <c r="E51" s="1109" t="s">
        <v>2117</v>
      </c>
      <c r="F51" s="1110" t="s">
        <v>1911</v>
      </c>
      <c r="G51" s="1109" t="s">
        <v>2118</v>
      </c>
      <c r="H51" s="1109" t="s">
        <v>2119</v>
      </c>
      <c r="I51" s="1109" t="s">
        <v>2120</v>
      </c>
      <c r="J51" s="1109" t="s">
        <v>2121</v>
      </c>
      <c r="K51" s="1109" t="s">
        <v>2122</v>
      </c>
      <c r="L51" s="1109" t="s">
        <v>1932</v>
      </c>
      <c r="M51" s="1109" t="s">
        <v>2123</v>
      </c>
      <c r="N51" s="1109" t="s">
        <v>2124</v>
      </c>
      <c r="O51" s="1109" t="s">
        <v>2125</v>
      </c>
      <c r="P51" s="1109" t="s">
        <v>2126</v>
      </c>
      <c r="Q51" s="1109" t="s">
        <v>2127</v>
      </c>
      <c r="R51" s="1109" t="s">
        <v>1932</v>
      </c>
      <c r="S51" s="1110" t="s">
        <v>2128</v>
      </c>
      <c r="T51" s="1112" t="s">
        <v>1934</v>
      </c>
      <c r="U51" s="1109" t="s">
        <v>1935</v>
      </c>
      <c r="V51" s="954" t="s">
        <v>2129</v>
      </c>
      <c r="W51" s="1110" t="s">
        <v>2130</v>
      </c>
      <c r="X51" s="1110" t="s">
        <v>1922</v>
      </c>
      <c r="Y51" s="1111"/>
      <c r="Z51" s="1111" t="s">
        <v>2131</v>
      </c>
      <c r="AA51" s="1109" t="s">
        <v>2132</v>
      </c>
      <c r="AB51" s="1109" t="s">
        <v>2133</v>
      </c>
      <c r="AC51" s="1109" t="s">
        <v>1925</v>
      </c>
      <c r="AD51" s="1109" t="s">
        <v>1927</v>
      </c>
      <c r="AE51" s="1109" t="s">
        <v>2134</v>
      </c>
      <c r="AF51" s="1109" t="str">
        <f>CONCATENATE(M9," (",O9,")")</f>
        <v>Default Working Layer Thickness (m)</v>
      </c>
      <c r="AG51" s="1109" t="s">
        <v>2135</v>
      </c>
      <c r="AH51" s="1109" t="s">
        <v>2136</v>
      </c>
      <c r="AI51" s="1109" t="s">
        <v>2137</v>
      </c>
      <c r="AJ51" s="1109" t="s">
        <v>1968</v>
      </c>
      <c r="AK51" s="1110" t="s">
        <v>1969</v>
      </c>
      <c r="AL51" s="1111" t="s">
        <v>1970</v>
      </c>
      <c r="AM51" s="1111" t="s">
        <v>1971</v>
      </c>
      <c r="AN51" s="1112" t="s">
        <v>1972</v>
      </c>
      <c r="AO51" s="955" t="s">
        <v>1973</v>
      </c>
      <c r="AP51" s="1111"/>
      <c r="AQ51" s="1111" t="s">
        <v>1974</v>
      </c>
      <c r="AR51" s="1109" t="s">
        <v>1975</v>
      </c>
      <c r="AS51" s="1109" t="s">
        <v>1976</v>
      </c>
      <c r="AT51" s="1109" t="s">
        <v>1977</v>
      </c>
      <c r="AU51" s="1109" t="s">
        <v>2138</v>
      </c>
      <c r="AV51" s="1109" t="str">
        <f>CONCATENATE(M10," (",O10,")")</f>
        <v>Default Capillary Break Layer Thickness (m)</v>
      </c>
      <c r="AW51" s="1109" t="s">
        <v>1938</v>
      </c>
      <c r="AX51" s="1109" t="s">
        <v>1939</v>
      </c>
      <c r="AY51" s="1109" t="s">
        <v>1940</v>
      </c>
      <c r="AZ51" s="1109" t="s">
        <v>1941</v>
      </c>
      <c r="BA51" s="1109" t="str">
        <f>CONCATENATE(Subrates!$B$97," (m3)")</f>
        <v>Source and prepare Capillary Break Layer Material Rate (m3)</v>
      </c>
      <c r="BB51" s="954" t="s">
        <v>1942</v>
      </c>
      <c r="BC51" s="955" t="s">
        <v>1943</v>
      </c>
      <c r="BD51" s="1150" t="s">
        <v>1944</v>
      </c>
      <c r="BE51" s="1109" t="s">
        <v>1945</v>
      </c>
      <c r="BF51" s="954" t="s">
        <v>1946</v>
      </c>
      <c r="BG51" s="1110" t="s">
        <v>1947</v>
      </c>
      <c r="BH51" s="1111"/>
      <c r="BI51" s="1112" t="s">
        <v>17</v>
      </c>
      <c r="BJ51" s="1109" t="s">
        <v>1948</v>
      </c>
      <c r="BK51" s="954" t="s">
        <v>1949</v>
      </c>
      <c r="BL51" s="954" t="s">
        <v>1950</v>
      </c>
      <c r="BM51" s="1109" t="s">
        <v>2139</v>
      </c>
      <c r="BN51" s="1109" t="str">
        <f>CONCATENATE(M11," (",O11,")")</f>
        <v>Default Low Permeability Layer Thickness (m)</v>
      </c>
      <c r="BO51" s="1109" t="s">
        <v>1952</v>
      </c>
      <c r="BP51" s="1109" t="s">
        <v>1953</v>
      </c>
      <c r="BQ51" s="1109" t="s">
        <v>1954</v>
      </c>
      <c r="BR51" s="1109" t="s">
        <v>1955</v>
      </c>
      <c r="BS51" s="1109" t="s">
        <v>1956</v>
      </c>
      <c r="BT51" s="1109" t="s">
        <v>1957</v>
      </c>
      <c r="BU51" s="954" t="s">
        <v>1958</v>
      </c>
      <c r="BV51" s="954" t="s">
        <v>2079</v>
      </c>
      <c r="BW51" s="1109" t="s">
        <v>1960</v>
      </c>
      <c r="BX51" s="1109" t="s">
        <v>1961</v>
      </c>
      <c r="BY51" s="1109" t="s">
        <v>1962</v>
      </c>
      <c r="BZ51" s="954" t="s">
        <v>1963</v>
      </c>
      <c r="CA51" s="954" t="s">
        <v>1964</v>
      </c>
      <c r="CB51" s="1109" t="s">
        <v>2140</v>
      </c>
      <c r="CC51" s="1109" t="str">
        <f>CONCATENATE(M12," (",O12,")")</f>
        <v>Default Rock Cover Layer Thickness (m)</v>
      </c>
      <c r="CD51" s="1109" t="s">
        <v>1965</v>
      </c>
      <c r="CE51" s="1109" t="s">
        <v>1966</v>
      </c>
      <c r="CF51" s="1109" t="s">
        <v>1967</v>
      </c>
      <c r="CG51" s="1109" t="s">
        <v>1968</v>
      </c>
      <c r="CH51" s="1110" t="s">
        <v>1969</v>
      </c>
      <c r="CI51" s="1111"/>
      <c r="CJ51" s="1111" t="s">
        <v>1970</v>
      </c>
      <c r="CK51" s="1111" t="s">
        <v>1971</v>
      </c>
      <c r="CL51" s="1112" t="s">
        <v>1972</v>
      </c>
      <c r="CM51" s="955" t="s">
        <v>1973</v>
      </c>
      <c r="CN51" s="1111"/>
      <c r="CO51" s="1111" t="s">
        <v>1974</v>
      </c>
      <c r="CP51" s="1112"/>
      <c r="CQ51" s="1109" t="s">
        <v>1975</v>
      </c>
      <c r="CR51" s="1109" t="s">
        <v>1976</v>
      </c>
      <c r="CS51" s="1109" t="s">
        <v>1977</v>
      </c>
      <c r="CT51" s="1109" t="s">
        <v>1978</v>
      </c>
      <c r="CU51" s="1109" t="s">
        <v>1979</v>
      </c>
      <c r="CV51" s="1109" t="s">
        <v>1980</v>
      </c>
      <c r="CW51" s="1109" t="s">
        <v>1981</v>
      </c>
      <c r="CX51" s="1109" t="s">
        <v>1982</v>
      </c>
      <c r="CY51" s="1109" t="s">
        <v>1983</v>
      </c>
      <c r="CZ51" s="954" t="s">
        <v>1984</v>
      </c>
      <c r="DA51" s="1109" t="s">
        <v>2080</v>
      </c>
      <c r="DB51" s="954" t="s">
        <v>2081</v>
      </c>
      <c r="DC51" s="1109" t="s">
        <v>2081</v>
      </c>
      <c r="DD51" s="954" t="s">
        <v>2082</v>
      </c>
      <c r="DE51" s="1109" t="s">
        <v>2083</v>
      </c>
      <c r="DF51" s="1109" t="str">
        <f>CONCATENATE(M13," (",O13,")")</f>
        <v>Default Growth Media Thickness (m)</v>
      </c>
      <c r="DG51" s="1109" t="s">
        <v>2055</v>
      </c>
      <c r="DH51" s="1109" t="s">
        <v>1624</v>
      </c>
      <c r="DI51" s="1109" t="s">
        <v>1625</v>
      </c>
      <c r="DJ51" s="1110" t="s">
        <v>1700</v>
      </c>
      <c r="DK51" s="1111"/>
      <c r="DL51" s="1112" t="s">
        <v>1991</v>
      </c>
      <c r="DM51" s="1109" t="s">
        <v>1992</v>
      </c>
      <c r="DN51" s="1109" t="s">
        <v>1836</v>
      </c>
      <c r="DO51" s="954" t="s">
        <v>1993</v>
      </c>
      <c r="DP51" s="954" t="s">
        <v>1994</v>
      </c>
      <c r="DQ51" s="1109" t="s">
        <v>1995</v>
      </c>
      <c r="DR51" s="1109" t="s">
        <v>1996</v>
      </c>
      <c r="DS51" s="1109" t="s">
        <v>1997</v>
      </c>
      <c r="DT51" s="954" t="s">
        <v>1998</v>
      </c>
      <c r="DU51" s="1109" t="s">
        <v>1703</v>
      </c>
      <c r="DV51" s="1110" t="s">
        <v>1999</v>
      </c>
      <c r="DW51" s="954" t="s">
        <v>2000</v>
      </c>
      <c r="DX51" s="1112" t="s">
        <v>2001</v>
      </c>
      <c r="DY51" s="1109" t="s">
        <v>2002</v>
      </c>
      <c r="DZ51" s="1109" t="s">
        <v>2003</v>
      </c>
      <c r="EA51" s="1110" t="s">
        <v>2004</v>
      </c>
      <c r="EB51" s="954" t="s">
        <v>2005</v>
      </c>
      <c r="EC51" s="1112" t="s">
        <v>2001</v>
      </c>
      <c r="ED51" s="1109" t="s">
        <v>2006</v>
      </c>
      <c r="EE51" s="1109" t="s">
        <v>2007</v>
      </c>
      <c r="EF51" s="1110" t="s">
        <v>2008</v>
      </c>
      <c r="EG51" s="954" t="s">
        <v>2009</v>
      </c>
      <c r="EH51" s="1112" t="s">
        <v>2001</v>
      </c>
      <c r="EI51" s="1109" t="s">
        <v>2010</v>
      </c>
      <c r="EJ51" s="1109" t="s">
        <v>2011</v>
      </c>
      <c r="EK51" s="1109" t="s">
        <v>2012</v>
      </c>
      <c r="EL51" s="1109" t="s">
        <v>1626</v>
      </c>
      <c r="EM51" s="1109" t="s">
        <v>1627</v>
      </c>
      <c r="EN51" s="1109" t="s">
        <v>1628</v>
      </c>
      <c r="EO51" s="1109" t="s">
        <v>1629</v>
      </c>
      <c r="EP51" s="1109" t="s">
        <v>1630</v>
      </c>
      <c r="EQ51" s="1109" t="s">
        <v>2013</v>
      </c>
      <c r="ER51" s="1109" t="s">
        <v>2014</v>
      </c>
      <c r="ES51" s="1109" t="s">
        <v>2015</v>
      </c>
      <c r="ET51" s="1109" t="s">
        <v>2141</v>
      </c>
      <c r="EU51" s="1109" t="s">
        <v>2142</v>
      </c>
      <c r="EV51" s="1109" t="s">
        <v>2018</v>
      </c>
      <c r="EW51" s="1109" t="s">
        <v>2094</v>
      </c>
      <c r="EX51" s="1109" t="s">
        <v>2020</v>
      </c>
      <c r="EY51" s="1109" t="s">
        <v>2021</v>
      </c>
      <c r="EZ51" s="775" t="s">
        <v>2143</v>
      </c>
      <c r="FA51" s="954" t="s">
        <v>2023</v>
      </c>
      <c r="FB51" s="1088" t="s">
        <v>2024</v>
      </c>
      <c r="FC51" s="776" t="s">
        <v>1645</v>
      </c>
      <c r="FD51" s="777"/>
      <c r="FE51" s="777"/>
      <c r="FF51" s="777"/>
      <c r="FG51" s="777"/>
      <c r="FH51" s="777"/>
      <c r="FI51" s="777"/>
      <c r="FJ51" s="778"/>
    </row>
    <row r="52" spans="1:173" s="736" customFormat="1">
      <c r="D52" s="1116"/>
      <c r="E52" s="1116"/>
      <c r="F52" s="199" t="s">
        <v>1646</v>
      </c>
      <c r="G52" s="1116"/>
      <c r="H52" s="1116"/>
      <c r="I52" s="375" t="s">
        <v>2025</v>
      </c>
      <c r="J52" s="221" t="str">
        <f>$M$5</f>
        <v>TSF Capping Values</v>
      </c>
      <c r="K52" s="1116"/>
      <c r="L52" s="1116"/>
      <c r="M52" s="1116"/>
      <c r="N52" s="1116"/>
      <c r="O52" s="375" t="s">
        <v>2025</v>
      </c>
      <c r="P52" s="221" t="str">
        <f>$M$5</f>
        <v>TSF Capping Values</v>
      </c>
      <c r="Q52" s="1116"/>
      <c r="R52" s="1116"/>
      <c r="S52" s="199" t="s">
        <v>1646</v>
      </c>
      <c r="T52" s="199" t="s">
        <v>1646</v>
      </c>
      <c r="U52" s="212" t="str">
        <f>Subrates_Table_1</f>
        <v>Subrates Table 1</v>
      </c>
      <c r="V52" s="1116"/>
      <c r="W52" s="199" t="s">
        <v>1646</v>
      </c>
      <c r="X52" s="199" t="s">
        <v>1646</v>
      </c>
      <c r="Y52" s="1116"/>
      <c r="Z52" s="199" t="s">
        <v>1646</v>
      </c>
      <c r="AA52" s="212" t="str">
        <f>Subrates_Table_2</f>
        <v>Subrates Table 2</v>
      </c>
      <c r="AB52" s="1116"/>
      <c r="AC52" s="199" t="str">
        <f>Subrates!B75</f>
        <v>Reshape slopes and batters to angle shown. Max 100 mm push</v>
      </c>
      <c r="AD52" s="1116"/>
      <c r="AE52" s="1116"/>
      <c r="AF52" s="221" t="str">
        <f>$M$5</f>
        <v>TSF Capping Values</v>
      </c>
      <c r="AG52" s="375" t="s">
        <v>2025</v>
      </c>
      <c r="AH52" s="1116"/>
      <c r="AI52" s="1116"/>
      <c r="AJ52" s="1116"/>
      <c r="AK52" s="186" t="s">
        <v>1646</v>
      </c>
      <c r="AL52" s="186" t="s">
        <v>1646</v>
      </c>
      <c r="AM52" s="212" t="str">
        <f>Subrates_Table_1</f>
        <v>Subrates Table 1</v>
      </c>
      <c r="AN52" s="1116"/>
      <c r="AO52" s="199" t="s">
        <v>1646</v>
      </c>
      <c r="AQ52" s="199" t="s">
        <v>1646</v>
      </c>
      <c r="AR52" s="212" t="str">
        <f>Subrates_Table_2</f>
        <v>Subrates Table 2</v>
      </c>
      <c r="AS52" s="1116"/>
      <c r="AT52" s="1116"/>
      <c r="AU52" s="1116"/>
      <c r="AV52" s="221" t="str">
        <f>$M$5</f>
        <v>TSF Capping Values</v>
      </c>
      <c r="AW52" s="375" t="s">
        <v>2025</v>
      </c>
      <c r="AX52" s="1116"/>
      <c r="AY52" s="1116"/>
      <c r="AZ52" s="1116"/>
      <c r="BA52" s="212" t="str">
        <f>Subrates_Table_5</f>
        <v>Subrates Table 5</v>
      </c>
      <c r="BB52" s="1116"/>
      <c r="BC52" s="199" t="s">
        <v>1646</v>
      </c>
      <c r="BD52" s="199" t="s">
        <v>1646</v>
      </c>
      <c r="BE52" s="212" t="str">
        <f>Subrates_Table_1</f>
        <v>Subrates Table 1</v>
      </c>
      <c r="BF52" s="1116"/>
      <c r="BG52" s="199" t="s">
        <v>1646</v>
      </c>
      <c r="BH52" s="1116"/>
      <c r="BI52" s="199" t="s">
        <v>1646</v>
      </c>
      <c r="BJ52" s="212" t="str">
        <f>Subrates_Table_2</f>
        <v>Subrates Table 2</v>
      </c>
      <c r="BK52" s="1116"/>
      <c r="BL52" s="1116"/>
      <c r="BM52" s="1116"/>
      <c r="BN52" s="221" t="str">
        <f>$M$5</f>
        <v>TSF Capping Values</v>
      </c>
      <c r="BO52" s="375" t="s">
        <v>2025</v>
      </c>
      <c r="BP52" s="1116"/>
      <c r="BQ52" s="1116"/>
      <c r="BR52" s="1116"/>
      <c r="BS52" s="212" t="str">
        <f>Subrates_Table_5</f>
        <v>Subrates Table 5</v>
      </c>
      <c r="BT52" s="1116"/>
      <c r="BU52" s="199" t="s">
        <v>1646</v>
      </c>
      <c r="BV52" s="199" t="s">
        <v>1646</v>
      </c>
      <c r="BW52" s="212" t="s">
        <v>470</v>
      </c>
      <c r="BX52" s="199" t="str">
        <f>Subrates!B121</f>
        <v>Clay work on-site</v>
      </c>
      <c r="BZ52" s="1116"/>
      <c r="CA52" s="1116"/>
      <c r="CB52" s="1116"/>
      <c r="CC52" s="221" t="str">
        <f>$M$5</f>
        <v>TSF Capping Values</v>
      </c>
      <c r="CD52" s="375" t="s">
        <v>2025</v>
      </c>
      <c r="CE52" s="1116"/>
      <c r="CF52" s="1116"/>
      <c r="CG52" s="1116"/>
      <c r="CH52" s="199" t="s">
        <v>1646</v>
      </c>
      <c r="CI52" s="1116"/>
      <c r="CJ52" s="199" t="s">
        <v>1646</v>
      </c>
      <c r="CK52" s="212" t="str">
        <f>Subrates_Table_1</f>
        <v>Subrates Table 1</v>
      </c>
      <c r="CL52" s="1116"/>
      <c r="CM52" s="199" t="s">
        <v>1646</v>
      </c>
      <c r="CO52" s="199" t="s">
        <v>1646</v>
      </c>
      <c r="CQ52" s="199" t="str">
        <f>Subrates!B54</f>
        <v>Bulk Push</v>
      </c>
      <c r="CR52" s="1116"/>
      <c r="CS52" s="1116"/>
      <c r="CT52" s="1116"/>
      <c r="CU52" s="212" t="str">
        <f>Subrates_Table_5</f>
        <v>Subrates Table 5</v>
      </c>
      <c r="CV52" s="1116"/>
      <c r="CW52" s="212" t="str">
        <f>Subrates_Table_5</f>
        <v>Subrates Table 5</v>
      </c>
      <c r="CX52" s="1116"/>
      <c r="CY52" s="212" t="str">
        <f>Subrates_Table_5</f>
        <v>Subrates Table 5</v>
      </c>
      <c r="CZ52" s="1116"/>
      <c r="DA52" s="1163"/>
      <c r="DB52" s="212" t="str">
        <f>Subrates_Table_6</f>
        <v>Subrates Table 6</v>
      </c>
      <c r="DC52" s="1116"/>
      <c r="DD52" s="212" t="str">
        <f>Subrates_Table_6</f>
        <v>Subrates Table 6</v>
      </c>
      <c r="DE52" s="1116"/>
      <c r="DF52" s="221" t="str">
        <f>$M$5</f>
        <v>TSF Capping Values</v>
      </c>
      <c r="DG52" s="375" t="s">
        <v>2025</v>
      </c>
      <c r="DH52" s="1116"/>
      <c r="DI52" s="1116"/>
      <c r="DJ52" s="199" t="s">
        <v>1646</v>
      </c>
      <c r="DK52" s="1116"/>
      <c r="DL52" s="199" t="s">
        <v>1646</v>
      </c>
      <c r="DM52" s="212" t="str">
        <f>Subrates_Table_1</f>
        <v>Subrates Table 1</v>
      </c>
      <c r="DN52" s="1116"/>
      <c r="DO52" s="199" t="s">
        <v>1646</v>
      </c>
      <c r="DP52" s="199" t="s">
        <v>1646</v>
      </c>
      <c r="DQ52" s="212" t="str">
        <f>Subrates_Table_9</f>
        <v>Subrates Table 9</v>
      </c>
      <c r="DR52" s="212" t="str">
        <f>Subrates_Table_8</f>
        <v>Subrates Table 8</v>
      </c>
      <c r="DT52" s="1116"/>
      <c r="DU52" s="1116"/>
      <c r="DV52" s="1116"/>
      <c r="DW52" s="376" t="s">
        <v>1646</v>
      </c>
      <c r="DX52" s="1116"/>
      <c r="EA52" s="1163"/>
      <c r="EB52" s="376" t="s">
        <v>1646</v>
      </c>
      <c r="EC52" s="1116"/>
      <c r="EF52" s="377"/>
      <c r="EG52" s="376" t="s">
        <v>1646</v>
      </c>
      <c r="EH52" s="1116"/>
      <c r="EI52" s="378"/>
      <c r="EK52" s="1116"/>
      <c r="EL52" s="1152"/>
      <c r="EM52" s="1116"/>
      <c r="EN52" s="1116"/>
      <c r="EO52" s="1116"/>
      <c r="EP52" s="1116"/>
      <c r="EV52" s="221" t="str">
        <f>$M$5</f>
        <v>TSF Capping Values</v>
      </c>
      <c r="EW52" s="375" t="s">
        <v>2025</v>
      </c>
      <c r="EY52" s="1116"/>
      <c r="EZ52" s="1116"/>
      <c r="FA52" s="1116"/>
      <c r="FC52" s="748"/>
      <c r="FD52" s="474"/>
      <c r="FE52" s="474"/>
      <c r="FF52" s="474"/>
      <c r="FG52" s="474"/>
      <c r="FH52" s="474"/>
      <c r="FI52" s="474"/>
      <c r="FJ52" s="779"/>
    </row>
    <row r="53" spans="1:173" s="520" customFormat="1" ht="15">
      <c r="B53" s="310"/>
      <c r="C53" s="1164">
        <v>1</v>
      </c>
      <c r="D53" s="379"/>
      <c r="E53" s="328"/>
      <c r="F53" s="255" t="s">
        <v>1879</v>
      </c>
      <c r="G53" s="328"/>
      <c r="H53" s="380">
        <f t="shared" ref="H53:H69" si="2">HLOOKUP(F53,TSF_Capping_values,$L$7,FALSE)</f>
        <v>1</v>
      </c>
      <c r="I53" s="328"/>
      <c r="J53" s="380">
        <f>IF(I53&lt;&gt;"",I53,H53)</f>
        <v>1</v>
      </c>
      <c r="K53" s="388"/>
      <c r="L53" s="381">
        <f t="shared" ref="L53:L69" si="3">IF(K53="",G53*10000*J53,K53)</f>
        <v>0</v>
      </c>
      <c r="M53" s="328"/>
      <c r="N53" s="380">
        <f t="shared" ref="N53:N69" si="4">HLOOKUP(F53,TSF_Capping_values,$L$8,FALSE)</f>
        <v>0.5</v>
      </c>
      <c r="O53" s="382"/>
      <c r="P53" s="380">
        <f>IF(O53&lt;&gt;"",O53,N53)</f>
        <v>0.5</v>
      </c>
      <c r="Q53" s="388"/>
      <c r="R53" s="381">
        <f t="shared" ref="R53:R69" si="5">IF(Q53="",M53*10000*P53,Q53)</f>
        <v>0</v>
      </c>
      <c r="S53" s="383" t="s">
        <v>125</v>
      </c>
      <c r="T53" s="383" t="s">
        <v>349</v>
      </c>
      <c r="U53" s="386">
        <f t="shared" ref="U53:U69" si="6">INDEX(Load_and_Haul_Values,MATCH(S53,Load_and_Haul,0),MATCH(T53,Load_Haul_Fleet_size,0))</f>
        <v>6.2664411871606829</v>
      </c>
      <c r="V53" s="351">
        <f t="shared" ref="V53:V69" si="7">U53*(L53+R53)</f>
        <v>0</v>
      </c>
      <c r="W53" s="383" t="s">
        <v>428</v>
      </c>
      <c r="X53" s="383" t="s">
        <v>411</v>
      </c>
      <c r="Y53" s="384"/>
      <c r="Z53" s="383" t="s">
        <v>3</v>
      </c>
      <c r="AA53" s="387">
        <f t="shared" ref="AA53:AA69" si="8">INDEX(Dozer_Push_Values,MATCH(X53,Dozer_Push_Length,0),MATCH(Z53,Dozers,0))</f>
        <v>1.9221853757639424</v>
      </c>
      <c r="AB53" s="351">
        <f t="shared" ref="AB53:AB69" si="9">IFERROR(AA53*(L53+R53),"E")</f>
        <v>0</v>
      </c>
      <c r="AC53" s="387">
        <f t="shared" ref="AC53:AC69" si="10">INDEX(Dozer_Slope_Values,MATCH(W53,Dozer_Slope,0),MATCH(Z53,Dozers,0))</f>
        <v>8904.769113128099</v>
      </c>
      <c r="AD53" s="351">
        <f t="shared" ref="AD53:AD69" si="11">IFERROR(SUM(G53,M53)*AC53,"E")</f>
        <v>0</v>
      </c>
      <c r="AE53" s="328">
        <f t="shared" ref="AE53:AE69" si="12">E53</f>
        <v>0</v>
      </c>
      <c r="AF53" s="1165">
        <f t="shared" ref="AF53:AF69" si="13">HLOOKUP($F53,TSF_Capping_values,$L$9,FALSE)</f>
        <v>0.5</v>
      </c>
      <c r="AG53" s="382"/>
      <c r="AH53" s="380">
        <f t="shared" ref="AH53:AH69" si="14">IF(AG53="",AF53,AG53)</f>
        <v>0.5</v>
      </c>
      <c r="AI53" s="388"/>
      <c r="AJ53" s="381">
        <f t="shared" ref="AJ53:AJ69" si="15">IF(AI53="",AE53*10000*AH53,AI53)</f>
        <v>0</v>
      </c>
      <c r="AK53" s="383" t="s">
        <v>125</v>
      </c>
      <c r="AL53" s="383" t="s">
        <v>349</v>
      </c>
      <c r="AM53" s="386">
        <f t="shared" ref="AM53:AM69" si="16">INDEX(Load_and_Haul_Values,MATCH(AK53,Load_and_Haul,0),MATCH(AL53,Load_Haul_Fleet_size,0))</f>
        <v>6.2664411871606829</v>
      </c>
      <c r="AN53" s="401">
        <f t="shared" ref="AN53:AN69" si="17">IFERROR(AM53*(AJ53),"E")</f>
        <v>0</v>
      </c>
      <c r="AO53" s="383" t="s">
        <v>411</v>
      </c>
      <c r="AP53" s="1170"/>
      <c r="AQ53" s="383" t="s">
        <v>3</v>
      </c>
      <c r="AR53" s="387">
        <f t="shared" ref="AR53:AR69" si="18">INDEX(Dozer_Push_Values,MATCH(AO53,Dozer_Push_Length,0),MATCH(AQ53,Dozers,0))</f>
        <v>1.9221853757639424</v>
      </c>
      <c r="AS53" s="401">
        <f t="shared" ref="AS53:AS69" si="19">IFERROR(AR53*AJ53,"E")</f>
        <v>0</v>
      </c>
      <c r="AT53" s="351">
        <f t="shared" ref="AT53:AT69" si="20">AS53+AN53</f>
        <v>0</v>
      </c>
      <c r="AU53" s="328">
        <f>E53-G53</f>
        <v>0</v>
      </c>
      <c r="AV53" s="1165">
        <f t="shared" ref="AV53:AV69" si="21">HLOOKUP($F53,TSF_Capping_values,$L$10,FALSE)</f>
        <v>0.6</v>
      </c>
      <c r="AW53" s="382"/>
      <c r="AX53" s="380">
        <f t="shared" ref="AX53:AX69" si="22">IF(AW53="",AV53,AW53)</f>
        <v>0.6</v>
      </c>
      <c r="AY53" s="388"/>
      <c r="AZ53" s="381">
        <f t="shared" ref="AZ53:AZ69" si="23">IF(AY53="",AU53*10000*AX53,AY53)</f>
        <v>0</v>
      </c>
      <c r="BA53" s="386">
        <f>Subrates!$C$97</f>
        <v>4.7138306819209967</v>
      </c>
      <c r="BB53" s="402">
        <f t="shared" ref="BB53:BB69" si="24">IF(AZ53=0,0,AZ53*$BA53)</f>
        <v>0</v>
      </c>
      <c r="BC53" s="383" t="s">
        <v>125</v>
      </c>
      <c r="BD53" s="383" t="s">
        <v>349</v>
      </c>
      <c r="BE53" s="386">
        <f t="shared" ref="BE53:BE69" si="25">INDEX(Load_and_Haul_Values,MATCH(BC53,Load_and_Haul,0),MATCH(BD53,Load_Haul_Fleet_size,0))</f>
        <v>6.2664411871606829</v>
      </c>
      <c r="BF53" s="402">
        <f t="shared" ref="BF53:BF69" si="26">IFERROR(BE53*AZ53,"E")</f>
        <v>0</v>
      </c>
      <c r="BG53" s="383" t="s">
        <v>411</v>
      </c>
      <c r="BH53" s="384"/>
      <c r="BI53" s="385" t="s">
        <v>3</v>
      </c>
      <c r="BJ53" s="387">
        <f t="shared" ref="BJ53:BJ69" si="27">INDEX(Dozer_Push_Values,MATCH(BG53,Dozer_Push_Length,0),MATCH(BI53,Dozers,0))</f>
        <v>1.9221853757639424</v>
      </c>
      <c r="BK53" s="402">
        <f t="shared" ref="BK53:BK69" si="28">IFERROR(BJ53*AZ53,"E")</f>
        <v>0</v>
      </c>
      <c r="BL53" s="351">
        <f t="shared" ref="BL53:BL69" si="29">BB53+BF53+BK53</f>
        <v>0</v>
      </c>
      <c r="BM53" s="328">
        <f>E53-G53</f>
        <v>0</v>
      </c>
      <c r="BN53" s="1165">
        <f t="shared" ref="BN53:BN69" si="30">HLOOKUP($F53,TSF_Capping_values,$L$11,FALSE)</f>
        <v>0.5</v>
      </c>
      <c r="BO53" s="382"/>
      <c r="BP53" s="380">
        <f t="shared" ref="BP53:BP69" si="31">IF(BO53="",BN53,BO53)</f>
        <v>0.5</v>
      </c>
      <c r="BQ53" s="388"/>
      <c r="BR53" s="381">
        <f t="shared" ref="BR53:BR69" si="32">IF(BQ53="",BM53*10000*BP53,BQ53)</f>
        <v>0</v>
      </c>
      <c r="BS53" s="386">
        <f>IF(BU53=Local,Subrates!$C$98,Subrates!$C$99)</f>
        <v>8.0873484007548591</v>
      </c>
      <c r="BT53" s="402">
        <f t="shared" ref="BT53:BT69" si="33">IF(BR53=0,0,BR53*$BS53)</f>
        <v>0</v>
      </c>
      <c r="BU53" s="389" t="s">
        <v>2026</v>
      </c>
      <c r="BV53" s="1170" t="s">
        <v>485</v>
      </c>
      <c r="BW53" s="386">
        <f>IF(BU53=Local,0,VLOOKUP(BV53,Long_distance_values_subs,Subrates!$C$5,FALSE))</f>
        <v>0</v>
      </c>
      <c r="BX53" s="386">
        <f>IF(BU53=Local,0,Subrates!$D$121)</f>
        <v>0</v>
      </c>
      <c r="BY53" s="1173"/>
      <c r="BZ53" s="402">
        <f>IF(BY53="",BW53*BR53*VLOOKUP(BV53,Long_distance_values_subs,Subrates!$H$5)+BX53*BR53,BY53*BR53)</f>
        <v>0</v>
      </c>
      <c r="CA53" s="351">
        <f t="shared" ref="CA53:CA69" si="34">BZ53+BT53</f>
        <v>0</v>
      </c>
      <c r="CB53" s="328">
        <f>E53-G53</f>
        <v>0</v>
      </c>
      <c r="CC53" s="1165">
        <f t="shared" ref="CC53:CC69" si="35">HLOOKUP($F53,TSF_Capping_values,$L$12,FALSE)</f>
        <v>1.5</v>
      </c>
      <c r="CD53" s="382"/>
      <c r="CE53" s="380">
        <f t="shared" ref="CE53:CE69" si="36">IF(CD53="",CC53,CD53)</f>
        <v>1.5</v>
      </c>
      <c r="CF53" s="388"/>
      <c r="CG53" s="381">
        <f t="shared" ref="CG53:CG69" si="37">IF(CF53="",CB53*10000*CE53,CF53)</f>
        <v>0</v>
      </c>
      <c r="CH53" s="383" t="s">
        <v>125</v>
      </c>
      <c r="CI53" s="384"/>
      <c r="CJ53" s="383" t="s">
        <v>349</v>
      </c>
      <c r="CK53" s="386">
        <f t="shared" ref="CK53:CK69" si="38">INDEX(Load_and_Haul_Values,MATCH(CH53,Load_and_Haul,0),MATCH(CJ53,Load_Haul_Fleet_size,0))</f>
        <v>6.2664411871606829</v>
      </c>
      <c r="CL53" s="401">
        <f t="shared" ref="CL53:CL69" si="39">IFERROR(CK53*(CG53),"E")</f>
        <v>0</v>
      </c>
      <c r="CM53" s="383" t="s">
        <v>411</v>
      </c>
      <c r="CN53" s="1170"/>
      <c r="CO53" s="383" t="s">
        <v>3</v>
      </c>
      <c r="CP53" s="1171"/>
      <c r="CQ53" s="386">
        <f t="shared" ref="CQ53:CQ69" si="40">INDEX(Dozer_Push_Values,MATCH(CM53,Dozer_Push_Length,0),MATCH(CO53,Dozers,0))</f>
        <v>1.9221853757639424</v>
      </c>
      <c r="CR53" s="401">
        <f t="shared" ref="CR53:CR69" si="41">IFERROR(CQ53*CG53,"E")</f>
        <v>0</v>
      </c>
      <c r="CS53" s="351">
        <f t="shared" ref="CS53:CS69" si="42">CR53+CL53</f>
        <v>0</v>
      </c>
      <c r="CT53" s="388"/>
      <c r="CU53" s="386">
        <f>Subrates!$C$94</f>
        <v>2.2000000000000002</v>
      </c>
      <c r="CV53" s="388"/>
      <c r="CW53" s="386">
        <f>Subrates!$C$95</f>
        <v>13.200000000000001</v>
      </c>
      <c r="CX53" s="388"/>
      <c r="CY53" s="386">
        <f>Subrates!$C$96</f>
        <v>14.3</v>
      </c>
      <c r="CZ53" s="351">
        <f t="shared" ref="CZ53:CZ69" si="43">CT53*CU53+CV53*CW53+CX53*CY53</f>
        <v>0</v>
      </c>
      <c r="DA53" s="328"/>
      <c r="DB53" s="399">
        <f>Subrates!$C$106</f>
        <v>21234.52910306484</v>
      </c>
      <c r="DC53" s="351">
        <f t="shared" ref="DC53:DC69" si="44">$DA53*DB53</f>
        <v>0</v>
      </c>
      <c r="DD53" s="386">
        <f>Subrates!$C$105</f>
        <v>2885.2856380177936</v>
      </c>
      <c r="DE53" s="400">
        <f t="shared" ref="DE53:DE69" si="45">E53*$DD53</f>
        <v>0</v>
      </c>
      <c r="DF53" s="1165">
        <f t="shared" ref="DF53:DF69" si="46">HLOOKUP($F53,TSF_Capping_values,$L$13,FALSE)</f>
        <v>0.15</v>
      </c>
      <c r="DG53" s="390"/>
      <c r="DH53" s="388"/>
      <c r="DI53" s="381">
        <f t="shared" ref="DI53:DI69" si="47">IF(DH53&gt;0,DH53,E53*10000*IF(DG53&gt;0,DG53,DF53))</f>
        <v>0</v>
      </c>
      <c r="DJ53" s="383" t="s">
        <v>125</v>
      </c>
      <c r="DK53" s="384"/>
      <c r="DL53" s="383" t="s">
        <v>348</v>
      </c>
      <c r="DM53" s="386">
        <f t="shared" ref="DM53:DM69" si="48">IF(DO53=Local,INDEX(Load_and_Haul_Values,MATCH(DJ53,Load_and_Haul,0),MATCH(DL53,Load_Haul_Fleet_size,0)),0)</f>
        <v>4.8064250364478198</v>
      </c>
      <c r="DN53" s="401">
        <f t="shared" ref="DN53:DN69" si="49">DM53*DI53</f>
        <v>0</v>
      </c>
      <c r="DO53" s="389" t="s">
        <v>2026</v>
      </c>
      <c r="DP53" s="1170" t="s">
        <v>485</v>
      </c>
      <c r="DQ53" s="386">
        <f>IF(DO53=Local,0,VLOOKUP(DP53,Long_distance_values_subs,Subrates!$C$5,FALSE))</f>
        <v>0</v>
      </c>
      <c r="DR53" s="386">
        <f>IF(DO53=Local,0,Subrates!$D$122)</f>
        <v>0</v>
      </c>
      <c r="DS53" s="1173"/>
      <c r="DT53" s="402">
        <f>IF(DS53="",DI53*VLOOKUP(DP53,Long_distance_values_subs,Subrates!$H$5,FALSE)*DQ53+DI53*DR53,DI53*DS53)</f>
        <v>0</v>
      </c>
      <c r="DU53" s="351">
        <f t="shared" ref="DU53:DU69" si="50">DN53+DT53</f>
        <v>0</v>
      </c>
      <c r="DV53" s="388"/>
      <c r="DW53" s="391" t="s">
        <v>48</v>
      </c>
      <c r="DX53" s="1166" t="str">
        <f>IF(DW53=Lists!$B$18,"N/A",VLOOKUP(DW53,Lists!$B$18:$D$26,Lists!$C$3,FALSE))</f>
        <v>N/A</v>
      </c>
      <c r="DY53" s="386">
        <f>IF(DW53=Lists!$B$18,0,VLOOKUP(DX53,Amend_TOV,TOV!$F$1,FALSE))</f>
        <v>0</v>
      </c>
      <c r="DZ53" s="117"/>
      <c r="EA53" s="388"/>
      <c r="EB53" s="391" t="s">
        <v>48</v>
      </c>
      <c r="EC53" s="1166" t="str">
        <f>IF(EB53=Lists!$B$18,"N/A",VLOOKUP(EB53,Lists!$B$18:$D$26,Lists!$C$3,FALSE))</f>
        <v>N/A</v>
      </c>
      <c r="ED53" s="386">
        <f>IF(EB53=Lists!$B$18,0,VLOOKUP(EC53,Amend_TOV,TOV!$F$1,FALSE))</f>
        <v>0</v>
      </c>
      <c r="EE53" s="117"/>
      <c r="EF53" s="388"/>
      <c r="EG53" s="391" t="s">
        <v>48</v>
      </c>
      <c r="EH53" s="1166" t="str">
        <f>IF(EG53=Lists!$B$18,"N/A",VLOOKUP(EG53,Lists!$B$18:$D$26,Lists!$C$3,FALSE))</f>
        <v>N/A</v>
      </c>
      <c r="EI53" s="386">
        <f>IF(EG53=Lists!$B$18,0,VLOOKUP(EH53,Amend_TOV,TOV!$F$1,FALSE))</f>
        <v>0</v>
      </c>
      <c r="EJ53" s="117"/>
      <c r="EK53" s="351">
        <f t="shared" ref="EK53:EK69" si="51">DV53*IF(DZ53="",DY53,DZ53)+EA53*IF(EE53="",ED53,EE53)+EF53*IF(EJ53="",EI53,EJ53)</f>
        <v>0</v>
      </c>
      <c r="EL53" s="328">
        <f t="shared" ref="EL53:EL69" si="52">E53</f>
        <v>0</v>
      </c>
      <c r="EM53" s="392">
        <v>1</v>
      </c>
      <c r="EN53" s="392"/>
      <c r="EO53" s="393">
        <f t="shared" ref="EO53:EO69" si="53">100%-EN53-EM53</f>
        <v>0</v>
      </c>
      <c r="EP53" s="232" t="str">
        <f>IF(EO53&lt;0%,"Error","No Alert")</f>
        <v>No Alert</v>
      </c>
      <c r="EQ53" s="351">
        <f t="shared" ref="EQ53:EQ69" si="54">$EL53*EM53*IF($EQ$47="",$EQ$46,$EQ$47)</f>
        <v>0</v>
      </c>
      <c r="ER53" s="351">
        <f t="shared" ref="ER53:ER69" si="55">$EL53*EN53*IF($ER$47="",$ER$46,$ER$47)</f>
        <v>0</v>
      </c>
      <c r="ES53" s="1154">
        <f t="shared" ref="ES53:ES69" si="56">E53</f>
        <v>0</v>
      </c>
      <c r="ET53" s="1172"/>
      <c r="EU53" s="351">
        <f>ES53*IF(ET53&lt;&gt;"",ET53,$ET$49)*IF($EU$47&lt;&gt;"",$EU$47,$EU$46)</f>
        <v>0</v>
      </c>
      <c r="EV53" s="386">
        <f t="shared" ref="EV53:EV69" si="57">HLOOKUP($F53,TSF_Capping_values,$L$14,FALSE)</f>
        <v>3650</v>
      </c>
      <c r="EW53" s="117"/>
      <c r="EX53" s="403">
        <f t="shared" ref="EX53:EX69" si="58">IF(EW53="",EV53,EW53)*E53</f>
        <v>0</v>
      </c>
      <c r="EY53" s="394"/>
      <c r="EZ53" s="395">
        <f>V53+AB53+AD53+AT53+BL53+CA53+CS53+CZ53+DC53+DE53+DU53+EK53+EQ53+ER53+EU53+EX53+EY53</f>
        <v>0</v>
      </c>
      <c r="FA53" s="1167">
        <f t="shared" ref="FA53:FA69" si="59">IF(E53=0,0,EZ53/E53)</f>
        <v>0</v>
      </c>
      <c r="FB53" s="1168">
        <f t="shared" ref="FB53:FB69" si="60">IFERROR(EZ53,"Error")</f>
        <v>0</v>
      </c>
      <c r="FC53" s="396"/>
      <c r="FD53" s="397"/>
      <c r="FE53" s="397"/>
      <c r="FF53" s="397"/>
      <c r="FG53" s="397"/>
      <c r="FH53" s="397"/>
      <c r="FI53" s="397"/>
      <c r="FJ53" s="398"/>
    </row>
    <row r="54" spans="1:173" s="520" customFormat="1" ht="15">
      <c r="B54" s="310"/>
      <c r="C54" s="1164">
        <f t="shared" ref="C54:C69" si="61">C53+1</f>
        <v>2</v>
      </c>
      <c r="D54" s="379"/>
      <c r="E54" s="328"/>
      <c r="F54" s="255" t="s">
        <v>1879</v>
      </c>
      <c r="G54" s="328"/>
      <c r="H54" s="380">
        <f t="shared" si="2"/>
        <v>1</v>
      </c>
      <c r="I54" s="328"/>
      <c r="J54" s="380">
        <f t="shared" ref="J54:J69" si="62">IF(I54&lt;&gt;"",I54,H54)</f>
        <v>1</v>
      </c>
      <c r="K54" s="388"/>
      <c r="L54" s="381">
        <f t="shared" si="3"/>
        <v>0</v>
      </c>
      <c r="M54" s="328"/>
      <c r="N54" s="380">
        <f t="shared" si="4"/>
        <v>0.5</v>
      </c>
      <c r="O54" s="382"/>
      <c r="P54" s="380">
        <f t="shared" ref="P54:P69" si="63">IF(O54&lt;&gt;"",O54,N54)</f>
        <v>0.5</v>
      </c>
      <c r="Q54" s="388"/>
      <c r="R54" s="381">
        <f t="shared" si="5"/>
        <v>0</v>
      </c>
      <c r="S54" s="383" t="s">
        <v>125</v>
      </c>
      <c r="T54" s="383" t="s">
        <v>349</v>
      </c>
      <c r="U54" s="386">
        <f t="shared" si="6"/>
        <v>6.2664411871606829</v>
      </c>
      <c r="V54" s="351">
        <f t="shared" si="7"/>
        <v>0</v>
      </c>
      <c r="W54" s="383" t="s">
        <v>428</v>
      </c>
      <c r="X54" s="383" t="s">
        <v>411</v>
      </c>
      <c r="Y54" s="384"/>
      <c r="Z54" s="383" t="s">
        <v>3</v>
      </c>
      <c r="AA54" s="387">
        <f t="shared" si="8"/>
        <v>1.9221853757639424</v>
      </c>
      <c r="AB54" s="351">
        <f t="shared" si="9"/>
        <v>0</v>
      </c>
      <c r="AC54" s="387">
        <f t="shared" si="10"/>
        <v>8904.769113128099</v>
      </c>
      <c r="AD54" s="351">
        <f t="shared" si="11"/>
        <v>0</v>
      </c>
      <c r="AE54" s="328">
        <f t="shared" si="12"/>
        <v>0</v>
      </c>
      <c r="AF54" s="1165">
        <f t="shared" si="13"/>
        <v>0.5</v>
      </c>
      <c r="AG54" s="382"/>
      <c r="AH54" s="380">
        <f t="shared" si="14"/>
        <v>0.5</v>
      </c>
      <c r="AI54" s="388"/>
      <c r="AJ54" s="381">
        <f t="shared" si="15"/>
        <v>0</v>
      </c>
      <c r="AK54" s="383" t="s">
        <v>125</v>
      </c>
      <c r="AL54" s="383" t="s">
        <v>349</v>
      </c>
      <c r="AM54" s="386">
        <f t="shared" si="16"/>
        <v>6.2664411871606829</v>
      </c>
      <c r="AN54" s="401">
        <f t="shared" si="17"/>
        <v>0</v>
      </c>
      <c r="AO54" s="383" t="s">
        <v>411</v>
      </c>
      <c r="AP54" s="1170"/>
      <c r="AQ54" s="383" t="s">
        <v>3</v>
      </c>
      <c r="AR54" s="387">
        <f t="shared" si="18"/>
        <v>1.9221853757639424</v>
      </c>
      <c r="AS54" s="401">
        <f t="shared" si="19"/>
        <v>0</v>
      </c>
      <c r="AT54" s="351">
        <f t="shared" si="20"/>
        <v>0</v>
      </c>
      <c r="AU54" s="328">
        <f t="shared" ref="AU54:AU69" si="64">E54-G54</f>
        <v>0</v>
      </c>
      <c r="AV54" s="1165">
        <f t="shared" si="21"/>
        <v>0.6</v>
      </c>
      <c r="AW54" s="382"/>
      <c r="AX54" s="380">
        <f t="shared" si="22"/>
        <v>0.6</v>
      </c>
      <c r="AY54" s="388"/>
      <c r="AZ54" s="381">
        <f t="shared" si="23"/>
        <v>0</v>
      </c>
      <c r="BA54" s="386">
        <f>Subrates!$C$97</f>
        <v>4.7138306819209967</v>
      </c>
      <c r="BB54" s="402">
        <f t="shared" si="24"/>
        <v>0</v>
      </c>
      <c r="BC54" s="383" t="s">
        <v>125</v>
      </c>
      <c r="BD54" s="383" t="s">
        <v>349</v>
      </c>
      <c r="BE54" s="386">
        <f t="shared" si="25"/>
        <v>6.2664411871606829</v>
      </c>
      <c r="BF54" s="402">
        <f t="shared" si="26"/>
        <v>0</v>
      </c>
      <c r="BG54" s="383" t="s">
        <v>411</v>
      </c>
      <c r="BH54" s="384"/>
      <c r="BI54" s="385" t="s">
        <v>3</v>
      </c>
      <c r="BJ54" s="387">
        <f t="shared" si="27"/>
        <v>1.9221853757639424</v>
      </c>
      <c r="BK54" s="402">
        <f t="shared" si="28"/>
        <v>0</v>
      </c>
      <c r="BL54" s="351">
        <f t="shared" si="29"/>
        <v>0</v>
      </c>
      <c r="BM54" s="328">
        <f t="shared" ref="BM54:BM69" si="65">E54-G54</f>
        <v>0</v>
      </c>
      <c r="BN54" s="1165">
        <f t="shared" si="30"/>
        <v>0.5</v>
      </c>
      <c r="BO54" s="382"/>
      <c r="BP54" s="380">
        <f t="shared" si="31"/>
        <v>0.5</v>
      </c>
      <c r="BQ54" s="388"/>
      <c r="BR54" s="381">
        <f t="shared" si="32"/>
        <v>0</v>
      </c>
      <c r="BS54" s="386">
        <f>IF(BU54=Local,Subrates!$C$98,Subrates!$C$99)</f>
        <v>8.0873484007548591</v>
      </c>
      <c r="BT54" s="402">
        <f t="shared" si="33"/>
        <v>0</v>
      </c>
      <c r="BU54" s="389" t="s">
        <v>2026</v>
      </c>
      <c r="BV54" s="1170" t="s">
        <v>485</v>
      </c>
      <c r="BW54" s="386">
        <f>IF(BU54=Local,0,VLOOKUP(BV54,Long_distance_values_subs,Subrates!$C$5,FALSE))</f>
        <v>0</v>
      </c>
      <c r="BX54" s="386">
        <f>IF(BU54=Local,0,Subrates!$D$121)</f>
        <v>0</v>
      </c>
      <c r="BY54" s="1173"/>
      <c r="BZ54" s="402">
        <f>IF(BY54="",BW54*BR54*VLOOKUP(BV54,Long_distance_values_subs,Subrates!$H$5)+BX54*BR54,BY54*BR54)</f>
        <v>0</v>
      </c>
      <c r="CA54" s="351">
        <f t="shared" si="34"/>
        <v>0</v>
      </c>
      <c r="CB54" s="328">
        <f t="shared" ref="CB54:CB69" si="66">E54-G54</f>
        <v>0</v>
      </c>
      <c r="CC54" s="1165">
        <f t="shared" si="35"/>
        <v>1.5</v>
      </c>
      <c r="CD54" s="382"/>
      <c r="CE54" s="380">
        <f t="shared" si="36"/>
        <v>1.5</v>
      </c>
      <c r="CF54" s="388"/>
      <c r="CG54" s="381">
        <f t="shared" si="37"/>
        <v>0</v>
      </c>
      <c r="CH54" s="383" t="s">
        <v>125</v>
      </c>
      <c r="CI54" s="384"/>
      <c r="CJ54" s="383" t="s">
        <v>349</v>
      </c>
      <c r="CK54" s="386">
        <f t="shared" si="38"/>
        <v>6.2664411871606829</v>
      </c>
      <c r="CL54" s="401">
        <f t="shared" si="39"/>
        <v>0</v>
      </c>
      <c r="CM54" s="383" t="s">
        <v>411</v>
      </c>
      <c r="CN54" s="1170"/>
      <c r="CO54" s="383" t="s">
        <v>3</v>
      </c>
      <c r="CP54" s="1171"/>
      <c r="CQ54" s="386">
        <f t="shared" si="40"/>
        <v>1.9221853757639424</v>
      </c>
      <c r="CR54" s="401">
        <f t="shared" si="41"/>
        <v>0</v>
      </c>
      <c r="CS54" s="351">
        <f t="shared" si="42"/>
        <v>0</v>
      </c>
      <c r="CT54" s="388"/>
      <c r="CU54" s="386">
        <f>Subrates!$C$94</f>
        <v>2.2000000000000002</v>
      </c>
      <c r="CV54" s="388"/>
      <c r="CW54" s="386">
        <f>Subrates!$C$95</f>
        <v>13.200000000000001</v>
      </c>
      <c r="CX54" s="388"/>
      <c r="CY54" s="386">
        <f>Subrates!$C$96</f>
        <v>14.3</v>
      </c>
      <c r="CZ54" s="351">
        <f t="shared" si="43"/>
        <v>0</v>
      </c>
      <c r="DA54" s="328"/>
      <c r="DB54" s="399">
        <f>Subrates!$C$106</f>
        <v>21234.52910306484</v>
      </c>
      <c r="DC54" s="351">
        <f t="shared" si="44"/>
        <v>0</v>
      </c>
      <c r="DD54" s="386">
        <f>Subrates!$C$105</f>
        <v>2885.2856380177936</v>
      </c>
      <c r="DE54" s="400">
        <f t="shared" si="45"/>
        <v>0</v>
      </c>
      <c r="DF54" s="1165">
        <f t="shared" si="46"/>
        <v>0.15</v>
      </c>
      <c r="DG54" s="390"/>
      <c r="DH54" s="388"/>
      <c r="DI54" s="381">
        <f t="shared" si="47"/>
        <v>0</v>
      </c>
      <c r="DJ54" s="383" t="s">
        <v>125</v>
      </c>
      <c r="DK54" s="384"/>
      <c r="DL54" s="383" t="s">
        <v>348</v>
      </c>
      <c r="DM54" s="386">
        <f t="shared" si="48"/>
        <v>4.8064250364478198</v>
      </c>
      <c r="DN54" s="401">
        <f t="shared" si="49"/>
        <v>0</v>
      </c>
      <c r="DO54" s="389" t="s">
        <v>2026</v>
      </c>
      <c r="DP54" s="1170" t="s">
        <v>485</v>
      </c>
      <c r="DQ54" s="386">
        <f>IF(DO54=Local,0,VLOOKUP(DP54,Long_distance_values_subs,Subrates!$C$5,FALSE))</f>
        <v>0</v>
      </c>
      <c r="DR54" s="386">
        <f>IF(DO54=Local,0,Subrates!$D$122)</f>
        <v>0</v>
      </c>
      <c r="DS54" s="1173"/>
      <c r="DT54" s="402">
        <f>IF(DS54="",DI54*VLOOKUP(DP54,Long_distance_values_subs,Subrates!$H$5,FALSE)*DQ54+DI54*DR54,DI54*DS54)</f>
        <v>0</v>
      </c>
      <c r="DU54" s="351">
        <f t="shared" si="50"/>
        <v>0</v>
      </c>
      <c r="DV54" s="388"/>
      <c r="DW54" s="391" t="s">
        <v>48</v>
      </c>
      <c r="DX54" s="1166" t="str">
        <f>IF(DW54=Lists!$B$18,"N/A",VLOOKUP(DW54,Lists!$B$18:$D$26,Lists!$C$3,FALSE))</f>
        <v>N/A</v>
      </c>
      <c r="DY54" s="386">
        <f>IF(DW54=Lists!$B$18,0,VLOOKUP(DX54,Amend_TOV,TOV!$F$1,FALSE))</f>
        <v>0</v>
      </c>
      <c r="DZ54" s="117"/>
      <c r="EA54" s="388"/>
      <c r="EB54" s="391" t="s">
        <v>48</v>
      </c>
      <c r="EC54" s="1166" t="str">
        <f>IF(EB54=Lists!$B$18,"N/A",VLOOKUP(EB54,Lists!$B$18:$D$26,Lists!$C$3,FALSE))</f>
        <v>N/A</v>
      </c>
      <c r="ED54" s="386">
        <f>IF(EB54=Lists!$B$18,0,VLOOKUP(EC54,Amend_TOV,TOV!$F$1,FALSE))</f>
        <v>0</v>
      </c>
      <c r="EE54" s="117"/>
      <c r="EF54" s="388"/>
      <c r="EG54" s="391" t="s">
        <v>48</v>
      </c>
      <c r="EH54" s="1166" t="str">
        <f>IF(EG54=Lists!$B$18,"N/A",VLOOKUP(EG54,Lists!$B$18:$D$26,Lists!$C$3,FALSE))</f>
        <v>N/A</v>
      </c>
      <c r="EI54" s="386">
        <f>IF(EG54=Lists!$B$18,0,VLOOKUP(EH54,Amend_TOV,TOV!$F$1,FALSE))</f>
        <v>0</v>
      </c>
      <c r="EJ54" s="117"/>
      <c r="EK54" s="351">
        <f t="shared" si="51"/>
        <v>0</v>
      </c>
      <c r="EL54" s="328">
        <f t="shared" si="52"/>
        <v>0</v>
      </c>
      <c r="EM54" s="392">
        <v>1</v>
      </c>
      <c r="EN54" s="392"/>
      <c r="EO54" s="393">
        <f t="shared" si="53"/>
        <v>0</v>
      </c>
      <c r="EP54" s="232" t="str">
        <f t="shared" ref="EP54:EP69" si="67">IF(EO54&lt;0%,"Error","No Alert")</f>
        <v>No Alert</v>
      </c>
      <c r="EQ54" s="351">
        <f t="shared" si="54"/>
        <v>0</v>
      </c>
      <c r="ER54" s="351">
        <f t="shared" si="55"/>
        <v>0</v>
      </c>
      <c r="ES54" s="1154">
        <f t="shared" si="56"/>
        <v>0</v>
      </c>
      <c r="ET54" s="1172"/>
      <c r="EU54" s="351">
        <f t="shared" ref="EU54:EU69" si="68">ES54*IF(ET54&lt;&gt;"",ET54,$ET$49)*IF($EU$47&lt;&gt;"",$EU$47,$EU$46)</f>
        <v>0</v>
      </c>
      <c r="EV54" s="386">
        <f t="shared" si="57"/>
        <v>3650</v>
      </c>
      <c r="EW54" s="117"/>
      <c r="EX54" s="403">
        <f t="shared" si="58"/>
        <v>0</v>
      </c>
      <c r="EY54" s="394"/>
      <c r="EZ54" s="395">
        <f t="shared" ref="EZ54:EZ69" si="69">V54+AB54+AD54+AT54+BL54+CA54+CS54+CZ54+DC54+DE54+DU54+EK54+EQ54+ER54+EU54+EX54+EY54</f>
        <v>0</v>
      </c>
      <c r="FA54" s="1167">
        <f t="shared" si="59"/>
        <v>0</v>
      </c>
      <c r="FB54" s="1168">
        <f t="shared" si="60"/>
        <v>0</v>
      </c>
      <c r="FC54" s="396"/>
      <c r="FD54" s="397"/>
      <c r="FE54" s="397"/>
      <c r="FF54" s="397"/>
      <c r="FG54" s="397"/>
      <c r="FH54" s="397"/>
      <c r="FI54" s="397"/>
      <c r="FJ54" s="398"/>
    </row>
    <row r="55" spans="1:173" s="520" customFormat="1" ht="15">
      <c r="B55" s="310"/>
      <c r="C55" s="1164">
        <f t="shared" si="61"/>
        <v>3</v>
      </c>
      <c r="D55" s="379"/>
      <c r="E55" s="328"/>
      <c r="F55" s="255" t="s">
        <v>1879</v>
      </c>
      <c r="G55" s="328"/>
      <c r="H55" s="380">
        <f t="shared" si="2"/>
        <v>1</v>
      </c>
      <c r="I55" s="328"/>
      <c r="J55" s="380">
        <f t="shared" si="62"/>
        <v>1</v>
      </c>
      <c r="K55" s="388"/>
      <c r="L55" s="381">
        <f t="shared" si="3"/>
        <v>0</v>
      </c>
      <c r="M55" s="328"/>
      <c r="N55" s="380">
        <f t="shared" si="4"/>
        <v>0.5</v>
      </c>
      <c r="O55" s="382"/>
      <c r="P55" s="380">
        <f t="shared" si="63"/>
        <v>0.5</v>
      </c>
      <c r="Q55" s="388"/>
      <c r="R55" s="381">
        <f t="shared" si="5"/>
        <v>0</v>
      </c>
      <c r="S55" s="383" t="s">
        <v>125</v>
      </c>
      <c r="T55" s="383" t="s">
        <v>349</v>
      </c>
      <c r="U55" s="386">
        <f t="shared" si="6"/>
        <v>6.2664411871606829</v>
      </c>
      <c r="V55" s="351">
        <f t="shared" si="7"/>
        <v>0</v>
      </c>
      <c r="W55" s="383" t="s">
        <v>428</v>
      </c>
      <c r="X55" s="383" t="s">
        <v>411</v>
      </c>
      <c r="Y55" s="384"/>
      <c r="Z55" s="383" t="s">
        <v>3</v>
      </c>
      <c r="AA55" s="387">
        <f t="shared" si="8"/>
        <v>1.9221853757639424</v>
      </c>
      <c r="AB55" s="351">
        <f t="shared" si="9"/>
        <v>0</v>
      </c>
      <c r="AC55" s="387">
        <f t="shared" si="10"/>
        <v>8904.769113128099</v>
      </c>
      <c r="AD55" s="351">
        <f t="shared" si="11"/>
        <v>0</v>
      </c>
      <c r="AE55" s="328">
        <f t="shared" si="12"/>
        <v>0</v>
      </c>
      <c r="AF55" s="1165">
        <f t="shared" si="13"/>
        <v>0.5</v>
      </c>
      <c r="AG55" s="382"/>
      <c r="AH55" s="380">
        <f t="shared" si="14"/>
        <v>0.5</v>
      </c>
      <c r="AI55" s="388"/>
      <c r="AJ55" s="381">
        <f t="shared" si="15"/>
        <v>0</v>
      </c>
      <c r="AK55" s="383" t="s">
        <v>125</v>
      </c>
      <c r="AL55" s="383" t="s">
        <v>349</v>
      </c>
      <c r="AM55" s="386">
        <f t="shared" si="16"/>
        <v>6.2664411871606829</v>
      </c>
      <c r="AN55" s="401">
        <f t="shared" si="17"/>
        <v>0</v>
      </c>
      <c r="AO55" s="383" t="s">
        <v>411</v>
      </c>
      <c r="AP55" s="1170"/>
      <c r="AQ55" s="383" t="s">
        <v>3</v>
      </c>
      <c r="AR55" s="387">
        <f t="shared" si="18"/>
        <v>1.9221853757639424</v>
      </c>
      <c r="AS55" s="401">
        <f t="shared" si="19"/>
        <v>0</v>
      </c>
      <c r="AT55" s="351">
        <f t="shared" si="20"/>
        <v>0</v>
      </c>
      <c r="AU55" s="328">
        <f t="shared" si="64"/>
        <v>0</v>
      </c>
      <c r="AV55" s="1165">
        <f t="shared" si="21"/>
        <v>0.6</v>
      </c>
      <c r="AW55" s="382"/>
      <c r="AX55" s="380">
        <f t="shared" si="22"/>
        <v>0.6</v>
      </c>
      <c r="AY55" s="388"/>
      <c r="AZ55" s="381">
        <f t="shared" si="23"/>
        <v>0</v>
      </c>
      <c r="BA55" s="386">
        <f>Subrates!$C$97</f>
        <v>4.7138306819209967</v>
      </c>
      <c r="BB55" s="402">
        <f t="shared" si="24"/>
        <v>0</v>
      </c>
      <c r="BC55" s="383" t="s">
        <v>125</v>
      </c>
      <c r="BD55" s="383" t="s">
        <v>349</v>
      </c>
      <c r="BE55" s="386">
        <f t="shared" si="25"/>
        <v>6.2664411871606829</v>
      </c>
      <c r="BF55" s="402">
        <f t="shared" si="26"/>
        <v>0</v>
      </c>
      <c r="BG55" s="383" t="s">
        <v>411</v>
      </c>
      <c r="BH55" s="384"/>
      <c r="BI55" s="385" t="s">
        <v>3</v>
      </c>
      <c r="BJ55" s="387">
        <f t="shared" si="27"/>
        <v>1.9221853757639424</v>
      </c>
      <c r="BK55" s="402">
        <f t="shared" si="28"/>
        <v>0</v>
      </c>
      <c r="BL55" s="351">
        <f t="shared" si="29"/>
        <v>0</v>
      </c>
      <c r="BM55" s="328">
        <f t="shared" si="65"/>
        <v>0</v>
      </c>
      <c r="BN55" s="1165">
        <f t="shared" si="30"/>
        <v>0.5</v>
      </c>
      <c r="BO55" s="382"/>
      <c r="BP55" s="380">
        <f t="shared" si="31"/>
        <v>0.5</v>
      </c>
      <c r="BQ55" s="388"/>
      <c r="BR55" s="381">
        <f t="shared" si="32"/>
        <v>0</v>
      </c>
      <c r="BS55" s="386">
        <f>IF(BU55=Local,Subrates!$C$98,Subrates!$C$99)</f>
        <v>8.0873484007548591</v>
      </c>
      <c r="BT55" s="402">
        <f t="shared" si="33"/>
        <v>0</v>
      </c>
      <c r="BU55" s="389" t="s">
        <v>2026</v>
      </c>
      <c r="BV55" s="1170" t="s">
        <v>485</v>
      </c>
      <c r="BW55" s="386">
        <f>IF(BU55=Local,0,VLOOKUP(BV55,Long_distance_values_subs,Subrates!$C$5,FALSE))</f>
        <v>0</v>
      </c>
      <c r="BX55" s="386">
        <f>IF(BU55=Local,0,Subrates!$D$121)</f>
        <v>0</v>
      </c>
      <c r="BY55" s="1173"/>
      <c r="BZ55" s="402">
        <f>IF(BY55="",BW55*BR55*VLOOKUP(BV55,Long_distance_values_subs,Subrates!$H$5)+BX55*BR55,BY55*BR55)</f>
        <v>0</v>
      </c>
      <c r="CA55" s="351">
        <f t="shared" si="34"/>
        <v>0</v>
      </c>
      <c r="CB55" s="328">
        <f t="shared" si="66"/>
        <v>0</v>
      </c>
      <c r="CC55" s="1165">
        <f t="shared" si="35"/>
        <v>1.5</v>
      </c>
      <c r="CD55" s="382"/>
      <c r="CE55" s="380">
        <f t="shared" si="36"/>
        <v>1.5</v>
      </c>
      <c r="CF55" s="388"/>
      <c r="CG55" s="381">
        <f t="shared" si="37"/>
        <v>0</v>
      </c>
      <c r="CH55" s="383" t="s">
        <v>125</v>
      </c>
      <c r="CI55" s="384"/>
      <c r="CJ55" s="383" t="s">
        <v>349</v>
      </c>
      <c r="CK55" s="386">
        <f t="shared" si="38"/>
        <v>6.2664411871606829</v>
      </c>
      <c r="CL55" s="401">
        <f t="shared" si="39"/>
        <v>0</v>
      </c>
      <c r="CM55" s="383" t="s">
        <v>411</v>
      </c>
      <c r="CN55" s="1170"/>
      <c r="CO55" s="383" t="s">
        <v>3</v>
      </c>
      <c r="CP55" s="1171"/>
      <c r="CQ55" s="386">
        <f t="shared" si="40"/>
        <v>1.9221853757639424</v>
      </c>
      <c r="CR55" s="401">
        <f t="shared" si="41"/>
        <v>0</v>
      </c>
      <c r="CS55" s="351">
        <f t="shared" si="42"/>
        <v>0</v>
      </c>
      <c r="CT55" s="388"/>
      <c r="CU55" s="386">
        <f>Subrates!$C$94</f>
        <v>2.2000000000000002</v>
      </c>
      <c r="CV55" s="388"/>
      <c r="CW55" s="386">
        <f>Subrates!$C$95</f>
        <v>13.200000000000001</v>
      </c>
      <c r="CX55" s="388"/>
      <c r="CY55" s="386">
        <f>Subrates!$C$96</f>
        <v>14.3</v>
      </c>
      <c r="CZ55" s="351">
        <f t="shared" si="43"/>
        <v>0</v>
      </c>
      <c r="DA55" s="328"/>
      <c r="DB55" s="399">
        <f>Subrates!$C$106</f>
        <v>21234.52910306484</v>
      </c>
      <c r="DC55" s="351">
        <f t="shared" si="44"/>
        <v>0</v>
      </c>
      <c r="DD55" s="386">
        <f>Subrates!$C$105</f>
        <v>2885.2856380177936</v>
      </c>
      <c r="DE55" s="400">
        <f t="shared" si="45"/>
        <v>0</v>
      </c>
      <c r="DF55" s="1165">
        <f t="shared" si="46"/>
        <v>0.15</v>
      </c>
      <c r="DG55" s="390"/>
      <c r="DH55" s="388"/>
      <c r="DI55" s="381">
        <f t="shared" si="47"/>
        <v>0</v>
      </c>
      <c r="DJ55" s="383" t="s">
        <v>125</v>
      </c>
      <c r="DK55" s="384"/>
      <c r="DL55" s="383" t="s">
        <v>348</v>
      </c>
      <c r="DM55" s="386">
        <f t="shared" si="48"/>
        <v>4.8064250364478198</v>
      </c>
      <c r="DN55" s="401">
        <f t="shared" si="49"/>
        <v>0</v>
      </c>
      <c r="DO55" s="389" t="s">
        <v>2026</v>
      </c>
      <c r="DP55" s="1170" t="s">
        <v>485</v>
      </c>
      <c r="DQ55" s="386">
        <f>IF(DO55=Local,0,VLOOKUP(DP55,Long_distance_values_subs,Subrates!$C$5,FALSE))</f>
        <v>0</v>
      </c>
      <c r="DR55" s="386">
        <f>IF(DO55=Local,0,Subrates!$D$122)</f>
        <v>0</v>
      </c>
      <c r="DS55" s="1173"/>
      <c r="DT55" s="402">
        <f>IF(DS55="",DI55*VLOOKUP(DP55,Long_distance_values_subs,Subrates!$H$5,FALSE)*DQ55+DI55*DR55,DI55*DS55)</f>
        <v>0</v>
      </c>
      <c r="DU55" s="351">
        <f t="shared" si="50"/>
        <v>0</v>
      </c>
      <c r="DV55" s="388"/>
      <c r="DW55" s="391" t="s">
        <v>48</v>
      </c>
      <c r="DX55" s="1166" t="str">
        <f>IF(DW55=Lists!$B$18,"N/A",VLOOKUP(DW55,Lists!$B$18:$D$26,Lists!$C$3,FALSE))</f>
        <v>N/A</v>
      </c>
      <c r="DY55" s="386">
        <f>IF(DW55=Lists!$B$18,0,VLOOKUP(DX55,Amend_TOV,TOV!$F$1,FALSE))</f>
        <v>0</v>
      </c>
      <c r="DZ55" s="117"/>
      <c r="EA55" s="388"/>
      <c r="EB55" s="391" t="s">
        <v>48</v>
      </c>
      <c r="EC55" s="1166" t="str">
        <f>IF(EB55=Lists!$B$18,"N/A",VLOOKUP(EB55,Lists!$B$18:$D$26,Lists!$C$3,FALSE))</f>
        <v>N/A</v>
      </c>
      <c r="ED55" s="386">
        <f>IF(EB55=Lists!$B$18,0,VLOOKUP(EC55,Amend_TOV,TOV!$F$1,FALSE))</f>
        <v>0</v>
      </c>
      <c r="EE55" s="117"/>
      <c r="EF55" s="388"/>
      <c r="EG55" s="391" t="s">
        <v>48</v>
      </c>
      <c r="EH55" s="1166" t="str">
        <f>IF(EG55=Lists!$B$18,"N/A",VLOOKUP(EG55,Lists!$B$18:$D$26,Lists!$C$3,FALSE))</f>
        <v>N/A</v>
      </c>
      <c r="EI55" s="386">
        <f>IF(EG55=Lists!$B$18,0,VLOOKUP(EH55,Amend_TOV,TOV!$F$1,FALSE))</f>
        <v>0</v>
      </c>
      <c r="EJ55" s="117"/>
      <c r="EK55" s="351">
        <f t="shared" si="51"/>
        <v>0</v>
      </c>
      <c r="EL55" s="328">
        <f t="shared" si="52"/>
        <v>0</v>
      </c>
      <c r="EM55" s="392">
        <v>1</v>
      </c>
      <c r="EN55" s="392"/>
      <c r="EO55" s="393">
        <f t="shared" si="53"/>
        <v>0</v>
      </c>
      <c r="EP55" s="232" t="str">
        <f t="shared" si="67"/>
        <v>No Alert</v>
      </c>
      <c r="EQ55" s="351">
        <f t="shared" si="54"/>
        <v>0</v>
      </c>
      <c r="ER55" s="351">
        <f t="shared" si="55"/>
        <v>0</v>
      </c>
      <c r="ES55" s="1154">
        <f t="shared" si="56"/>
        <v>0</v>
      </c>
      <c r="ET55" s="1172"/>
      <c r="EU55" s="351">
        <f t="shared" si="68"/>
        <v>0</v>
      </c>
      <c r="EV55" s="386">
        <f t="shared" si="57"/>
        <v>3650</v>
      </c>
      <c r="EW55" s="117"/>
      <c r="EX55" s="403">
        <f t="shared" si="58"/>
        <v>0</v>
      </c>
      <c r="EY55" s="394"/>
      <c r="EZ55" s="395">
        <f t="shared" si="69"/>
        <v>0</v>
      </c>
      <c r="FA55" s="1167">
        <f t="shared" si="59"/>
        <v>0</v>
      </c>
      <c r="FB55" s="1168">
        <f t="shared" si="60"/>
        <v>0</v>
      </c>
      <c r="FC55" s="396"/>
      <c r="FD55" s="397"/>
      <c r="FE55" s="397"/>
      <c r="FF55" s="397"/>
      <c r="FG55" s="397"/>
      <c r="FH55" s="397"/>
      <c r="FI55" s="397"/>
      <c r="FJ55" s="398"/>
    </row>
    <row r="56" spans="1:173" s="520" customFormat="1" ht="15">
      <c r="B56" s="310"/>
      <c r="C56" s="1164">
        <f t="shared" si="61"/>
        <v>4</v>
      </c>
      <c r="D56" s="379"/>
      <c r="E56" s="328"/>
      <c r="F56" s="255" t="s">
        <v>1879</v>
      </c>
      <c r="G56" s="328"/>
      <c r="H56" s="380">
        <f t="shared" si="2"/>
        <v>1</v>
      </c>
      <c r="I56" s="328"/>
      <c r="J56" s="380">
        <f t="shared" si="62"/>
        <v>1</v>
      </c>
      <c r="K56" s="388"/>
      <c r="L56" s="381">
        <f t="shared" si="3"/>
        <v>0</v>
      </c>
      <c r="M56" s="328"/>
      <c r="N56" s="380">
        <f t="shared" si="4"/>
        <v>0.5</v>
      </c>
      <c r="O56" s="382"/>
      <c r="P56" s="380">
        <f t="shared" si="63"/>
        <v>0.5</v>
      </c>
      <c r="Q56" s="388"/>
      <c r="R56" s="381">
        <f t="shared" si="5"/>
        <v>0</v>
      </c>
      <c r="S56" s="383" t="s">
        <v>125</v>
      </c>
      <c r="T56" s="383" t="s">
        <v>349</v>
      </c>
      <c r="U56" s="386">
        <f t="shared" si="6"/>
        <v>6.2664411871606829</v>
      </c>
      <c r="V56" s="351">
        <f t="shared" si="7"/>
        <v>0</v>
      </c>
      <c r="W56" s="383" t="s">
        <v>428</v>
      </c>
      <c r="X56" s="383" t="s">
        <v>411</v>
      </c>
      <c r="Y56" s="384"/>
      <c r="Z56" s="383" t="s">
        <v>3</v>
      </c>
      <c r="AA56" s="387">
        <f t="shared" si="8"/>
        <v>1.9221853757639424</v>
      </c>
      <c r="AB56" s="351">
        <f t="shared" si="9"/>
        <v>0</v>
      </c>
      <c r="AC56" s="387">
        <f t="shared" si="10"/>
        <v>8904.769113128099</v>
      </c>
      <c r="AD56" s="351">
        <f t="shared" si="11"/>
        <v>0</v>
      </c>
      <c r="AE56" s="328">
        <f t="shared" si="12"/>
        <v>0</v>
      </c>
      <c r="AF56" s="1165">
        <f t="shared" si="13"/>
        <v>0.5</v>
      </c>
      <c r="AG56" s="382"/>
      <c r="AH56" s="380">
        <f t="shared" si="14"/>
        <v>0.5</v>
      </c>
      <c r="AI56" s="388"/>
      <c r="AJ56" s="381">
        <f t="shared" si="15"/>
        <v>0</v>
      </c>
      <c r="AK56" s="383" t="s">
        <v>125</v>
      </c>
      <c r="AL56" s="383" t="s">
        <v>349</v>
      </c>
      <c r="AM56" s="386">
        <f t="shared" si="16"/>
        <v>6.2664411871606829</v>
      </c>
      <c r="AN56" s="401">
        <f t="shared" si="17"/>
        <v>0</v>
      </c>
      <c r="AO56" s="383" t="s">
        <v>411</v>
      </c>
      <c r="AP56" s="1170"/>
      <c r="AQ56" s="383" t="s">
        <v>3</v>
      </c>
      <c r="AR56" s="387">
        <f t="shared" si="18"/>
        <v>1.9221853757639424</v>
      </c>
      <c r="AS56" s="401">
        <f t="shared" si="19"/>
        <v>0</v>
      </c>
      <c r="AT56" s="351">
        <f t="shared" si="20"/>
        <v>0</v>
      </c>
      <c r="AU56" s="328">
        <f t="shared" si="64"/>
        <v>0</v>
      </c>
      <c r="AV56" s="1165">
        <f t="shared" si="21"/>
        <v>0.6</v>
      </c>
      <c r="AW56" s="382"/>
      <c r="AX56" s="380">
        <f t="shared" si="22"/>
        <v>0.6</v>
      </c>
      <c r="AY56" s="388"/>
      <c r="AZ56" s="381">
        <f t="shared" si="23"/>
        <v>0</v>
      </c>
      <c r="BA56" s="386">
        <f>Subrates!$C$97</f>
        <v>4.7138306819209967</v>
      </c>
      <c r="BB56" s="402">
        <f t="shared" si="24"/>
        <v>0</v>
      </c>
      <c r="BC56" s="383" t="s">
        <v>125</v>
      </c>
      <c r="BD56" s="383" t="s">
        <v>349</v>
      </c>
      <c r="BE56" s="386">
        <f t="shared" si="25"/>
        <v>6.2664411871606829</v>
      </c>
      <c r="BF56" s="402">
        <f t="shared" si="26"/>
        <v>0</v>
      </c>
      <c r="BG56" s="383" t="s">
        <v>411</v>
      </c>
      <c r="BH56" s="384"/>
      <c r="BI56" s="385" t="s">
        <v>3</v>
      </c>
      <c r="BJ56" s="387">
        <f t="shared" si="27"/>
        <v>1.9221853757639424</v>
      </c>
      <c r="BK56" s="402">
        <f t="shared" si="28"/>
        <v>0</v>
      </c>
      <c r="BL56" s="351">
        <f t="shared" si="29"/>
        <v>0</v>
      </c>
      <c r="BM56" s="328">
        <f t="shared" si="65"/>
        <v>0</v>
      </c>
      <c r="BN56" s="1165">
        <f t="shared" si="30"/>
        <v>0.5</v>
      </c>
      <c r="BO56" s="382"/>
      <c r="BP56" s="380">
        <f t="shared" si="31"/>
        <v>0.5</v>
      </c>
      <c r="BQ56" s="388"/>
      <c r="BR56" s="381">
        <f t="shared" si="32"/>
        <v>0</v>
      </c>
      <c r="BS56" s="386">
        <f>IF(BU56=Local,Subrates!$C$98,Subrates!$C$99)</f>
        <v>8.0873484007548591</v>
      </c>
      <c r="BT56" s="402">
        <f t="shared" si="33"/>
        <v>0</v>
      </c>
      <c r="BU56" s="389" t="s">
        <v>2026</v>
      </c>
      <c r="BV56" s="1170" t="s">
        <v>485</v>
      </c>
      <c r="BW56" s="386">
        <f>IF(BU56=Local,0,VLOOKUP(BV56,Long_distance_values_subs,Subrates!$C$5,FALSE))</f>
        <v>0</v>
      </c>
      <c r="BX56" s="386">
        <f>IF(BU56=Local,0,Subrates!$D$121)</f>
        <v>0</v>
      </c>
      <c r="BY56" s="1173"/>
      <c r="BZ56" s="402">
        <f>IF(BY56="",BW56*BR56*VLOOKUP(BV56,Long_distance_values_subs,Subrates!$H$5)+BX56*BR56,BY56*BR56)</f>
        <v>0</v>
      </c>
      <c r="CA56" s="351">
        <f t="shared" si="34"/>
        <v>0</v>
      </c>
      <c r="CB56" s="328">
        <f t="shared" si="66"/>
        <v>0</v>
      </c>
      <c r="CC56" s="1165">
        <f t="shared" si="35"/>
        <v>1.5</v>
      </c>
      <c r="CD56" s="382"/>
      <c r="CE56" s="380">
        <f t="shared" si="36"/>
        <v>1.5</v>
      </c>
      <c r="CF56" s="388"/>
      <c r="CG56" s="381">
        <f t="shared" si="37"/>
        <v>0</v>
      </c>
      <c r="CH56" s="383" t="s">
        <v>125</v>
      </c>
      <c r="CI56" s="384"/>
      <c r="CJ56" s="383" t="s">
        <v>349</v>
      </c>
      <c r="CK56" s="386">
        <f t="shared" si="38"/>
        <v>6.2664411871606829</v>
      </c>
      <c r="CL56" s="401">
        <f t="shared" si="39"/>
        <v>0</v>
      </c>
      <c r="CM56" s="383" t="s">
        <v>411</v>
      </c>
      <c r="CN56" s="1170"/>
      <c r="CO56" s="383" t="s">
        <v>3</v>
      </c>
      <c r="CP56" s="1171"/>
      <c r="CQ56" s="386">
        <f t="shared" si="40"/>
        <v>1.9221853757639424</v>
      </c>
      <c r="CR56" s="401">
        <f t="shared" si="41"/>
        <v>0</v>
      </c>
      <c r="CS56" s="351">
        <f t="shared" si="42"/>
        <v>0</v>
      </c>
      <c r="CT56" s="388"/>
      <c r="CU56" s="386">
        <f>Subrates!$C$94</f>
        <v>2.2000000000000002</v>
      </c>
      <c r="CV56" s="388"/>
      <c r="CW56" s="386">
        <f>Subrates!$C$95</f>
        <v>13.200000000000001</v>
      </c>
      <c r="CX56" s="388"/>
      <c r="CY56" s="386">
        <f>Subrates!$C$96</f>
        <v>14.3</v>
      </c>
      <c r="CZ56" s="351">
        <f t="shared" si="43"/>
        <v>0</v>
      </c>
      <c r="DA56" s="328"/>
      <c r="DB56" s="399">
        <f>Subrates!$C$106</f>
        <v>21234.52910306484</v>
      </c>
      <c r="DC56" s="351">
        <f t="shared" si="44"/>
        <v>0</v>
      </c>
      <c r="DD56" s="386">
        <f>Subrates!$C$105</f>
        <v>2885.2856380177936</v>
      </c>
      <c r="DE56" s="400">
        <f t="shared" si="45"/>
        <v>0</v>
      </c>
      <c r="DF56" s="1165">
        <f t="shared" si="46"/>
        <v>0.15</v>
      </c>
      <c r="DG56" s="390"/>
      <c r="DH56" s="388"/>
      <c r="DI56" s="381">
        <f t="shared" si="47"/>
        <v>0</v>
      </c>
      <c r="DJ56" s="383" t="s">
        <v>125</v>
      </c>
      <c r="DK56" s="384"/>
      <c r="DL56" s="383" t="s">
        <v>348</v>
      </c>
      <c r="DM56" s="386">
        <f t="shared" si="48"/>
        <v>4.8064250364478198</v>
      </c>
      <c r="DN56" s="401">
        <f t="shared" si="49"/>
        <v>0</v>
      </c>
      <c r="DO56" s="389" t="s">
        <v>2026</v>
      </c>
      <c r="DP56" s="1170" t="s">
        <v>485</v>
      </c>
      <c r="DQ56" s="386">
        <f>IF(DO56=Local,0,VLOOKUP(DP56,Long_distance_values_subs,Subrates!$C$5,FALSE))</f>
        <v>0</v>
      </c>
      <c r="DR56" s="386">
        <f>IF(DO56=Local,0,Subrates!$D$122)</f>
        <v>0</v>
      </c>
      <c r="DS56" s="1173"/>
      <c r="DT56" s="402">
        <f>IF(DS56="",DI56*VLOOKUP(DP56,Long_distance_values_subs,Subrates!$H$5,FALSE)*DQ56+DI56*DR56,DI56*DS56)</f>
        <v>0</v>
      </c>
      <c r="DU56" s="351">
        <f t="shared" si="50"/>
        <v>0</v>
      </c>
      <c r="DV56" s="388"/>
      <c r="DW56" s="391" t="s">
        <v>48</v>
      </c>
      <c r="DX56" s="1166" t="str">
        <f>IF(DW56=Lists!$B$18,"N/A",VLOOKUP(DW56,Lists!$B$18:$D$26,Lists!$C$3,FALSE))</f>
        <v>N/A</v>
      </c>
      <c r="DY56" s="386">
        <f>IF(DW56=Lists!$B$18,0,VLOOKUP(DX56,Amend_TOV,TOV!$F$1,FALSE))</f>
        <v>0</v>
      </c>
      <c r="DZ56" s="117"/>
      <c r="EA56" s="388"/>
      <c r="EB56" s="391" t="s">
        <v>48</v>
      </c>
      <c r="EC56" s="1166" t="str">
        <f>IF(EB56=Lists!$B$18,"N/A",VLOOKUP(EB56,Lists!$B$18:$D$26,Lists!$C$3,FALSE))</f>
        <v>N/A</v>
      </c>
      <c r="ED56" s="386">
        <f>IF(EB56=Lists!$B$18,0,VLOOKUP(EC56,Amend_TOV,TOV!$F$1,FALSE))</f>
        <v>0</v>
      </c>
      <c r="EE56" s="117"/>
      <c r="EF56" s="388"/>
      <c r="EG56" s="391" t="s">
        <v>48</v>
      </c>
      <c r="EH56" s="1166" t="str">
        <f>IF(EG56=Lists!$B$18,"N/A",VLOOKUP(EG56,Lists!$B$18:$D$26,Lists!$C$3,FALSE))</f>
        <v>N/A</v>
      </c>
      <c r="EI56" s="386">
        <f>IF(EG56=Lists!$B$18,0,VLOOKUP(EH56,Amend_TOV,TOV!$F$1,FALSE))</f>
        <v>0</v>
      </c>
      <c r="EJ56" s="117"/>
      <c r="EK56" s="351">
        <f t="shared" si="51"/>
        <v>0</v>
      </c>
      <c r="EL56" s="328">
        <f t="shared" si="52"/>
        <v>0</v>
      </c>
      <c r="EM56" s="392">
        <v>1</v>
      </c>
      <c r="EN56" s="392"/>
      <c r="EO56" s="393">
        <f t="shared" si="53"/>
        <v>0</v>
      </c>
      <c r="EP56" s="232" t="str">
        <f t="shared" si="67"/>
        <v>No Alert</v>
      </c>
      <c r="EQ56" s="351">
        <f t="shared" si="54"/>
        <v>0</v>
      </c>
      <c r="ER56" s="351">
        <f t="shared" si="55"/>
        <v>0</v>
      </c>
      <c r="ES56" s="1154">
        <f t="shared" si="56"/>
        <v>0</v>
      </c>
      <c r="ET56" s="1172"/>
      <c r="EU56" s="351">
        <f t="shared" si="68"/>
        <v>0</v>
      </c>
      <c r="EV56" s="386">
        <f t="shared" si="57"/>
        <v>3650</v>
      </c>
      <c r="EW56" s="117"/>
      <c r="EX56" s="403">
        <f t="shared" si="58"/>
        <v>0</v>
      </c>
      <c r="EY56" s="394"/>
      <c r="EZ56" s="395">
        <f t="shared" si="69"/>
        <v>0</v>
      </c>
      <c r="FA56" s="1167">
        <f t="shared" si="59"/>
        <v>0</v>
      </c>
      <c r="FB56" s="1168">
        <f t="shared" si="60"/>
        <v>0</v>
      </c>
      <c r="FC56" s="396"/>
      <c r="FD56" s="397"/>
      <c r="FE56" s="397"/>
      <c r="FF56" s="397"/>
      <c r="FG56" s="397"/>
      <c r="FH56" s="397"/>
      <c r="FI56" s="397"/>
      <c r="FJ56" s="398"/>
    </row>
    <row r="57" spans="1:173" s="520" customFormat="1" ht="15">
      <c r="B57" s="310"/>
      <c r="C57" s="1164">
        <f t="shared" si="61"/>
        <v>5</v>
      </c>
      <c r="D57" s="379"/>
      <c r="E57" s="328"/>
      <c r="F57" s="255" t="s">
        <v>1879</v>
      </c>
      <c r="G57" s="328"/>
      <c r="H57" s="380">
        <f t="shared" si="2"/>
        <v>1</v>
      </c>
      <c r="I57" s="328"/>
      <c r="J57" s="380">
        <f t="shared" si="62"/>
        <v>1</v>
      </c>
      <c r="K57" s="388"/>
      <c r="L57" s="381">
        <f t="shared" si="3"/>
        <v>0</v>
      </c>
      <c r="M57" s="328"/>
      <c r="N57" s="380">
        <f t="shared" si="4"/>
        <v>0.5</v>
      </c>
      <c r="O57" s="382"/>
      <c r="P57" s="380">
        <f t="shared" si="63"/>
        <v>0.5</v>
      </c>
      <c r="Q57" s="388"/>
      <c r="R57" s="381">
        <f t="shared" si="5"/>
        <v>0</v>
      </c>
      <c r="S57" s="383" t="s">
        <v>125</v>
      </c>
      <c r="T57" s="383" t="s">
        <v>349</v>
      </c>
      <c r="U57" s="386">
        <f t="shared" si="6"/>
        <v>6.2664411871606829</v>
      </c>
      <c r="V57" s="351">
        <f t="shared" si="7"/>
        <v>0</v>
      </c>
      <c r="W57" s="383" t="s">
        <v>428</v>
      </c>
      <c r="X57" s="383" t="s">
        <v>411</v>
      </c>
      <c r="Y57" s="384"/>
      <c r="Z57" s="383" t="s">
        <v>3</v>
      </c>
      <c r="AA57" s="387">
        <f t="shared" si="8"/>
        <v>1.9221853757639424</v>
      </c>
      <c r="AB57" s="351">
        <f t="shared" si="9"/>
        <v>0</v>
      </c>
      <c r="AC57" s="387">
        <f t="shared" si="10"/>
        <v>8904.769113128099</v>
      </c>
      <c r="AD57" s="351">
        <f t="shared" si="11"/>
        <v>0</v>
      </c>
      <c r="AE57" s="328">
        <f t="shared" si="12"/>
        <v>0</v>
      </c>
      <c r="AF57" s="1165">
        <f t="shared" si="13"/>
        <v>0.5</v>
      </c>
      <c r="AG57" s="382"/>
      <c r="AH57" s="380">
        <f t="shared" si="14"/>
        <v>0.5</v>
      </c>
      <c r="AI57" s="388"/>
      <c r="AJ57" s="381">
        <f t="shared" si="15"/>
        <v>0</v>
      </c>
      <c r="AK57" s="383" t="s">
        <v>125</v>
      </c>
      <c r="AL57" s="383" t="s">
        <v>349</v>
      </c>
      <c r="AM57" s="386">
        <f t="shared" si="16"/>
        <v>6.2664411871606829</v>
      </c>
      <c r="AN57" s="401">
        <f t="shared" si="17"/>
        <v>0</v>
      </c>
      <c r="AO57" s="383" t="s">
        <v>411</v>
      </c>
      <c r="AP57" s="1170"/>
      <c r="AQ57" s="383" t="s">
        <v>3</v>
      </c>
      <c r="AR57" s="387">
        <f t="shared" si="18"/>
        <v>1.9221853757639424</v>
      </c>
      <c r="AS57" s="401">
        <f t="shared" si="19"/>
        <v>0</v>
      </c>
      <c r="AT57" s="351">
        <f t="shared" si="20"/>
        <v>0</v>
      </c>
      <c r="AU57" s="328">
        <f t="shared" si="64"/>
        <v>0</v>
      </c>
      <c r="AV57" s="1165">
        <f t="shared" si="21"/>
        <v>0.6</v>
      </c>
      <c r="AW57" s="382"/>
      <c r="AX57" s="380">
        <f t="shared" si="22"/>
        <v>0.6</v>
      </c>
      <c r="AY57" s="388"/>
      <c r="AZ57" s="381">
        <f t="shared" si="23"/>
        <v>0</v>
      </c>
      <c r="BA57" s="386">
        <f>Subrates!$C$97</f>
        <v>4.7138306819209967</v>
      </c>
      <c r="BB57" s="402">
        <f t="shared" si="24"/>
        <v>0</v>
      </c>
      <c r="BC57" s="383" t="s">
        <v>125</v>
      </c>
      <c r="BD57" s="383" t="s">
        <v>349</v>
      </c>
      <c r="BE57" s="386">
        <f t="shared" si="25"/>
        <v>6.2664411871606829</v>
      </c>
      <c r="BF57" s="402">
        <f t="shared" si="26"/>
        <v>0</v>
      </c>
      <c r="BG57" s="383" t="s">
        <v>411</v>
      </c>
      <c r="BH57" s="384"/>
      <c r="BI57" s="385" t="s">
        <v>3</v>
      </c>
      <c r="BJ57" s="387">
        <f t="shared" si="27"/>
        <v>1.9221853757639424</v>
      </c>
      <c r="BK57" s="402">
        <f t="shared" si="28"/>
        <v>0</v>
      </c>
      <c r="BL57" s="351">
        <f t="shared" si="29"/>
        <v>0</v>
      </c>
      <c r="BM57" s="328">
        <f t="shared" si="65"/>
        <v>0</v>
      </c>
      <c r="BN57" s="1165">
        <f t="shared" si="30"/>
        <v>0.5</v>
      </c>
      <c r="BO57" s="382"/>
      <c r="BP57" s="380">
        <f t="shared" si="31"/>
        <v>0.5</v>
      </c>
      <c r="BQ57" s="388"/>
      <c r="BR57" s="381">
        <f t="shared" si="32"/>
        <v>0</v>
      </c>
      <c r="BS57" s="386">
        <f>IF(BU57=Local,Subrates!$C$98,Subrates!$C$99)</f>
        <v>8.0873484007548591</v>
      </c>
      <c r="BT57" s="402">
        <f t="shared" si="33"/>
        <v>0</v>
      </c>
      <c r="BU57" s="389" t="s">
        <v>2026</v>
      </c>
      <c r="BV57" s="1170" t="s">
        <v>485</v>
      </c>
      <c r="BW57" s="386">
        <f>IF(BU57=Local,0,VLOOKUP(BV57,Long_distance_values_subs,Subrates!$C$5,FALSE))</f>
        <v>0</v>
      </c>
      <c r="BX57" s="386">
        <f>IF(BU57=Local,0,Subrates!$D$121)</f>
        <v>0</v>
      </c>
      <c r="BY57" s="1173"/>
      <c r="BZ57" s="402">
        <f>IF(BY57="",BW57*BR57*VLOOKUP(BV57,Long_distance_values_subs,Subrates!$H$5)+BX57*BR57,BY57*BR57)</f>
        <v>0</v>
      </c>
      <c r="CA57" s="351">
        <f t="shared" si="34"/>
        <v>0</v>
      </c>
      <c r="CB57" s="328">
        <f t="shared" si="66"/>
        <v>0</v>
      </c>
      <c r="CC57" s="1165">
        <f t="shared" si="35"/>
        <v>1.5</v>
      </c>
      <c r="CD57" s="382"/>
      <c r="CE57" s="380">
        <f t="shared" si="36"/>
        <v>1.5</v>
      </c>
      <c r="CF57" s="388"/>
      <c r="CG57" s="381">
        <f t="shared" si="37"/>
        <v>0</v>
      </c>
      <c r="CH57" s="383" t="s">
        <v>125</v>
      </c>
      <c r="CI57" s="384"/>
      <c r="CJ57" s="383" t="s">
        <v>349</v>
      </c>
      <c r="CK57" s="386">
        <f t="shared" si="38"/>
        <v>6.2664411871606829</v>
      </c>
      <c r="CL57" s="401">
        <f t="shared" si="39"/>
        <v>0</v>
      </c>
      <c r="CM57" s="383" t="s">
        <v>411</v>
      </c>
      <c r="CN57" s="1170"/>
      <c r="CO57" s="383" t="s">
        <v>3</v>
      </c>
      <c r="CP57" s="1171"/>
      <c r="CQ57" s="386">
        <f t="shared" si="40"/>
        <v>1.9221853757639424</v>
      </c>
      <c r="CR57" s="401">
        <f t="shared" si="41"/>
        <v>0</v>
      </c>
      <c r="CS57" s="351">
        <f t="shared" si="42"/>
        <v>0</v>
      </c>
      <c r="CT57" s="388"/>
      <c r="CU57" s="386">
        <f>Subrates!$C$94</f>
        <v>2.2000000000000002</v>
      </c>
      <c r="CV57" s="388"/>
      <c r="CW57" s="386">
        <f>Subrates!$C$95</f>
        <v>13.200000000000001</v>
      </c>
      <c r="CX57" s="388"/>
      <c r="CY57" s="386">
        <f>Subrates!$C$96</f>
        <v>14.3</v>
      </c>
      <c r="CZ57" s="351">
        <f t="shared" si="43"/>
        <v>0</v>
      </c>
      <c r="DA57" s="328"/>
      <c r="DB57" s="399">
        <f>Subrates!$C$106</f>
        <v>21234.52910306484</v>
      </c>
      <c r="DC57" s="351">
        <f t="shared" si="44"/>
        <v>0</v>
      </c>
      <c r="DD57" s="386">
        <f>Subrates!$C$105</f>
        <v>2885.2856380177936</v>
      </c>
      <c r="DE57" s="400">
        <f t="shared" si="45"/>
        <v>0</v>
      </c>
      <c r="DF57" s="1165">
        <f t="shared" si="46"/>
        <v>0.15</v>
      </c>
      <c r="DG57" s="390"/>
      <c r="DH57" s="388"/>
      <c r="DI57" s="381">
        <f t="shared" si="47"/>
        <v>0</v>
      </c>
      <c r="DJ57" s="383" t="s">
        <v>125</v>
      </c>
      <c r="DK57" s="384"/>
      <c r="DL57" s="383" t="s">
        <v>348</v>
      </c>
      <c r="DM57" s="386">
        <f t="shared" si="48"/>
        <v>4.8064250364478198</v>
      </c>
      <c r="DN57" s="401">
        <f t="shared" si="49"/>
        <v>0</v>
      </c>
      <c r="DO57" s="389" t="s">
        <v>2026</v>
      </c>
      <c r="DP57" s="1170" t="s">
        <v>485</v>
      </c>
      <c r="DQ57" s="386">
        <f>IF(DO57=Local,0,VLOOKUP(DP57,Long_distance_values_subs,Subrates!$C$5,FALSE))</f>
        <v>0</v>
      </c>
      <c r="DR57" s="386">
        <f>IF(DO57=Local,0,Subrates!$D$122)</f>
        <v>0</v>
      </c>
      <c r="DS57" s="1173"/>
      <c r="DT57" s="402">
        <f>IF(DS57="",DI57*VLOOKUP(DP57,Long_distance_values_subs,Subrates!$H$5,FALSE)*DQ57+DI57*DR57,DI57*DS57)</f>
        <v>0</v>
      </c>
      <c r="DU57" s="351">
        <f t="shared" si="50"/>
        <v>0</v>
      </c>
      <c r="DV57" s="388"/>
      <c r="DW57" s="391" t="s">
        <v>48</v>
      </c>
      <c r="DX57" s="1166" t="str">
        <f>IF(DW57=Lists!$B$18,"N/A",VLOOKUP(DW57,Lists!$B$18:$D$26,Lists!$C$3,FALSE))</f>
        <v>N/A</v>
      </c>
      <c r="DY57" s="386">
        <f>IF(DW57=Lists!$B$18,0,VLOOKUP(DX57,Amend_TOV,TOV!$F$1,FALSE))</f>
        <v>0</v>
      </c>
      <c r="DZ57" s="117"/>
      <c r="EA57" s="388"/>
      <c r="EB57" s="391" t="s">
        <v>48</v>
      </c>
      <c r="EC57" s="1166" t="str">
        <f>IF(EB57=Lists!$B$18,"N/A",VLOOKUP(EB57,Lists!$B$18:$D$26,Lists!$C$3,FALSE))</f>
        <v>N/A</v>
      </c>
      <c r="ED57" s="386">
        <f>IF(EB57=Lists!$B$18,0,VLOOKUP(EC57,Amend_TOV,TOV!$F$1,FALSE))</f>
        <v>0</v>
      </c>
      <c r="EE57" s="117"/>
      <c r="EF57" s="388"/>
      <c r="EG57" s="391" t="s">
        <v>48</v>
      </c>
      <c r="EH57" s="1166" t="str">
        <f>IF(EG57=Lists!$B$18,"N/A",VLOOKUP(EG57,Lists!$B$18:$D$26,Lists!$C$3,FALSE))</f>
        <v>N/A</v>
      </c>
      <c r="EI57" s="386">
        <f>IF(EG57=Lists!$B$18,0,VLOOKUP(EH57,Amend_TOV,TOV!$F$1,FALSE))</f>
        <v>0</v>
      </c>
      <c r="EJ57" s="117"/>
      <c r="EK57" s="351">
        <f t="shared" si="51"/>
        <v>0</v>
      </c>
      <c r="EL57" s="328">
        <f t="shared" si="52"/>
        <v>0</v>
      </c>
      <c r="EM57" s="392">
        <v>1</v>
      </c>
      <c r="EN57" s="392"/>
      <c r="EO57" s="393">
        <f t="shared" si="53"/>
        <v>0</v>
      </c>
      <c r="EP57" s="232" t="str">
        <f t="shared" si="67"/>
        <v>No Alert</v>
      </c>
      <c r="EQ57" s="351">
        <f t="shared" si="54"/>
        <v>0</v>
      </c>
      <c r="ER57" s="351">
        <f t="shared" si="55"/>
        <v>0</v>
      </c>
      <c r="ES57" s="1154">
        <f t="shared" si="56"/>
        <v>0</v>
      </c>
      <c r="ET57" s="1172"/>
      <c r="EU57" s="351">
        <f t="shared" si="68"/>
        <v>0</v>
      </c>
      <c r="EV57" s="386">
        <f t="shared" si="57"/>
        <v>3650</v>
      </c>
      <c r="EW57" s="117"/>
      <c r="EX57" s="403">
        <f t="shared" si="58"/>
        <v>0</v>
      </c>
      <c r="EY57" s="394"/>
      <c r="EZ57" s="395">
        <f t="shared" si="69"/>
        <v>0</v>
      </c>
      <c r="FA57" s="1167">
        <f t="shared" si="59"/>
        <v>0</v>
      </c>
      <c r="FB57" s="1168">
        <f t="shared" si="60"/>
        <v>0</v>
      </c>
      <c r="FC57" s="396"/>
      <c r="FD57" s="397"/>
      <c r="FE57" s="397"/>
      <c r="FF57" s="397"/>
      <c r="FG57" s="397"/>
      <c r="FH57" s="397"/>
      <c r="FI57" s="397"/>
      <c r="FJ57" s="398"/>
    </row>
    <row r="58" spans="1:173" s="520" customFormat="1" ht="15">
      <c r="B58" s="310"/>
      <c r="C58" s="1164">
        <f t="shared" si="61"/>
        <v>6</v>
      </c>
      <c r="D58" s="379"/>
      <c r="E58" s="328"/>
      <c r="F58" s="255" t="s">
        <v>1879</v>
      </c>
      <c r="G58" s="328"/>
      <c r="H58" s="380">
        <f t="shared" si="2"/>
        <v>1</v>
      </c>
      <c r="I58" s="328"/>
      <c r="J58" s="380">
        <f t="shared" si="62"/>
        <v>1</v>
      </c>
      <c r="K58" s="388"/>
      <c r="L58" s="381">
        <f t="shared" si="3"/>
        <v>0</v>
      </c>
      <c r="M58" s="328"/>
      <c r="N58" s="380">
        <f t="shared" si="4"/>
        <v>0.5</v>
      </c>
      <c r="O58" s="382"/>
      <c r="P58" s="380">
        <f t="shared" si="63"/>
        <v>0.5</v>
      </c>
      <c r="Q58" s="388"/>
      <c r="R58" s="381">
        <f t="shared" si="5"/>
        <v>0</v>
      </c>
      <c r="S58" s="383" t="s">
        <v>125</v>
      </c>
      <c r="T58" s="383" t="s">
        <v>349</v>
      </c>
      <c r="U58" s="386">
        <f t="shared" si="6"/>
        <v>6.2664411871606829</v>
      </c>
      <c r="V58" s="351">
        <f t="shared" si="7"/>
        <v>0</v>
      </c>
      <c r="W58" s="383" t="s">
        <v>428</v>
      </c>
      <c r="X58" s="383" t="s">
        <v>411</v>
      </c>
      <c r="Y58" s="384"/>
      <c r="Z58" s="383" t="s">
        <v>3</v>
      </c>
      <c r="AA58" s="387">
        <f t="shared" si="8"/>
        <v>1.9221853757639424</v>
      </c>
      <c r="AB58" s="351">
        <f t="shared" si="9"/>
        <v>0</v>
      </c>
      <c r="AC58" s="387">
        <f t="shared" si="10"/>
        <v>8904.769113128099</v>
      </c>
      <c r="AD58" s="351">
        <f t="shared" si="11"/>
        <v>0</v>
      </c>
      <c r="AE58" s="328">
        <f t="shared" si="12"/>
        <v>0</v>
      </c>
      <c r="AF58" s="1165">
        <f t="shared" si="13"/>
        <v>0.5</v>
      </c>
      <c r="AG58" s="382"/>
      <c r="AH58" s="380">
        <f t="shared" si="14"/>
        <v>0.5</v>
      </c>
      <c r="AI58" s="388"/>
      <c r="AJ58" s="381">
        <f t="shared" si="15"/>
        <v>0</v>
      </c>
      <c r="AK58" s="383" t="s">
        <v>125</v>
      </c>
      <c r="AL58" s="383" t="s">
        <v>349</v>
      </c>
      <c r="AM58" s="386">
        <f t="shared" si="16"/>
        <v>6.2664411871606829</v>
      </c>
      <c r="AN58" s="401">
        <f t="shared" si="17"/>
        <v>0</v>
      </c>
      <c r="AO58" s="383" t="s">
        <v>411</v>
      </c>
      <c r="AP58" s="1170"/>
      <c r="AQ58" s="383" t="s">
        <v>3</v>
      </c>
      <c r="AR58" s="387">
        <f t="shared" si="18"/>
        <v>1.9221853757639424</v>
      </c>
      <c r="AS58" s="401">
        <f t="shared" si="19"/>
        <v>0</v>
      </c>
      <c r="AT58" s="351">
        <f t="shared" si="20"/>
        <v>0</v>
      </c>
      <c r="AU58" s="328">
        <f t="shared" si="64"/>
        <v>0</v>
      </c>
      <c r="AV58" s="1165">
        <f t="shared" si="21"/>
        <v>0.6</v>
      </c>
      <c r="AW58" s="382"/>
      <c r="AX58" s="380">
        <f t="shared" si="22"/>
        <v>0.6</v>
      </c>
      <c r="AY58" s="388"/>
      <c r="AZ58" s="381">
        <f t="shared" si="23"/>
        <v>0</v>
      </c>
      <c r="BA58" s="386">
        <f>Subrates!$C$97</f>
        <v>4.7138306819209967</v>
      </c>
      <c r="BB58" s="402">
        <f t="shared" si="24"/>
        <v>0</v>
      </c>
      <c r="BC58" s="383" t="s">
        <v>125</v>
      </c>
      <c r="BD58" s="383" t="s">
        <v>349</v>
      </c>
      <c r="BE58" s="386">
        <f t="shared" si="25"/>
        <v>6.2664411871606829</v>
      </c>
      <c r="BF58" s="402">
        <f t="shared" si="26"/>
        <v>0</v>
      </c>
      <c r="BG58" s="383" t="s">
        <v>411</v>
      </c>
      <c r="BH58" s="384"/>
      <c r="BI58" s="385" t="s">
        <v>3</v>
      </c>
      <c r="BJ58" s="387">
        <f t="shared" si="27"/>
        <v>1.9221853757639424</v>
      </c>
      <c r="BK58" s="402">
        <f t="shared" si="28"/>
        <v>0</v>
      </c>
      <c r="BL58" s="351">
        <f t="shared" si="29"/>
        <v>0</v>
      </c>
      <c r="BM58" s="328">
        <f t="shared" si="65"/>
        <v>0</v>
      </c>
      <c r="BN58" s="1165">
        <f t="shared" si="30"/>
        <v>0.5</v>
      </c>
      <c r="BO58" s="382"/>
      <c r="BP58" s="380">
        <f t="shared" si="31"/>
        <v>0.5</v>
      </c>
      <c r="BQ58" s="388"/>
      <c r="BR58" s="381">
        <f t="shared" si="32"/>
        <v>0</v>
      </c>
      <c r="BS58" s="386">
        <f>IF(BU58=Local,Subrates!$C$98,Subrates!$C$99)</f>
        <v>8.0873484007548591</v>
      </c>
      <c r="BT58" s="402">
        <f t="shared" si="33"/>
        <v>0</v>
      </c>
      <c r="BU58" s="389" t="s">
        <v>2026</v>
      </c>
      <c r="BV58" s="1170" t="s">
        <v>485</v>
      </c>
      <c r="BW58" s="386">
        <f>IF(BU58=Local,0,VLOOKUP(BV58,Long_distance_values_subs,Subrates!$C$5,FALSE))</f>
        <v>0</v>
      </c>
      <c r="BX58" s="386">
        <f>IF(BU58=Local,0,Subrates!$D$121)</f>
        <v>0</v>
      </c>
      <c r="BY58" s="1173"/>
      <c r="BZ58" s="402">
        <f>IF(BY58="",BW58*BR58*VLOOKUP(BV58,Long_distance_values_subs,Subrates!$H$5)+BX58*BR58,BY58*BR58)</f>
        <v>0</v>
      </c>
      <c r="CA58" s="351">
        <f t="shared" si="34"/>
        <v>0</v>
      </c>
      <c r="CB58" s="328">
        <f t="shared" si="66"/>
        <v>0</v>
      </c>
      <c r="CC58" s="1165">
        <f t="shared" si="35"/>
        <v>1.5</v>
      </c>
      <c r="CD58" s="382"/>
      <c r="CE58" s="380">
        <f t="shared" si="36"/>
        <v>1.5</v>
      </c>
      <c r="CF58" s="388"/>
      <c r="CG58" s="381">
        <f t="shared" si="37"/>
        <v>0</v>
      </c>
      <c r="CH58" s="383" t="s">
        <v>125</v>
      </c>
      <c r="CI58" s="384"/>
      <c r="CJ58" s="383" t="s">
        <v>349</v>
      </c>
      <c r="CK58" s="386">
        <f t="shared" si="38"/>
        <v>6.2664411871606829</v>
      </c>
      <c r="CL58" s="401">
        <f t="shared" si="39"/>
        <v>0</v>
      </c>
      <c r="CM58" s="383" t="s">
        <v>411</v>
      </c>
      <c r="CN58" s="1170"/>
      <c r="CO58" s="383" t="s">
        <v>3</v>
      </c>
      <c r="CP58" s="1171"/>
      <c r="CQ58" s="386">
        <f t="shared" si="40"/>
        <v>1.9221853757639424</v>
      </c>
      <c r="CR58" s="401">
        <f t="shared" si="41"/>
        <v>0</v>
      </c>
      <c r="CS58" s="351">
        <f t="shared" si="42"/>
        <v>0</v>
      </c>
      <c r="CT58" s="388"/>
      <c r="CU58" s="386">
        <f>Subrates!$C$94</f>
        <v>2.2000000000000002</v>
      </c>
      <c r="CV58" s="388"/>
      <c r="CW58" s="386">
        <f>Subrates!$C$95</f>
        <v>13.200000000000001</v>
      </c>
      <c r="CX58" s="388"/>
      <c r="CY58" s="386">
        <f>Subrates!$C$96</f>
        <v>14.3</v>
      </c>
      <c r="CZ58" s="351">
        <f t="shared" si="43"/>
        <v>0</v>
      </c>
      <c r="DA58" s="328"/>
      <c r="DB58" s="399">
        <f>Subrates!$C$106</f>
        <v>21234.52910306484</v>
      </c>
      <c r="DC58" s="351">
        <f t="shared" si="44"/>
        <v>0</v>
      </c>
      <c r="DD58" s="386">
        <f>Subrates!$C$105</f>
        <v>2885.2856380177936</v>
      </c>
      <c r="DE58" s="400">
        <f t="shared" si="45"/>
        <v>0</v>
      </c>
      <c r="DF58" s="1165">
        <f t="shared" si="46"/>
        <v>0.15</v>
      </c>
      <c r="DG58" s="390"/>
      <c r="DH58" s="388"/>
      <c r="DI58" s="381">
        <f t="shared" si="47"/>
        <v>0</v>
      </c>
      <c r="DJ58" s="383" t="s">
        <v>125</v>
      </c>
      <c r="DK58" s="384"/>
      <c r="DL58" s="383" t="s">
        <v>348</v>
      </c>
      <c r="DM58" s="386">
        <f t="shared" si="48"/>
        <v>4.8064250364478198</v>
      </c>
      <c r="DN58" s="401">
        <f t="shared" si="49"/>
        <v>0</v>
      </c>
      <c r="DO58" s="389" t="s">
        <v>2026</v>
      </c>
      <c r="DP58" s="1170" t="s">
        <v>485</v>
      </c>
      <c r="DQ58" s="386">
        <f>IF(DO58=Local,0,VLOOKUP(DP58,Long_distance_values_subs,Subrates!$C$5,FALSE))</f>
        <v>0</v>
      </c>
      <c r="DR58" s="386">
        <f>IF(DO58=Local,0,Subrates!$D$122)</f>
        <v>0</v>
      </c>
      <c r="DS58" s="1173"/>
      <c r="DT58" s="402">
        <f>IF(DS58="",DI58*VLOOKUP(DP58,Long_distance_values_subs,Subrates!$H$5,FALSE)*DQ58+DI58*DR58,DI58*DS58)</f>
        <v>0</v>
      </c>
      <c r="DU58" s="351">
        <f t="shared" si="50"/>
        <v>0</v>
      </c>
      <c r="DV58" s="388"/>
      <c r="DW58" s="391" t="s">
        <v>48</v>
      </c>
      <c r="DX58" s="1166" t="str">
        <f>IF(DW58=Lists!$B$18,"N/A",VLOOKUP(DW58,Lists!$B$18:$D$26,Lists!$C$3,FALSE))</f>
        <v>N/A</v>
      </c>
      <c r="DY58" s="386">
        <f>IF(DW58=Lists!$B$18,0,VLOOKUP(DX58,Amend_TOV,TOV!$F$1,FALSE))</f>
        <v>0</v>
      </c>
      <c r="DZ58" s="117"/>
      <c r="EA58" s="388"/>
      <c r="EB58" s="391" t="s">
        <v>48</v>
      </c>
      <c r="EC58" s="1166" t="str">
        <f>IF(EB58=Lists!$B$18,"N/A",VLOOKUP(EB58,Lists!$B$18:$D$26,Lists!$C$3,FALSE))</f>
        <v>N/A</v>
      </c>
      <c r="ED58" s="386">
        <f>IF(EB58=Lists!$B$18,0,VLOOKUP(EC58,Amend_TOV,TOV!$F$1,FALSE))</f>
        <v>0</v>
      </c>
      <c r="EE58" s="117"/>
      <c r="EF58" s="388"/>
      <c r="EG58" s="391" t="s">
        <v>48</v>
      </c>
      <c r="EH58" s="1166" t="str">
        <f>IF(EG58=Lists!$B$18,"N/A",VLOOKUP(EG58,Lists!$B$18:$D$26,Lists!$C$3,FALSE))</f>
        <v>N/A</v>
      </c>
      <c r="EI58" s="386">
        <f>IF(EG58=Lists!$B$18,0,VLOOKUP(EH58,Amend_TOV,TOV!$F$1,FALSE))</f>
        <v>0</v>
      </c>
      <c r="EJ58" s="117"/>
      <c r="EK58" s="351">
        <f t="shared" si="51"/>
        <v>0</v>
      </c>
      <c r="EL58" s="328">
        <f t="shared" si="52"/>
        <v>0</v>
      </c>
      <c r="EM58" s="392">
        <v>1</v>
      </c>
      <c r="EN58" s="392"/>
      <c r="EO58" s="393">
        <f t="shared" si="53"/>
        <v>0</v>
      </c>
      <c r="EP58" s="232" t="str">
        <f t="shared" si="67"/>
        <v>No Alert</v>
      </c>
      <c r="EQ58" s="351">
        <f t="shared" si="54"/>
        <v>0</v>
      </c>
      <c r="ER58" s="351">
        <f t="shared" si="55"/>
        <v>0</v>
      </c>
      <c r="ES58" s="1154">
        <f t="shared" si="56"/>
        <v>0</v>
      </c>
      <c r="ET58" s="1172"/>
      <c r="EU58" s="351">
        <f t="shared" si="68"/>
        <v>0</v>
      </c>
      <c r="EV58" s="386">
        <f t="shared" si="57"/>
        <v>3650</v>
      </c>
      <c r="EW58" s="117"/>
      <c r="EX58" s="403">
        <f t="shared" si="58"/>
        <v>0</v>
      </c>
      <c r="EY58" s="394"/>
      <c r="EZ58" s="395">
        <f t="shared" si="69"/>
        <v>0</v>
      </c>
      <c r="FA58" s="1167">
        <f t="shared" si="59"/>
        <v>0</v>
      </c>
      <c r="FB58" s="1168">
        <f t="shared" si="60"/>
        <v>0</v>
      </c>
      <c r="FC58" s="396"/>
      <c r="FD58" s="397"/>
      <c r="FE58" s="397"/>
      <c r="FF58" s="397"/>
      <c r="FG58" s="397"/>
      <c r="FH58" s="397"/>
      <c r="FI58" s="397"/>
      <c r="FJ58" s="398"/>
    </row>
    <row r="59" spans="1:173" s="520" customFormat="1" ht="15">
      <c r="B59" s="310"/>
      <c r="C59" s="1164">
        <f t="shared" si="61"/>
        <v>7</v>
      </c>
      <c r="D59" s="379"/>
      <c r="E59" s="328"/>
      <c r="F59" s="255" t="s">
        <v>1879</v>
      </c>
      <c r="G59" s="328"/>
      <c r="H59" s="380">
        <f t="shared" si="2"/>
        <v>1</v>
      </c>
      <c r="I59" s="328"/>
      <c r="J59" s="380">
        <f t="shared" si="62"/>
        <v>1</v>
      </c>
      <c r="K59" s="388"/>
      <c r="L59" s="381">
        <f t="shared" si="3"/>
        <v>0</v>
      </c>
      <c r="M59" s="328"/>
      <c r="N59" s="380">
        <f t="shared" si="4"/>
        <v>0.5</v>
      </c>
      <c r="O59" s="382"/>
      <c r="P59" s="380">
        <f t="shared" si="63"/>
        <v>0.5</v>
      </c>
      <c r="Q59" s="388"/>
      <c r="R59" s="381">
        <f t="shared" si="5"/>
        <v>0</v>
      </c>
      <c r="S59" s="383" t="s">
        <v>125</v>
      </c>
      <c r="T59" s="383" t="s">
        <v>349</v>
      </c>
      <c r="U59" s="386">
        <f t="shared" si="6"/>
        <v>6.2664411871606829</v>
      </c>
      <c r="V59" s="351">
        <f t="shared" si="7"/>
        <v>0</v>
      </c>
      <c r="W59" s="383" t="s">
        <v>428</v>
      </c>
      <c r="X59" s="383" t="s">
        <v>411</v>
      </c>
      <c r="Y59" s="384"/>
      <c r="Z59" s="383" t="s">
        <v>3</v>
      </c>
      <c r="AA59" s="387">
        <f t="shared" si="8"/>
        <v>1.9221853757639424</v>
      </c>
      <c r="AB59" s="351">
        <f t="shared" si="9"/>
        <v>0</v>
      </c>
      <c r="AC59" s="387">
        <f t="shared" si="10"/>
        <v>8904.769113128099</v>
      </c>
      <c r="AD59" s="351">
        <f t="shared" si="11"/>
        <v>0</v>
      </c>
      <c r="AE59" s="328">
        <f t="shared" si="12"/>
        <v>0</v>
      </c>
      <c r="AF59" s="1165">
        <f t="shared" si="13"/>
        <v>0.5</v>
      </c>
      <c r="AG59" s="382"/>
      <c r="AH59" s="380">
        <f t="shared" si="14"/>
        <v>0.5</v>
      </c>
      <c r="AI59" s="388"/>
      <c r="AJ59" s="381">
        <f t="shared" si="15"/>
        <v>0</v>
      </c>
      <c r="AK59" s="383" t="s">
        <v>125</v>
      </c>
      <c r="AL59" s="383" t="s">
        <v>349</v>
      </c>
      <c r="AM59" s="386">
        <f t="shared" si="16"/>
        <v>6.2664411871606829</v>
      </c>
      <c r="AN59" s="401">
        <f t="shared" si="17"/>
        <v>0</v>
      </c>
      <c r="AO59" s="383" t="s">
        <v>411</v>
      </c>
      <c r="AP59" s="1170"/>
      <c r="AQ59" s="383" t="s">
        <v>3</v>
      </c>
      <c r="AR59" s="387">
        <f t="shared" si="18"/>
        <v>1.9221853757639424</v>
      </c>
      <c r="AS59" s="401">
        <f t="shared" si="19"/>
        <v>0</v>
      </c>
      <c r="AT59" s="351">
        <f t="shared" si="20"/>
        <v>0</v>
      </c>
      <c r="AU59" s="328">
        <f t="shared" si="64"/>
        <v>0</v>
      </c>
      <c r="AV59" s="1165">
        <f t="shared" si="21"/>
        <v>0.6</v>
      </c>
      <c r="AW59" s="382"/>
      <c r="AX59" s="380">
        <f t="shared" si="22"/>
        <v>0.6</v>
      </c>
      <c r="AY59" s="388"/>
      <c r="AZ59" s="381">
        <f t="shared" si="23"/>
        <v>0</v>
      </c>
      <c r="BA59" s="386">
        <f>Subrates!$C$97</f>
        <v>4.7138306819209967</v>
      </c>
      <c r="BB59" s="402">
        <f t="shared" si="24"/>
        <v>0</v>
      </c>
      <c r="BC59" s="383" t="s">
        <v>125</v>
      </c>
      <c r="BD59" s="383" t="s">
        <v>349</v>
      </c>
      <c r="BE59" s="386">
        <f t="shared" si="25"/>
        <v>6.2664411871606829</v>
      </c>
      <c r="BF59" s="402">
        <f t="shared" si="26"/>
        <v>0</v>
      </c>
      <c r="BG59" s="383" t="s">
        <v>411</v>
      </c>
      <c r="BH59" s="384"/>
      <c r="BI59" s="385" t="s">
        <v>3</v>
      </c>
      <c r="BJ59" s="387">
        <f t="shared" si="27"/>
        <v>1.9221853757639424</v>
      </c>
      <c r="BK59" s="402">
        <f t="shared" si="28"/>
        <v>0</v>
      </c>
      <c r="BL59" s="351">
        <f t="shared" si="29"/>
        <v>0</v>
      </c>
      <c r="BM59" s="328">
        <f t="shared" si="65"/>
        <v>0</v>
      </c>
      <c r="BN59" s="1165">
        <f t="shared" si="30"/>
        <v>0.5</v>
      </c>
      <c r="BO59" s="382"/>
      <c r="BP59" s="380">
        <f t="shared" si="31"/>
        <v>0.5</v>
      </c>
      <c r="BQ59" s="388"/>
      <c r="BR59" s="381">
        <f t="shared" si="32"/>
        <v>0</v>
      </c>
      <c r="BS59" s="386">
        <f>IF(BU59=Local,Subrates!$C$98,Subrates!$C$99)</f>
        <v>8.0873484007548591</v>
      </c>
      <c r="BT59" s="402">
        <f t="shared" si="33"/>
        <v>0</v>
      </c>
      <c r="BU59" s="389" t="s">
        <v>2026</v>
      </c>
      <c r="BV59" s="1170" t="s">
        <v>485</v>
      </c>
      <c r="BW59" s="386">
        <f>IF(BU59=Local,0,VLOOKUP(BV59,Long_distance_values_subs,Subrates!$C$5,FALSE))</f>
        <v>0</v>
      </c>
      <c r="BX59" s="386">
        <f>IF(BU59=Local,0,Subrates!$D$121)</f>
        <v>0</v>
      </c>
      <c r="BY59" s="1173"/>
      <c r="BZ59" s="402">
        <f>IF(BY59="",BW59*BR59*VLOOKUP(BV59,Long_distance_values_subs,Subrates!$H$5)+BX59*BR59,BY59*BR59)</f>
        <v>0</v>
      </c>
      <c r="CA59" s="351">
        <f t="shared" si="34"/>
        <v>0</v>
      </c>
      <c r="CB59" s="328">
        <f t="shared" si="66"/>
        <v>0</v>
      </c>
      <c r="CC59" s="1165">
        <f t="shared" si="35"/>
        <v>1.5</v>
      </c>
      <c r="CD59" s="382"/>
      <c r="CE59" s="380">
        <f t="shared" si="36"/>
        <v>1.5</v>
      </c>
      <c r="CF59" s="388"/>
      <c r="CG59" s="381">
        <f t="shared" si="37"/>
        <v>0</v>
      </c>
      <c r="CH59" s="383" t="s">
        <v>125</v>
      </c>
      <c r="CI59" s="384"/>
      <c r="CJ59" s="383" t="s">
        <v>349</v>
      </c>
      <c r="CK59" s="386">
        <f t="shared" si="38"/>
        <v>6.2664411871606829</v>
      </c>
      <c r="CL59" s="401">
        <f t="shared" si="39"/>
        <v>0</v>
      </c>
      <c r="CM59" s="383" t="s">
        <v>411</v>
      </c>
      <c r="CN59" s="1170"/>
      <c r="CO59" s="383" t="s">
        <v>3</v>
      </c>
      <c r="CP59" s="1171"/>
      <c r="CQ59" s="386">
        <f t="shared" si="40"/>
        <v>1.9221853757639424</v>
      </c>
      <c r="CR59" s="401">
        <f t="shared" si="41"/>
        <v>0</v>
      </c>
      <c r="CS59" s="351">
        <f t="shared" si="42"/>
        <v>0</v>
      </c>
      <c r="CT59" s="388"/>
      <c r="CU59" s="386">
        <f>Subrates!$C$94</f>
        <v>2.2000000000000002</v>
      </c>
      <c r="CV59" s="388"/>
      <c r="CW59" s="386">
        <f>Subrates!$C$95</f>
        <v>13.200000000000001</v>
      </c>
      <c r="CX59" s="388"/>
      <c r="CY59" s="386">
        <f>Subrates!$C$96</f>
        <v>14.3</v>
      </c>
      <c r="CZ59" s="351">
        <f t="shared" si="43"/>
        <v>0</v>
      </c>
      <c r="DA59" s="328"/>
      <c r="DB59" s="399">
        <f>Subrates!$C$106</f>
        <v>21234.52910306484</v>
      </c>
      <c r="DC59" s="351">
        <f t="shared" si="44"/>
        <v>0</v>
      </c>
      <c r="DD59" s="386">
        <f>Subrates!$C$105</f>
        <v>2885.2856380177936</v>
      </c>
      <c r="DE59" s="400">
        <f t="shared" si="45"/>
        <v>0</v>
      </c>
      <c r="DF59" s="1165">
        <f t="shared" si="46"/>
        <v>0.15</v>
      </c>
      <c r="DG59" s="390"/>
      <c r="DH59" s="388"/>
      <c r="DI59" s="381">
        <f t="shared" si="47"/>
        <v>0</v>
      </c>
      <c r="DJ59" s="383" t="s">
        <v>125</v>
      </c>
      <c r="DK59" s="384"/>
      <c r="DL59" s="383" t="s">
        <v>348</v>
      </c>
      <c r="DM59" s="386">
        <f t="shared" si="48"/>
        <v>4.8064250364478198</v>
      </c>
      <c r="DN59" s="401">
        <f t="shared" si="49"/>
        <v>0</v>
      </c>
      <c r="DO59" s="389" t="s">
        <v>2026</v>
      </c>
      <c r="DP59" s="1170" t="s">
        <v>485</v>
      </c>
      <c r="DQ59" s="386">
        <f>IF(DO59=Local,0,VLOOKUP(DP59,Long_distance_values_subs,Subrates!$C$5,FALSE))</f>
        <v>0</v>
      </c>
      <c r="DR59" s="386">
        <f>IF(DO59=Local,0,Subrates!$D$122)</f>
        <v>0</v>
      </c>
      <c r="DS59" s="1173"/>
      <c r="DT59" s="402">
        <f>IF(DS59="",DI59*VLOOKUP(DP59,Long_distance_values_subs,Subrates!$H$5,FALSE)*DQ59+DI59*DR59,DI59*DS59)</f>
        <v>0</v>
      </c>
      <c r="DU59" s="351">
        <f t="shared" si="50"/>
        <v>0</v>
      </c>
      <c r="DV59" s="388"/>
      <c r="DW59" s="391" t="s">
        <v>48</v>
      </c>
      <c r="DX59" s="1166" t="str">
        <f>IF(DW59=Lists!$B$18,"N/A",VLOOKUP(DW59,Lists!$B$18:$D$26,Lists!$C$3,FALSE))</f>
        <v>N/A</v>
      </c>
      <c r="DY59" s="386">
        <f>IF(DW59=Lists!$B$18,0,VLOOKUP(DX59,Amend_TOV,TOV!$F$1,FALSE))</f>
        <v>0</v>
      </c>
      <c r="DZ59" s="117"/>
      <c r="EA59" s="388"/>
      <c r="EB59" s="391" t="s">
        <v>48</v>
      </c>
      <c r="EC59" s="1166" t="str">
        <f>IF(EB59=Lists!$B$18,"N/A",VLOOKUP(EB59,Lists!$B$18:$D$26,Lists!$C$3,FALSE))</f>
        <v>N/A</v>
      </c>
      <c r="ED59" s="386">
        <f>IF(EB59=Lists!$B$18,0,VLOOKUP(EC59,Amend_TOV,TOV!$F$1,FALSE))</f>
        <v>0</v>
      </c>
      <c r="EE59" s="117"/>
      <c r="EF59" s="388"/>
      <c r="EG59" s="391" t="s">
        <v>48</v>
      </c>
      <c r="EH59" s="1166" t="str">
        <f>IF(EG59=Lists!$B$18,"N/A",VLOOKUP(EG59,Lists!$B$18:$D$26,Lists!$C$3,FALSE))</f>
        <v>N/A</v>
      </c>
      <c r="EI59" s="386">
        <f>IF(EG59=Lists!$B$18,0,VLOOKUP(EH59,Amend_TOV,TOV!$F$1,FALSE))</f>
        <v>0</v>
      </c>
      <c r="EJ59" s="117"/>
      <c r="EK59" s="351">
        <f t="shared" si="51"/>
        <v>0</v>
      </c>
      <c r="EL59" s="328">
        <f t="shared" si="52"/>
        <v>0</v>
      </c>
      <c r="EM59" s="392">
        <v>1</v>
      </c>
      <c r="EN59" s="392"/>
      <c r="EO59" s="393">
        <f t="shared" si="53"/>
        <v>0</v>
      </c>
      <c r="EP59" s="232" t="str">
        <f t="shared" si="67"/>
        <v>No Alert</v>
      </c>
      <c r="EQ59" s="351">
        <f t="shared" si="54"/>
        <v>0</v>
      </c>
      <c r="ER59" s="351">
        <f t="shared" si="55"/>
        <v>0</v>
      </c>
      <c r="ES59" s="1154">
        <f t="shared" si="56"/>
        <v>0</v>
      </c>
      <c r="ET59" s="1172"/>
      <c r="EU59" s="351">
        <f t="shared" si="68"/>
        <v>0</v>
      </c>
      <c r="EV59" s="386">
        <f t="shared" si="57"/>
        <v>3650</v>
      </c>
      <c r="EW59" s="117"/>
      <c r="EX59" s="403">
        <f t="shared" si="58"/>
        <v>0</v>
      </c>
      <c r="EY59" s="394"/>
      <c r="EZ59" s="395">
        <f t="shared" si="69"/>
        <v>0</v>
      </c>
      <c r="FA59" s="1167">
        <f t="shared" si="59"/>
        <v>0</v>
      </c>
      <c r="FB59" s="1168">
        <f t="shared" si="60"/>
        <v>0</v>
      </c>
      <c r="FC59" s="396"/>
      <c r="FD59" s="397"/>
      <c r="FE59" s="397"/>
      <c r="FF59" s="397"/>
      <c r="FG59" s="397"/>
      <c r="FH59" s="397"/>
      <c r="FI59" s="397"/>
      <c r="FJ59" s="398"/>
    </row>
    <row r="60" spans="1:173" s="520" customFormat="1" ht="15">
      <c r="B60" s="310"/>
      <c r="C60" s="1164">
        <f t="shared" si="61"/>
        <v>8</v>
      </c>
      <c r="D60" s="379"/>
      <c r="E60" s="328"/>
      <c r="F60" s="255" t="s">
        <v>1879</v>
      </c>
      <c r="G60" s="328"/>
      <c r="H60" s="380">
        <f t="shared" si="2"/>
        <v>1</v>
      </c>
      <c r="I60" s="328"/>
      <c r="J60" s="380">
        <f t="shared" si="62"/>
        <v>1</v>
      </c>
      <c r="K60" s="388"/>
      <c r="L60" s="381">
        <f t="shared" si="3"/>
        <v>0</v>
      </c>
      <c r="M60" s="328"/>
      <c r="N60" s="380">
        <f t="shared" si="4"/>
        <v>0.5</v>
      </c>
      <c r="O60" s="382"/>
      <c r="P60" s="380">
        <f t="shared" si="63"/>
        <v>0.5</v>
      </c>
      <c r="Q60" s="388"/>
      <c r="R60" s="381">
        <f t="shared" si="5"/>
        <v>0</v>
      </c>
      <c r="S60" s="383" t="s">
        <v>125</v>
      </c>
      <c r="T60" s="383" t="s">
        <v>349</v>
      </c>
      <c r="U60" s="386">
        <f t="shared" si="6"/>
        <v>6.2664411871606829</v>
      </c>
      <c r="V60" s="351">
        <f t="shared" si="7"/>
        <v>0</v>
      </c>
      <c r="W60" s="383" t="s">
        <v>428</v>
      </c>
      <c r="X60" s="383" t="s">
        <v>411</v>
      </c>
      <c r="Y60" s="384"/>
      <c r="Z60" s="383" t="s">
        <v>3</v>
      </c>
      <c r="AA60" s="387">
        <f t="shared" si="8"/>
        <v>1.9221853757639424</v>
      </c>
      <c r="AB60" s="351">
        <f t="shared" si="9"/>
        <v>0</v>
      </c>
      <c r="AC60" s="387">
        <f t="shared" si="10"/>
        <v>8904.769113128099</v>
      </c>
      <c r="AD60" s="351">
        <f t="shared" si="11"/>
        <v>0</v>
      </c>
      <c r="AE60" s="328">
        <f t="shared" si="12"/>
        <v>0</v>
      </c>
      <c r="AF60" s="1165">
        <f t="shared" si="13"/>
        <v>0.5</v>
      </c>
      <c r="AG60" s="382"/>
      <c r="AH60" s="380">
        <f t="shared" si="14"/>
        <v>0.5</v>
      </c>
      <c r="AI60" s="388"/>
      <c r="AJ60" s="381">
        <f t="shared" si="15"/>
        <v>0</v>
      </c>
      <c r="AK60" s="383" t="s">
        <v>125</v>
      </c>
      <c r="AL60" s="383" t="s">
        <v>349</v>
      </c>
      <c r="AM60" s="386">
        <f t="shared" si="16"/>
        <v>6.2664411871606829</v>
      </c>
      <c r="AN60" s="401">
        <f t="shared" si="17"/>
        <v>0</v>
      </c>
      <c r="AO60" s="383" t="s">
        <v>411</v>
      </c>
      <c r="AP60" s="1170"/>
      <c r="AQ60" s="383" t="s">
        <v>3</v>
      </c>
      <c r="AR60" s="387">
        <f t="shared" si="18"/>
        <v>1.9221853757639424</v>
      </c>
      <c r="AS60" s="401">
        <f t="shared" si="19"/>
        <v>0</v>
      </c>
      <c r="AT60" s="351">
        <f t="shared" si="20"/>
        <v>0</v>
      </c>
      <c r="AU60" s="328">
        <f t="shared" si="64"/>
        <v>0</v>
      </c>
      <c r="AV60" s="1165">
        <f t="shared" si="21"/>
        <v>0.6</v>
      </c>
      <c r="AW60" s="382"/>
      <c r="AX60" s="380">
        <f t="shared" si="22"/>
        <v>0.6</v>
      </c>
      <c r="AY60" s="388"/>
      <c r="AZ60" s="381">
        <f t="shared" si="23"/>
        <v>0</v>
      </c>
      <c r="BA60" s="386">
        <f>Subrates!$C$97</f>
        <v>4.7138306819209967</v>
      </c>
      <c r="BB60" s="402">
        <f t="shared" si="24"/>
        <v>0</v>
      </c>
      <c r="BC60" s="383" t="s">
        <v>125</v>
      </c>
      <c r="BD60" s="383" t="s">
        <v>349</v>
      </c>
      <c r="BE60" s="386">
        <f t="shared" si="25"/>
        <v>6.2664411871606829</v>
      </c>
      <c r="BF60" s="402">
        <f t="shared" si="26"/>
        <v>0</v>
      </c>
      <c r="BG60" s="383" t="s">
        <v>411</v>
      </c>
      <c r="BH60" s="384"/>
      <c r="BI60" s="385" t="s">
        <v>3</v>
      </c>
      <c r="BJ60" s="387">
        <f t="shared" si="27"/>
        <v>1.9221853757639424</v>
      </c>
      <c r="BK60" s="402">
        <f t="shared" si="28"/>
        <v>0</v>
      </c>
      <c r="BL60" s="351">
        <f t="shared" si="29"/>
        <v>0</v>
      </c>
      <c r="BM60" s="328">
        <f t="shared" si="65"/>
        <v>0</v>
      </c>
      <c r="BN60" s="1165">
        <f t="shared" si="30"/>
        <v>0.5</v>
      </c>
      <c r="BO60" s="382"/>
      <c r="BP60" s="380">
        <f t="shared" si="31"/>
        <v>0.5</v>
      </c>
      <c r="BQ60" s="388"/>
      <c r="BR60" s="381">
        <f t="shared" si="32"/>
        <v>0</v>
      </c>
      <c r="BS60" s="386">
        <f>IF(BU60=Local,Subrates!$C$98,Subrates!$C$99)</f>
        <v>8.0873484007548591</v>
      </c>
      <c r="BT60" s="402">
        <f t="shared" si="33"/>
        <v>0</v>
      </c>
      <c r="BU60" s="389" t="s">
        <v>2026</v>
      </c>
      <c r="BV60" s="1170" t="s">
        <v>485</v>
      </c>
      <c r="BW60" s="386">
        <f>IF(BU60=Local,0,VLOOKUP(BV60,Long_distance_values_subs,Subrates!$C$5,FALSE))</f>
        <v>0</v>
      </c>
      <c r="BX60" s="386">
        <f>IF(BU60=Local,0,Subrates!$D$121)</f>
        <v>0</v>
      </c>
      <c r="BY60" s="1173"/>
      <c r="BZ60" s="402">
        <f>IF(BY60="",BW60*BR60*VLOOKUP(BV60,Long_distance_values_subs,Subrates!$H$5)+BX60*BR60,BY60*BR60)</f>
        <v>0</v>
      </c>
      <c r="CA60" s="351">
        <f t="shared" si="34"/>
        <v>0</v>
      </c>
      <c r="CB60" s="328">
        <f t="shared" si="66"/>
        <v>0</v>
      </c>
      <c r="CC60" s="1165">
        <f t="shared" si="35"/>
        <v>1.5</v>
      </c>
      <c r="CD60" s="382"/>
      <c r="CE60" s="380">
        <f t="shared" si="36"/>
        <v>1.5</v>
      </c>
      <c r="CF60" s="388"/>
      <c r="CG60" s="381">
        <f t="shared" si="37"/>
        <v>0</v>
      </c>
      <c r="CH60" s="383" t="s">
        <v>125</v>
      </c>
      <c r="CI60" s="384"/>
      <c r="CJ60" s="383" t="s">
        <v>349</v>
      </c>
      <c r="CK60" s="386">
        <f t="shared" si="38"/>
        <v>6.2664411871606829</v>
      </c>
      <c r="CL60" s="401">
        <f t="shared" si="39"/>
        <v>0</v>
      </c>
      <c r="CM60" s="383" t="s">
        <v>411</v>
      </c>
      <c r="CN60" s="1170"/>
      <c r="CO60" s="383" t="s">
        <v>3</v>
      </c>
      <c r="CP60" s="1171"/>
      <c r="CQ60" s="386">
        <f t="shared" si="40"/>
        <v>1.9221853757639424</v>
      </c>
      <c r="CR60" s="401">
        <f t="shared" si="41"/>
        <v>0</v>
      </c>
      <c r="CS60" s="351">
        <f t="shared" si="42"/>
        <v>0</v>
      </c>
      <c r="CT60" s="388"/>
      <c r="CU60" s="386">
        <f>Subrates!$C$94</f>
        <v>2.2000000000000002</v>
      </c>
      <c r="CV60" s="388"/>
      <c r="CW60" s="386">
        <f>Subrates!$C$95</f>
        <v>13.200000000000001</v>
      </c>
      <c r="CX60" s="388"/>
      <c r="CY60" s="386">
        <f>Subrates!$C$96</f>
        <v>14.3</v>
      </c>
      <c r="CZ60" s="351">
        <f t="shared" si="43"/>
        <v>0</v>
      </c>
      <c r="DA60" s="328"/>
      <c r="DB60" s="399">
        <f>Subrates!$C$106</f>
        <v>21234.52910306484</v>
      </c>
      <c r="DC60" s="351">
        <f t="shared" si="44"/>
        <v>0</v>
      </c>
      <c r="DD60" s="386">
        <f>Subrates!$C$105</f>
        <v>2885.2856380177936</v>
      </c>
      <c r="DE60" s="400">
        <f t="shared" si="45"/>
        <v>0</v>
      </c>
      <c r="DF60" s="1165">
        <f t="shared" si="46"/>
        <v>0.15</v>
      </c>
      <c r="DG60" s="390"/>
      <c r="DH60" s="388"/>
      <c r="DI60" s="381">
        <f t="shared" si="47"/>
        <v>0</v>
      </c>
      <c r="DJ60" s="383" t="s">
        <v>125</v>
      </c>
      <c r="DK60" s="384"/>
      <c r="DL60" s="383" t="s">
        <v>348</v>
      </c>
      <c r="DM60" s="386">
        <f t="shared" si="48"/>
        <v>4.8064250364478198</v>
      </c>
      <c r="DN60" s="401">
        <f t="shared" si="49"/>
        <v>0</v>
      </c>
      <c r="DO60" s="389" t="s">
        <v>2026</v>
      </c>
      <c r="DP60" s="1170" t="s">
        <v>485</v>
      </c>
      <c r="DQ60" s="386">
        <f>IF(DO60=Local,0,VLOOKUP(DP60,Long_distance_values_subs,Subrates!$C$5,FALSE))</f>
        <v>0</v>
      </c>
      <c r="DR60" s="386">
        <f>IF(DO60=Local,0,Subrates!$D$122)</f>
        <v>0</v>
      </c>
      <c r="DS60" s="1173"/>
      <c r="DT60" s="402">
        <f>IF(DS60="",DI60*VLOOKUP(DP60,Long_distance_values_subs,Subrates!$H$5,FALSE)*DQ60+DI60*DR60,DI60*DS60)</f>
        <v>0</v>
      </c>
      <c r="DU60" s="351">
        <f t="shared" si="50"/>
        <v>0</v>
      </c>
      <c r="DV60" s="388"/>
      <c r="DW60" s="391" t="s">
        <v>48</v>
      </c>
      <c r="DX60" s="1166" t="str">
        <f>IF(DW60=Lists!$B$18,"N/A",VLOOKUP(DW60,Lists!$B$18:$D$26,Lists!$C$3,FALSE))</f>
        <v>N/A</v>
      </c>
      <c r="DY60" s="386">
        <f>IF(DW60=Lists!$B$18,0,VLOOKUP(DX60,Amend_TOV,TOV!$F$1,FALSE))</f>
        <v>0</v>
      </c>
      <c r="DZ60" s="117"/>
      <c r="EA60" s="388"/>
      <c r="EB60" s="391" t="s">
        <v>48</v>
      </c>
      <c r="EC60" s="1166" t="str">
        <f>IF(EB60=Lists!$B$18,"N/A",VLOOKUP(EB60,Lists!$B$18:$D$26,Lists!$C$3,FALSE))</f>
        <v>N/A</v>
      </c>
      <c r="ED60" s="386">
        <f>IF(EB60=Lists!$B$18,0,VLOOKUP(EC60,Amend_TOV,TOV!$F$1,FALSE))</f>
        <v>0</v>
      </c>
      <c r="EE60" s="117"/>
      <c r="EF60" s="388"/>
      <c r="EG60" s="391" t="s">
        <v>48</v>
      </c>
      <c r="EH60" s="1166" t="str">
        <f>IF(EG60=Lists!$B$18,"N/A",VLOOKUP(EG60,Lists!$B$18:$D$26,Lists!$C$3,FALSE))</f>
        <v>N/A</v>
      </c>
      <c r="EI60" s="386">
        <f>IF(EG60=Lists!$B$18,0,VLOOKUP(EH60,Amend_TOV,TOV!$F$1,FALSE))</f>
        <v>0</v>
      </c>
      <c r="EJ60" s="117"/>
      <c r="EK60" s="351">
        <f t="shared" si="51"/>
        <v>0</v>
      </c>
      <c r="EL60" s="328">
        <f t="shared" si="52"/>
        <v>0</v>
      </c>
      <c r="EM60" s="392">
        <v>1</v>
      </c>
      <c r="EN60" s="392"/>
      <c r="EO60" s="393">
        <f t="shared" si="53"/>
        <v>0</v>
      </c>
      <c r="EP60" s="232" t="str">
        <f t="shared" si="67"/>
        <v>No Alert</v>
      </c>
      <c r="EQ60" s="351">
        <f t="shared" si="54"/>
        <v>0</v>
      </c>
      <c r="ER60" s="351">
        <f t="shared" si="55"/>
        <v>0</v>
      </c>
      <c r="ES60" s="1154">
        <f t="shared" si="56"/>
        <v>0</v>
      </c>
      <c r="ET60" s="1172"/>
      <c r="EU60" s="351">
        <f t="shared" si="68"/>
        <v>0</v>
      </c>
      <c r="EV60" s="386">
        <f t="shared" si="57"/>
        <v>3650</v>
      </c>
      <c r="EW60" s="117"/>
      <c r="EX60" s="403">
        <f t="shared" si="58"/>
        <v>0</v>
      </c>
      <c r="EY60" s="394"/>
      <c r="EZ60" s="395">
        <f t="shared" si="69"/>
        <v>0</v>
      </c>
      <c r="FA60" s="1167">
        <f t="shared" si="59"/>
        <v>0</v>
      </c>
      <c r="FB60" s="1168">
        <f t="shared" si="60"/>
        <v>0</v>
      </c>
      <c r="FC60" s="396"/>
      <c r="FD60" s="397"/>
      <c r="FE60" s="397"/>
      <c r="FF60" s="397"/>
      <c r="FG60" s="397"/>
      <c r="FH60" s="397"/>
      <c r="FI60" s="397"/>
      <c r="FJ60" s="398"/>
    </row>
    <row r="61" spans="1:173" s="520" customFormat="1" ht="15">
      <c r="B61" s="310"/>
      <c r="C61" s="1164">
        <f t="shared" si="61"/>
        <v>9</v>
      </c>
      <c r="D61" s="379"/>
      <c r="E61" s="328"/>
      <c r="F61" s="255" t="s">
        <v>1879</v>
      </c>
      <c r="G61" s="328"/>
      <c r="H61" s="380">
        <f t="shared" si="2"/>
        <v>1</v>
      </c>
      <c r="I61" s="328"/>
      <c r="J61" s="380">
        <f t="shared" si="62"/>
        <v>1</v>
      </c>
      <c r="K61" s="388"/>
      <c r="L61" s="381">
        <f t="shared" si="3"/>
        <v>0</v>
      </c>
      <c r="M61" s="328"/>
      <c r="N61" s="380">
        <f t="shared" si="4"/>
        <v>0.5</v>
      </c>
      <c r="O61" s="382"/>
      <c r="P61" s="380">
        <f t="shared" si="63"/>
        <v>0.5</v>
      </c>
      <c r="Q61" s="388"/>
      <c r="R61" s="381">
        <f t="shared" si="5"/>
        <v>0</v>
      </c>
      <c r="S61" s="383" t="s">
        <v>125</v>
      </c>
      <c r="T61" s="383" t="s">
        <v>349</v>
      </c>
      <c r="U61" s="386">
        <f t="shared" si="6"/>
        <v>6.2664411871606829</v>
      </c>
      <c r="V61" s="351">
        <f t="shared" si="7"/>
        <v>0</v>
      </c>
      <c r="W61" s="383" t="s">
        <v>428</v>
      </c>
      <c r="X61" s="383" t="s">
        <v>411</v>
      </c>
      <c r="Y61" s="384"/>
      <c r="Z61" s="383" t="s">
        <v>3</v>
      </c>
      <c r="AA61" s="387">
        <f t="shared" si="8"/>
        <v>1.9221853757639424</v>
      </c>
      <c r="AB61" s="351">
        <f t="shared" si="9"/>
        <v>0</v>
      </c>
      <c r="AC61" s="387">
        <f t="shared" si="10"/>
        <v>8904.769113128099</v>
      </c>
      <c r="AD61" s="351">
        <f t="shared" si="11"/>
        <v>0</v>
      </c>
      <c r="AE61" s="328">
        <f t="shared" si="12"/>
        <v>0</v>
      </c>
      <c r="AF61" s="1165">
        <f t="shared" si="13"/>
        <v>0.5</v>
      </c>
      <c r="AG61" s="382"/>
      <c r="AH61" s="380">
        <f t="shared" si="14"/>
        <v>0.5</v>
      </c>
      <c r="AI61" s="388"/>
      <c r="AJ61" s="381">
        <f t="shared" si="15"/>
        <v>0</v>
      </c>
      <c r="AK61" s="383" t="s">
        <v>125</v>
      </c>
      <c r="AL61" s="383" t="s">
        <v>349</v>
      </c>
      <c r="AM61" s="386">
        <f t="shared" si="16"/>
        <v>6.2664411871606829</v>
      </c>
      <c r="AN61" s="401">
        <f t="shared" si="17"/>
        <v>0</v>
      </c>
      <c r="AO61" s="383" t="s">
        <v>411</v>
      </c>
      <c r="AP61" s="1170"/>
      <c r="AQ61" s="383" t="s">
        <v>3</v>
      </c>
      <c r="AR61" s="387">
        <f t="shared" si="18"/>
        <v>1.9221853757639424</v>
      </c>
      <c r="AS61" s="401">
        <f t="shared" si="19"/>
        <v>0</v>
      </c>
      <c r="AT61" s="351">
        <f t="shared" si="20"/>
        <v>0</v>
      </c>
      <c r="AU61" s="328">
        <f t="shared" si="64"/>
        <v>0</v>
      </c>
      <c r="AV61" s="1165">
        <f t="shared" si="21"/>
        <v>0.6</v>
      </c>
      <c r="AW61" s="382"/>
      <c r="AX61" s="380">
        <f t="shared" si="22"/>
        <v>0.6</v>
      </c>
      <c r="AY61" s="388"/>
      <c r="AZ61" s="381">
        <f t="shared" si="23"/>
        <v>0</v>
      </c>
      <c r="BA61" s="386">
        <f>Subrates!$C$97</f>
        <v>4.7138306819209967</v>
      </c>
      <c r="BB61" s="402">
        <f t="shared" si="24"/>
        <v>0</v>
      </c>
      <c r="BC61" s="383" t="s">
        <v>125</v>
      </c>
      <c r="BD61" s="383" t="s">
        <v>349</v>
      </c>
      <c r="BE61" s="386">
        <f t="shared" si="25"/>
        <v>6.2664411871606829</v>
      </c>
      <c r="BF61" s="402">
        <f t="shared" si="26"/>
        <v>0</v>
      </c>
      <c r="BG61" s="383" t="s">
        <v>411</v>
      </c>
      <c r="BH61" s="384"/>
      <c r="BI61" s="385" t="s">
        <v>3</v>
      </c>
      <c r="BJ61" s="387">
        <f t="shared" si="27"/>
        <v>1.9221853757639424</v>
      </c>
      <c r="BK61" s="402">
        <f t="shared" si="28"/>
        <v>0</v>
      </c>
      <c r="BL61" s="351">
        <f t="shared" si="29"/>
        <v>0</v>
      </c>
      <c r="BM61" s="328">
        <f t="shared" si="65"/>
        <v>0</v>
      </c>
      <c r="BN61" s="1165">
        <f t="shared" si="30"/>
        <v>0.5</v>
      </c>
      <c r="BO61" s="382"/>
      <c r="BP61" s="380">
        <f t="shared" si="31"/>
        <v>0.5</v>
      </c>
      <c r="BQ61" s="388"/>
      <c r="BR61" s="381">
        <f t="shared" si="32"/>
        <v>0</v>
      </c>
      <c r="BS61" s="386">
        <f>IF(BU61=Local,Subrates!$C$98,Subrates!$C$99)</f>
        <v>8.0873484007548591</v>
      </c>
      <c r="BT61" s="402">
        <f t="shared" si="33"/>
        <v>0</v>
      </c>
      <c r="BU61" s="389" t="s">
        <v>2026</v>
      </c>
      <c r="BV61" s="1170" t="s">
        <v>485</v>
      </c>
      <c r="BW61" s="386">
        <f>IF(BU61=Local,0,VLOOKUP(BV61,Long_distance_values_subs,Subrates!$C$5,FALSE))</f>
        <v>0</v>
      </c>
      <c r="BX61" s="386">
        <f>IF(BU61=Local,0,Subrates!$D$121)</f>
        <v>0</v>
      </c>
      <c r="BY61" s="1173"/>
      <c r="BZ61" s="402">
        <f>IF(BY61="",BW61*BR61*VLOOKUP(BV61,Long_distance_values_subs,Subrates!$H$5)+BX61*BR61,BY61*BR61)</f>
        <v>0</v>
      </c>
      <c r="CA61" s="351">
        <f t="shared" si="34"/>
        <v>0</v>
      </c>
      <c r="CB61" s="328">
        <f t="shared" si="66"/>
        <v>0</v>
      </c>
      <c r="CC61" s="1165">
        <f t="shared" si="35"/>
        <v>1.5</v>
      </c>
      <c r="CD61" s="382"/>
      <c r="CE61" s="380">
        <f t="shared" si="36"/>
        <v>1.5</v>
      </c>
      <c r="CF61" s="388"/>
      <c r="CG61" s="381">
        <f t="shared" si="37"/>
        <v>0</v>
      </c>
      <c r="CH61" s="383" t="s">
        <v>125</v>
      </c>
      <c r="CI61" s="384"/>
      <c r="CJ61" s="383" t="s">
        <v>349</v>
      </c>
      <c r="CK61" s="386">
        <f t="shared" si="38"/>
        <v>6.2664411871606829</v>
      </c>
      <c r="CL61" s="401">
        <f t="shared" si="39"/>
        <v>0</v>
      </c>
      <c r="CM61" s="383" t="s">
        <v>411</v>
      </c>
      <c r="CN61" s="1170"/>
      <c r="CO61" s="383" t="s">
        <v>3</v>
      </c>
      <c r="CP61" s="1171"/>
      <c r="CQ61" s="386">
        <f t="shared" si="40"/>
        <v>1.9221853757639424</v>
      </c>
      <c r="CR61" s="401">
        <f t="shared" si="41"/>
        <v>0</v>
      </c>
      <c r="CS61" s="351">
        <f t="shared" si="42"/>
        <v>0</v>
      </c>
      <c r="CT61" s="388"/>
      <c r="CU61" s="386">
        <f>Subrates!$C$94</f>
        <v>2.2000000000000002</v>
      </c>
      <c r="CV61" s="388"/>
      <c r="CW61" s="386">
        <f>Subrates!$C$95</f>
        <v>13.200000000000001</v>
      </c>
      <c r="CX61" s="388"/>
      <c r="CY61" s="386">
        <f>Subrates!$C$96</f>
        <v>14.3</v>
      </c>
      <c r="CZ61" s="351">
        <f t="shared" si="43"/>
        <v>0</v>
      </c>
      <c r="DA61" s="328"/>
      <c r="DB61" s="399">
        <f>Subrates!$C$106</f>
        <v>21234.52910306484</v>
      </c>
      <c r="DC61" s="351">
        <f t="shared" si="44"/>
        <v>0</v>
      </c>
      <c r="DD61" s="386">
        <f>Subrates!$C$105</f>
        <v>2885.2856380177936</v>
      </c>
      <c r="DE61" s="400">
        <f t="shared" si="45"/>
        <v>0</v>
      </c>
      <c r="DF61" s="1165">
        <f t="shared" si="46"/>
        <v>0.15</v>
      </c>
      <c r="DG61" s="390"/>
      <c r="DH61" s="388"/>
      <c r="DI61" s="381">
        <f t="shared" si="47"/>
        <v>0</v>
      </c>
      <c r="DJ61" s="383" t="s">
        <v>125</v>
      </c>
      <c r="DK61" s="384"/>
      <c r="DL61" s="383" t="s">
        <v>348</v>
      </c>
      <c r="DM61" s="386">
        <f t="shared" si="48"/>
        <v>4.8064250364478198</v>
      </c>
      <c r="DN61" s="401">
        <f t="shared" si="49"/>
        <v>0</v>
      </c>
      <c r="DO61" s="389" t="s">
        <v>2026</v>
      </c>
      <c r="DP61" s="1170" t="s">
        <v>485</v>
      </c>
      <c r="DQ61" s="386">
        <f>IF(DO61=Local,0,VLOOKUP(DP61,Long_distance_values_subs,Subrates!$C$5,FALSE))</f>
        <v>0</v>
      </c>
      <c r="DR61" s="386">
        <f>IF(DO61=Local,0,Subrates!$D$122)</f>
        <v>0</v>
      </c>
      <c r="DS61" s="1173"/>
      <c r="DT61" s="402">
        <f>IF(DS61="",DI61*VLOOKUP(DP61,Long_distance_values_subs,Subrates!$H$5,FALSE)*DQ61+DI61*DR61,DI61*DS61)</f>
        <v>0</v>
      </c>
      <c r="DU61" s="351">
        <f t="shared" si="50"/>
        <v>0</v>
      </c>
      <c r="DV61" s="388"/>
      <c r="DW61" s="391" t="s">
        <v>48</v>
      </c>
      <c r="DX61" s="1166" t="str">
        <f>IF(DW61=Lists!$B$18,"N/A",VLOOKUP(DW61,Lists!$B$18:$D$26,Lists!$C$3,FALSE))</f>
        <v>N/A</v>
      </c>
      <c r="DY61" s="386">
        <f>IF(DW61=Lists!$B$18,0,VLOOKUP(DX61,Amend_TOV,TOV!$F$1,FALSE))</f>
        <v>0</v>
      </c>
      <c r="DZ61" s="117"/>
      <c r="EA61" s="388"/>
      <c r="EB61" s="391" t="s">
        <v>48</v>
      </c>
      <c r="EC61" s="1166" t="str">
        <f>IF(EB61=Lists!$B$18,"N/A",VLOOKUP(EB61,Lists!$B$18:$D$26,Lists!$C$3,FALSE))</f>
        <v>N/A</v>
      </c>
      <c r="ED61" s="386">
        <f>IF(EB61=Lists!$B$18,0,VLOOKUP(EC61,Amend_TOV,TOV!$F$1,FALSE))</f>
        <v>0</v>
      </c>
      <c r="EE61" s="117"/>
      <c r="EF61" s="388"/>
      <c r="EG61" s="391" t="s">
        <v>48</v>
      </c>
      <c r="EH61" s="1166" t="str">
        <f>IF(EG61=Lists!$B$18,"N/A",VLOOKUP(EG61,Lists!$B$18:$D$26,Lists!$C$3,FALSE))</f>
        <v>N/A</v>
      </c>
      <c r="EI61" s="386">
        <f>IF(EG61=Lists!$B$18,0,VLOOKUP(EH61,Amend_TOV,TOV!$F$1,FALSE))</f>
        <v>0</v>
      </c>
      <c r="EJ61" s="117"/>
      <c r="EK61" s="351">
        <f t="shared" si="51"/>
        <v>0</v>
      </c>
      <c r="EL61" s="328">
        <f t="shared" si="52"/>
        <v>0</v>
      </c>
      <c r="EM61" s="392">
        <v>1</v>
      </c>
      <c r="EN61" s="392"/>
      <c r="EO61" s="393">
        <f t="shared" si="53"/>
        <v>0</v>
      </c>
      <c r="EP61" s="232" t="str">
        <f t="shared" si="67"/>
        <v>No Alert</v>
      </c>
      <c r="EQ61" s="351">
        <f t="shared" si="54"/>
        <v>0</v>
      </c>
      <c r="ER61" s="351">
        <f t="shared" si="55"/>
        <v>0</v>
      </c>
      <c r="ES61" s="1154">
        <f t="shared" si="56"/>
        <v>0</v>
      </c>
      <c r="ET61" s="1172"/>
      <c r="EU61" s="351">
        <f t="shared" si="68"/>
        <v>0</v>
      </c>
      <c r="EV61" s="386">
        <f t="shared" si="57"/>
        <v>3650</v>
      </c>
      <c r="EW61" s="117"/>
      <c r="EX61" s="403">
        <f t="shared" si="58"/>
        <v>0</v>
      </c>
      <c r="EY61" s="394"/>
      <c r="EZ61" s="395">
        <f t="shared" si="69"/>
        <v>0</v>
      </c>
      <c r="FA61" s="1167">
        <f t="shared" si="59"/>
        <v>0</v>
      </c>
      <c r="FB61" s="1168">
        <f t="shared" si="60"/>
        <v>0</v>
      </c>
      <c r="FC61" s="396"/>
      <c r="FD61" s="397"/>
      <c r="FE61" s="397"/>
      <c r="FF61" s="397"/>
      <c r="FG61" s="397"/>
      <c r="FH61" s="397"/>
      <c r="FI61" s="397"/>
      <c r="FJ61" s="398"/>
    </row>
    <row r="62" spans="1:173" s="520" customFormat="1" ht="15">
      <c r="B62" s="310"/>
      <c r="C62" s="1164">
        <f t="shared" si="61"/>
        <v>10</v>
      </c>
      <c r="D62" s="379"/>
      <c r="E62" s="328"/>
      <c r="F62" s="255" t="s">
        <v>1879</v>
      </c>
      <c r="G62" s="328"/>
      <c r="H62" s="380">
        <f t="shared" si="2"/>
        <v>1</v>
      </c>
      <c r="I62" s="328"/>
      <c r="J62" s="380">
        <f t="shared" si="62"/>
        <v>1</v>
      </c>
      <c r="K62" s="388"/>
      <c r="L62" s="381">
        <f t="shared" si="3"/>
        <v>0</v>
      </c>
      <c r="M62" s="328"/>
      <c r="N62" s="380">
        <f t="shared" si="4"/>
        <v>0.5</v>
      </c>
      <c r="O62" s="382"/>
      <c r="P62" s="380">
        <f t="shared" si="63"/>
        <v>0.5</v>
      </c>
      <c r="Q62" s="388"/>
      <c r="R62" s="381">
        <f t="shared" si="5"/>
        <v>0</v>
      </c>
      <c r="S62" s="383" t="s">
        <v>125</v>
      </c>
      <c r="T62" s="383" t="s">
        <v>349</v>
      </c>
      <c r="U62" s="386">
        <f t="shared" si="6"/>
        <v>6.2664411871606829</v>
      </c>
      <c r="V62" s="351">
        <f t="shared" si="7"/>
        <v>0</v>
      </c>
      <c r="W62" s="383" t="s">
        <v>428</v>
      </c>
      <c r="X62" s="383" t="s">
        <v>411</v>
      </c>
      <c r="Y62" s="384"/>
      <c r="Z62" s="383" t="s">
        <v>3</v>
      </c>
      <c r="AA62" s="387">
        <f t="shared" si="8"/>
        <v>1.9221853757639424</v>
      </c>
      <c r="AB62" s="351">
        <f t="shared" si="9"/>
        <v>0</v>
      </c>
      <c r="AC62" s="387">
        <f t="shared" si="10"/>
        <v>8904.769113128099</v>
      </c>
      <c r="AD62" s="351">
        <f t="shared" si="11"/>
        <v>0</v>
      </c>
      <c r="AE62" s="328">
        <f t="shared" si="12"/>
        <v>0</v>
      </c>
      <c r="AF62" s="1165">
        <f t="shared" si="13"/>
        <v>0.5</v>
      </c>
      <c r="AG62" s="382"/>
      <c r="AH62" s="380">
        <f t="shared" si="14"/>
        <v>0.5</v>
      </c>
      <c r="AI62" s="388"/>
      <c r="AJ62" s="381">
        <f t="shared" si="15"/>
        <v>0</v>
      </c>
      <c r="AK62" s="383" t="s">
        <v>125</v>
      </c>
      <c r="AL62" s="383" t="s">
        <v>349</v>
      </c>
      <c r="AM62" s="386">
        <f t="shared" si="16"/>
        <v>6.2664411871606829</v>
      </c>
      <c r="AN62" s="401">
        <f t="shared" si="17"/>
        <v>0</v>
      </c>
      <c r="AO62" s="383" t="s">
        <v>411</v>
      </c>
      <c r="AP62" s="1170"/>
      <c r="AQ62" s="383" t="s">
        <v>3</v>
      </c>
      <c r="AR62" s="387">
        <f t="shared" si="18"/>
        <v>1.9221853757639424</v>
      </c>
      <c r="AS62" s="401">
        <f t="shared" si="19"/>
        <v>0</v>
      </c>
      <c r="AT62" s="351">
        <f t="shared" si="20"/>
        <v>0</v>
      </c>
      <c r="AU62" s="328">
        <f t="shared" si="64"/>
        <v>0</v>
      </c>
      <c r="AV62" s="1165">
        <f t="shared" si="21"/>
        <v>0.6</v>
      </c>
      <c r="AW62" s="382"/>
      <c r="AX62" s="380">
        <f t="shared" si="22"/>
        <v>0.6</v>
      </c>
      <c r="AY62" s="388"/>
      <c r="AZ62" s="381">
        <f t="shared" si="23"/>
        <v>0</v>
      </c>
      <c r="BA62" s="386">
        <f>Subrates!$C$97</f>
        <v>4.7138306819209967</v>
      </c>
      <c r="BB62" s="402">
        <f t="shared" si="24"/>
        <v>0</v>
      </c>
      <c r="BC62" s="383" t="s">
        <v>125</v>
      </c>
      <c r="BD62" s="383" t="s">
        <v>349</v>
      </c>
      <c r="BE62" s="386">
        <f t="shared" si="25"/>
        <v>6.2664411871606829</v>
      </c>
      <c r="BF62" s="402">
        <f t="shared" si="26"/>
        <v>0</v>
      </c>
      <c r="BG62" s="383" t="s">
        <v>411</v>
      </c>
      <c r="BH62" s="384"/>
      <c r="BI62" s="385" t="s">
        <v>3</v>
      </c>
      <c r="BJ62" s="387">
        <f t="shared" si="27"/>
        <v>1.9221853757639424</v>
      </c>
      <c r="BK62" s="402">
        <f t="shared" si="28"/>
        <v>0</v>
      </c>
      <c r="BL62" s="351">
        <f t="shared" si="29"/>
        <v>0</v>
      </c>
      <c r="BM62" s="328">
        <f t="shared" si="65"/>
        <v>0</v>
      </c>
      <c r="BN62" s="1165">
        <f t="shared" si="30"/>
        <v>0.5</v>
      </c>
      <c r="BO62" s="382"/>
      <c r="BP62" s="380">
        <f t="shared" si="31"/>
        <v>0.5</v>
      </c>
      <c r="BQ62" s="388"/>
      <c r="BR62" s="381">
        <f t="shared" si="32"/>
        <v>0</v>
      </c>
      <c r="BS62" s="386">
        <f>IF(BU62=Local,Subrates!$C$98,Subrates!$C$99)</f>
        <v>8.0873484007548591</v>
      </c>
      <c r="BT62" s="402">
        <f t="shared" si="33"/>
        <v>0</v>
      </c>
      <c r="BU62" s="389" t="s">
        <v>2026</v>
      </c>
      <c r="BV62" s="1170" t="s">
        <v>485</v>
      </c>
      <c r="BW62" s="386">
        <f>IF(BU62=Local,0,VLOOKUP(BV62,Long_distance_values_subs,Subrates!$C$5,FALSE))</f>
        <v>0</v>
      </c>
      <c r="BX62" s="386">
        <f>IF(BU62=Local,0,Subrates!$D$121)</f>
        <v>0</v>
      </c>
      <c r="BY62" s="1173"/>
      <c r="BZ62" s="402">
        <f>IF(BY62="",BW62*BR62*VLOOKUP(BV62,Long_distance_values_subs,Subrates!$H$5)+BX62*BR62,BY62*BR62)</f>
        <v>0</v>
      </c>
      <c r="CA62" s="351">
        <f t="shared" si="34"/>
        <v>0</v>
      </c>
      <c r="CB62" s="328">
        <f t="shared" si="66"/>
        <v>0</v>
      </c>
      <c r="CC62" s="1165">
        <f t="shared" si="35"/>
        <v>1.5</v>
      </c>
      <c r="CD62" s="382"/>
      <c r="CE62" s="380">
        <f t="shared" si="36"/>
        <v>1.5</v>
      </c>
      <c r="CF62" s="388"/>
      <c r="CG62" s="381">
        <f t="shared" si="37"/>
        <v>0</v>
      </c>
      <c r="CH62" s="383" t="s">
        <v>125</v>
      </c>
      <c r="CI62" s="384"/>
      <c r="CJ62" s="383" t="s">
        <v>349</v>
      </c>
      <c r="CK62" s="386">
        <f t="shared" si="38"/>
        <v>6.2664411871606829</v>
      </c>
      <c r="CL62" s="401">
        <f t="shared" si="39"/>
        <v>0</v>
      </c>
      <c r="CM62" s="383" t="s">
        <v>411</v>
      </c>
      <c r="CN62" s="1170"/>
      <c r="CO62" s="383" t="s">
        <v>3</v>
      </c>
      <c r="CP62" s="1171"/>
      <c r="CQ62" s="386">
        <f t="shared" si="40"/>
        <v>1.9221853757639424</v>
      </c>
      <c r="CR62" s="401">
        <f t="shared" si="41"/>
        <v>0</v>
      </c>
      <c r="CS62" s="351">
        <f t="shared" si="42"/>
        <v>0</v>
      </c>
      <c r="CT62" s="388"/>
      <c r="CU62" s="386">
        <f>Subrates!$C$94</f>
        <v>2.2000000000000002</v>
      </c>
      <c r="CV62" s="388"/>
      <c r="CW62" s="386">
        <f>Subrates!$C$95</f>
        <v>13.200000000000001</v>
      </c>
      <c r="CX62" s="388"/>
      <c r="CY62" s="386">
        <f>Subrates!$C$96</f>
        <v>14.3</v>
      </c>
      <c r="CZ62" s="351">
        <f t="shared" si="43"/>
        <v>0</v>
      </c>
      <c r="DA62" s="328"/>
      <c r="DB62" s="399">
        <f>Subrates!$C$106</f>
        <v>21234.52910306484</v>
      </c>
      <c r="DC62" s="351">
        <f t="shared" si="44"/>
        <v>0</v>
      </c>
      <c r="DD62" s="386">
        <f>Subrates!$C$105</f>
        <v>2885.2856380177936</v>
      </c>
      <c r="DE62" s="400">
        <f t="shared" si="45"/>
        <v>0</v>
      </c>
      <c r="DF62" s="1165">
        <f t="shared" si="46"/>
        <v>0.15</v>
      </c>
      <c r="DG62" s="390"/>
      <c r="DH62" s="388"/>
      <c r="DI62" s="381">
        <f t="shared" si="47"/>
        <v>0</v>
      </c>
      <c r="DJ62" s="383" t="s">
        <v>125</v>
      </c>
      <c r="DK62" s="384"/>
      <c r="DL62" s="383" t="s">
        <v>348</v>
      </c>
      <c r="DM62" s="386">
        <f t="shared" si="48"/>
        <v>4.8064250364478198</v>
      </c>
      <c r="DN62" s="401">
        <f t="shared" si="49"/>
        <v>0</v>
      </c>
      <c r="DO62" s="389" t="s">
        <v>2026</v>
      </c>
      <c r="DP62" s="1170" t="s">
        <v>485</v>
      </c>
      <c r="DQ62" s="386">
        <f>IF(DO62=Local,0,VLOOKUP(DP62,Long_distance_values_subs,Subrates!$C$5,FALSE))</f>
        <v>0</v>
      </c>
      <c r="DR62" s="386">
        <f>IF(DO62=Local,0,Subrates!$D$122)</f>
        <v>0</v>
      </c>
      <c r="DS62" s="1173"/>
      <c r="DT62" s="402">
        <f>IF(DS62="",DI62*VLOOKUP(DP62,Long_distance_values_subs,Subrates!$H$5,FALSE)*DQ62+DI62*DR62,DI62*DS62)</f>
        <v>0</v>
      </c>
      <c r="DU62" s="351">
        <f t="shared" si="50"/>
        <v>0</v>
      </c>
      <c r="DV62" s="388"/>
      <c r="DW62" s="391" t="s">
        <v>48</v>
      </c>
      <c r="DX62" s="1166" t="str">
        <f>IF(DW62=Lists!$B$18,"N/A",VLOOKUP(DW62,Lists!$B$18:$D$26,Lists!$C$3,FALSE))</f>
        <v>N/A</v>
      </c>
      <c r="DY62" s="386">
        <f>IF(DW62=Lists!$B$18,0,VLOOKUP(DX62,Amend_TOV,TOV!$F$1,FALSE))</f>
        <v>0</v>
      </c>
      <c r="DZ62" s="117"/>
      <c r="EA62" s="388"/>
      <c r="EB62" s="391" t="s">
        <v>48</v>
      </c>
      <c r="EC62" s="1166" t="str">
        <f>IF(EB62=Lists!$B$18,"N/A",VLOOKUP(EB62,Lists!$B$18:$D$26,Lists!$C$3,FALSE))</f>
        <v>N/A</v>
      </c>
      <c r="ED62" s="386">
        <f>IF(EB62=Lists!$B$18,0,VLOOKUP(EC62,Amend_TOV,TOV!$F$1,FALSE))</f>
        <v>0</v>
      </c>
      <c r="EE62" s="117"/>
      <c r="EF62" s="388"/>
      <c r="EG62" s="391" t="s">
        <v>48</v>
      </c>
      <c r="EH62" s="1166" t="str">
        <f>IF(EG62=Lists!$B$18,"N/A",VLOOKUP(EG62,Lists!$B$18:$D$26,Lists!$C$3,FALSE))</f>
        <v>N/A</v>
      </c>
      <c r="EI62" s="386">
        <f>IF(EG62=Lists!$B$18,0,VLOOKUP(EH62,Amend_TOV,TOV!$F$1,FALSE))</f>
        <v>0</v>
      </c>
      <c r="EJ62" s="117"/>
      <c r="EK62" s="351">
        <f t="shared" si="51"/>
        <v>0</v>
      </c>
      <c r="EL62" s="328">
        <f t="shared" si="52"/>
        <v>0</v>
      </c>
      <c r="EM62" s="392">
        <v>1</v>
      </c>
      <c r="EN62" s="392"/>
      <c r="EO62" s="393">
        <f t="shared" si="53"/>
        <v>0</v>
      </c>
      <c r="EP62" s="232" t="str">
        <f t="shared" si="67"/>
        <v>No Alert</v>
      </c>
      <c r="EQ62" s="351">
        <f t="shared" si="54"/>
        <v>0</v>
      </c>
      <c r="ER62" s="351">
        <f t="shared" si="55"/>
        <v>0</v>
      </c>
      <c r="ES62" s="1154">
        <f t="shared" si="56"/>
        <v>0</v>
      </c>
      <c r="ET62" s="1172"/>
      <c r="EU62" s="351">
        <f t="shared" si="68"/>
        <v>0</v>
      </c>
      <c r="EV62" s="386">
        <f t="shared" si="57"/>
        <v>3650</v>
      </c>
      <c r="EW62" s="117"/>
      <c r="EX62" s="403">
        <f t="shared" si="58"/>
        <v>0</v>
      </c>
      <c r="EY62" s="394"/>
      <c r="EZ62" s="395">
        <f t="shared" si="69"/>
        <v>0</v>
      </c>
      <c r="FA62" s="1167">
        <f t="shared" si="59"/>
        <v>0</v>
      </c>
      <c r="FB62" s="1168">
        <f t="shared" si="60"/>
        <v>0</v>
      </c>
      <c r="FC62" s="396"/>
      <c r="FD62" s="397"/>
      <c r="FE62" s="397"/>
      <c r="FF62" s="397"/>
      <c r="FG62" s="397"/>
      <c r="FH62" s="397"/>
      <c r="FI62" s="397"/>
      <c r="FJ62" s="398"/>
    </row>
    <row r="63" spans="1:173" s="520" customFormat="1" ht="15">
      <c r="B63" s="310"/>
      <c r="C63" s="1164">
        <f t="shared" si="61"/>
        <v>11</v>
      </c>
      <c r="D63" s="379"/>
      <c r="E63" s="328"/>
      <c r="F63" s="255" t="s">
        <v>1879</v>
      </c>
      <c r="G63" s="328"/>
      <c r="H63" s="380">
        <f t="shared" si="2"/>
        <v>1</v>
      </c>
      <c r="I63" s="328"/>
      <c r="J63" s="380">
        <f t="shared" si="62"/>
        <v>1</v>
      </c>
      <c r="K63" s="388"/>
      <c r="L63" s="381">
        <f t="shared" si="3"/>
        <v>0</v>
      </c>
      <c r="M63" s="328"/>
      <c r="N63" s="380">
        <f t="shared" si="4"/>
        <v>0.5</v>
      </c>
      <c r="O63" s="382"/>
      <c r="P63" s="380">
        <f t="shared" si="63"/>
        <v>0.5</v>
      </c>
      <c r="Q63" s="388"/>
      <c r="R63" s="381">
        <f t="shared" si="5"/>
        <v>0</v>
      </c>
      <c r="S63" s="383" t="s">
        <v>125</v>
      </c>
      <c r="T63" s="383" t="s">
        <v>349</v>
      </c>
      <c r="U63" s="386">
        <f t="shared" si="6"/>
        <v>6.2664411871606829</v>
      </c>
      <c r="V63" s="351">
        <f t="shared" si="7"/>
        <v>0</v>
      </c>
      <c r="W63" s="383" t="s">
        <v>428</v>
      </c>
      <c r="X63" s="383" t="s">
        <v>411</v>
      </c>
      <c r="Y63" s="384"/>
      <c r="Z63" s="383" t="s">
        <v>3</v>
      </c>
      <c r="AA63" s="387">
        <f t="shared" si="8"/>
        <v>1.9221853757639424</v>
      </c>
      <c r="AB63" s="351">
        <f t="shared" si="9"/>
        <v>0</v>
      </c>
      <c r="AC63" s="387">
        <f t="shared" si="10"/>
        <v>8904.769113128099</v>
      </c>
      <c r="AD63" s="351">
        <f t="shared" si="11"/>
        <v>0</v>
      </c>
      <c r="AE63" s="328">
        <f t="shared" si="12"/>
        <v>0</v>
      </c>
      <c r="AF63" s="1165">
        <f t="shared" si="13"/>
        <v>0.5</v>
      </c>
      <c r="AG63" s="382"/>
      <c r="AH63" s="380">
        <f t="shared" si="14"/>
        <v>0.5</v>
      </c>
      <c r="AI63" s="388"/>
      <c r="AJ63" s="381">
        <f t="shared" si="15"/>
        <v>0</v>
      </c>
      <c r="AK63" s="383" t="s">
        <v>125</v>
      </c>
      <c r="AL63" s="383" t="s">
        <v>349</v>
      </c>
      <c r="AM63" s="386">
        <f t="shared" si="16"/>
        <v>6.2664411871606829</v>
      </c>
      <c r="AN63" s="401">
        <f t="shared" si="17"/>
        <v>0</v>
      </c>
      <c r="AO63" s="383" t="s">
        <v>411</v>
      </c>
      <c r="AP63" s="1170"/>
      <c r="AQ63" s="383" t="s">
        <v>3</v>
      </c>
      <c r="AR63" s="387">
        <f t="shared" si="18"/>
        <v>1.9221853757639424</v>
      </c>
      <c r="AS63" s="401">
        <f t="shared" si="19"/>
        <v>0</v>
      </c>
      <c r="AT63" s="351">
        <f t="shared" si="20"/>
        <v>0</v>
      </c>
      <c r="AU63" s="328">
        <f t="shared" si="64"/>
        <v>0</v>
      </c>
      <c r="AV63" s="1165">
        <f t="shared" si="21"/>
        <v>0.6</v>
      </c>
      <c r="AW63" s="382"/>
      <c r="AX63" s="380">
        <f t="shared" si="22"/>
        <v>0.6</v>
      </c>
      <c r="AY63" s="388"/>
      <c r="AZ63" s="381">
        <f t="shared" si="23"/>
        <v>0</v>
      </c>
      <c r="BA63" s="386">
        <f>Subrates!$C$97</f>
        <v>4.7138306819209967</v>
      </c>
      <c r="BB63" s="402">
        <f t="shared" si="24"/>
        <v>0</v>
      </c>
      <c r="BC63" s="383" t="s">
        <v>125</v>
      </c>
      <c r="BD63" s="383" t="s">
        <v>349</v>
      </c>
      <c r="BE63" s="386">
        <f t="shared" si="25"/>
        <v>6.2664411871606829</v>
      </c>
      <c r="BF63" s="402">
        <f t="shared" si="26"/>
        <v>0</v>
      </c>
      <c r="BG63" s="383" t="s">
        <v>411</v>
      </c>
      <c r="BH63" s="384"/>
      <c r="BI63" s="385" t="s">
        <v>3</v>
      </c>
      <c r="BJ63" s="387">
        <f t="shared" si="27"/>
        <v>1.9221853757639424</v>
      </c>
      <c r="BK63" s="402">
        <f t="shared" si="28"/>
        <v>0</v>
      </c>
      <c r="BL63" s="351">
        <f t="shared" si="29"/>
        <v>0</v>
      </c>
      <c r="BM63" s="328">
        <f t="shared" si="65"/>
        <v>0</v>
      </c>
      <c r="BN63" s="1165">
        <f t="shared" si="30"/>
        <v>0.5</v>
      </c>
      <c r="BO63" s="382"/>
      <c r="BP63" s="380">
        <f t="shared" si="31"/>
        <v>0.5</v>
      </c>
      <c r="BQ63" s="388"/>
      <c r="BR63" s="381">
        <f t="shared" si="32"/>
        <v>0</v>
      </c>
      <c r="BS63" s="386">
        <f>IF(BU63=Local,Subrates!$C$98,Subrates!$C$99)</f>
        <v>8.0873484007548591</v>
      </c>
      <c r="BT63" s="402">
        <f t="shared" si="33"/>
        <v>0</v>
      </c>
      <c r="BU63" s="389" t="s">
        <v>2026</v>
      </c>
      <c r="BV63" s="1170" t="s">
        <v>485</v>
      </c>
      <c r="BW63" s="386">
        <f>IF(BU63=Local,0,VLOOKUP(BV63,Long_distance_values_subs,Subrates!$C$5,FALSE))</f>
        <v>0</v>
      </c>
      <c r="BX63" s="386">
        <f>IF(BU63=Local,0,Subrates!$D$121)</f>
        <v>0</v>
      </c>
      <c r="BY63" s="1173"/>
      <c r="BZ63" s="402">
        <f>IF(BY63="",BW63*BR63*VLOOKUP(BV63,Long_distance_values_subs,Subrates!$H$5)+BX63*BR63,BY63*BR63)</f>
        <v>0</v>
      </c>
      <c r="CA63" s="351">
        <f t="shared" si="34"/>
        <v>0</v>
      </c>
      <c r="CB63" s="328">
        <f t="shared" si="66"/>
        <v>0</v>
      </c>
      <c r="CC63" s="1165">
        <f t="shared" si="35"/>
        <v>1.5</v>
      </c>
      <c r="CD63" s="382"/>
      <c r="CE63" s="380">
        <f t="shared" si="36"/>
        <v>1.5</v>
      </c>
      <c r="CF63" s="388"/>
      <c r="CG63" s="381">
        <f t="shared" si="37"/>
        <v>0</v>
      </c>
      <c r="CH63" s="383" t="s">
        <v>125</v>
      </c>
      <c r="CI63" s="384"/>
      <c r="CJ63" s="383" t="s">
        <v>349</v>
      </c>
      <c r="CK63" s="386">
        <f t="shared" si="38"/>
        <v>6.2664411871606829</v>
      </c>
      <c r="CL63" s="401">
        <f t="shared" si="39"/>
        <v>0</v>
      </c>
      <c r="CM63" s="383" t="s">
        <v>411</v>
      </c>
      <c r="CN63" s="1170"/>
      <c r="CO63" s="383" t="s">
        <v>3</v>
      </c>
      <c r="CP63" s="1171"/>
      <c r="CQ63" s="386">
        <f t="shared" si="40"/>
        <v>1.9221853757639424</v>
      </c>
      <c r="CR63" s="401">
        <f t="shared" si="41"/>
        <v>0</v>
      </c>
      <c r="CS63" s="351">
        <f t="shared" si="42"/>
        <v>0</v>
      </c>
      <c r="CT63" s="388"/>
      <c r="CU63" s="386">
        <f>Subrates!$C$94</f>
        <v>2.2000000000000002</v>
      </c>
      <c r="CV63" s="388"/>
      <c r="CW63" s="386">
        <f>Subrates!$C$95</f>
        <v>13.200000000000001</v>
      </c>
      <c r="CX63" s="388"/>
      <c r="CY63" s="386">
        <f>Subrates!$C$96</f>
        <v>14.3</v>
      </c>
      <c r="CZ63" s="351">
        <f t="shared" si="43"/>
        <v>0</v>
      </c>
      <c r="DA63" s="328"/>
      <c r="DB63" s="399">
        <f>Subrates!$C$106</f>
        <v>21234.52910306484</v>
      </c>
      <c r="DC63" s="351">
        <f t="shared" si="44"/>
        <v>0</v>
      </c>
      <c r="DD63" s="386">
        <f>Subrates!$C$105</f>
        <v>2885.2856380177936</v>
      </c>
      <c r="DE63" s="400">
        <f t="shared" si="45"/>
        <v>0</v>
      </c>
      <c r="DF63" s="1165">
        <f t="shared" si="46"/>
        <v>0.15</v>
      </c>
      <c r="DG63" s="390"/>
      <c r="DH63" s="388"/>
      <c r="DI63" s="381">
        <f t="shared" si="47"/>
        <v>0</v>
      </c>
      <c r="DJ63" s="383" t="s">
        <v>125</v>
      </c>
      <c r="DK63" s="384"/>
      <c r="DL63" s="383" t="s">
        <v>348</v>
      </c>
      <c r="DM63" s="386">
        <f t="shared" si="48"/>
        <v>4.8064250364478198</v>
      </c>
      <c r="DN63" s="401">
        <f t="shared" si="49"/>
        <v>0</v>
      </c>
      <c r="DO63" s="389" t="s">
        <v>2026</v>
      </c>
      <c r="DP63" s="1170" t="s">
        <v>485</v>
      </c>
      <c r="DQ63" s="386">
        <f>IF(DO63=Local,0,VLOOKUP(DP63,Long_distance_values_subs,Subrates!$C$5,FALSE))</f>
        <v>0</v>
      </c>
      <c r="DR63" s="386">
        <f>IF(DO63=Local,0,Subrates!$D$122)</f>
        <v>0</v>
      </c>
      <c r="DS63" s="1173"/>
      <c r="DT63" s="402">
        <f>IF(DS63="",DI63*VLOOKUP(DP63,Long_distance_values_subs,Subrates!$H$5,FALSE)*DQ63+DI63*DR63,DI63*DS63)</f>
        <v>0</v>
      </c>
      <c r="DU63" s="351">
        <f t="shared" si="50"/>
        <v>0</v>
      </c>
      <c r="DV63" s="388"/>
      <c r="DW63" s="391" t="s">
        <v>48</v>
      </c>
      <c r="DX63" s="1166" t="str">
        <f>IF(DW63=Lists!$B$18,"N/A",VLOOKUP(DW63,Lists!$B$18:$D$26,Lists!$C$3,FALSE))</f>
        <v>N/A</v>
      </c>
      <c r="DY63" s="386">
        <f>IF(DW63=Lists!$B$18,0,VLOOKUP(DX63,Amend_TOV,TOV!$F$1,FALSE))</f>
        <v>0</v>
      </c>
      <c r="DZ63" s="117"/>
      <c r="EA63" s="388"/>
      <c r="EB63" s="391" t="s">
        <v>48</v>
      </c>
      <c r="EC63" s="1166" t="str">
        <f>IF(EB63=Lists!$B$18,"N/A",VLOOKUP(EB63,Lists!$B$18:$D$26,Lists!$C$3,FALSE))</f>
        <v>N/A</v>
      </c>
      <c r="ED63" s="386">
        <f>IF(EB63=Lists!$B$18,0,VLOOKUP(EC63,Amend_TOV,TOV!$F$1,FALSE))</f>
        <v>0</v>
      </c>
      <c r="EE63" s="117"/>
      <c r="EF63" s="388"/>
      <c r="EG63" s="391" t="s">
        <v>48</v>
      </c>
      <c r="EH63" s="1166" t="str">
        <f>IF(EG63=Lists!$B$18,"N/A",VLOOKUP(EG63,Lists!$B$18:$D$26,Lists!$C$3,FALSE))</f>
        <v>N/A</v>
      </c>
      <c r="EI63" s="386">
        <f>IF(EG63=Lists!$B$18,0,VLOOKUP(EH63,Amend_TOV,TOV!$F$1,FALSE))</f>
        <v>0</v>
      </c>
      <c r="EJ63" s="117"/>
      <c r="EK63" s="351">
        <f t="shared" si="51"/>
        <v>0</v>
      </c>
      <c r="EL63" s="328">
        <f t="shared" si="52"/>
        <v>0</v>
      </c>
      <c r="EM63" s="392">
        <v>1</v>
      </c>
      <c r="EN63" s="392"/>
      <c r="EO63" s="393">
        <f t="shared" si="53"/>
        <v>0</v>
      </c>
      <c r="EP63" s="232" t="str">
        <f t="shared" si="67"/>
        <v>No Alert</v>
      </c>
      <c r="EQ63" s="351">
        <f t="shared" si="54"/>
        <v>0</v>
      </c>
      <c r="ER63" s="351">
        <f t="shared" si="55"/>
        <v>0</v>
      </c>
      <c r="ES63" s="1154">
        <f t="shared" si="56"/>
        <v>0</v>
      </c>
      <c r="ET63" s="1172"/>
      <c r="EU63" s="351">
        <f t="shared" si="68"/>
        <v>0</v>
      </c>
      <c r="EV63" s="386">
        <f t="shared" si="57"/>
        <v>3650</v>
      </c>
      <c r="EW63" s="117"/>
      <c r="EX63" s="403">
        <f t="shared" si="58"/>
        <v>0</v>
      </c>
      <c r="EY63" s="394"/>
      <c r="EZ63" s="395">
        <f t="shared" si="69"/>
        <v>0</v>
      </c>
      <c r="FA63" s="1167">
        <f t="shared" si="59"/>
        <v>0</v>
      </c>
      <c r="FB63" s="1168">
        <f t="shared" si="60"/>
        <v>0</v>
      </c>
      <c r="FC63" s="396"/>
      <c r="FD63" s="397"/>
      <c r="FE63" s="397"/>
      <c r="FF63" s="397"/>
      <c r="FG63" s="397"/>
      <c r="FH63" s="397"/>
      <c r="FI63" s="397"/>
      <c r="FJ63" s="398"/>
    </row>
    <row r="64" spans="1:173" s="520" customFormat="1" ht="15">
      <c r="B64" s="310"/>
      <c r="C64" s="1164">
        <f t="shared" si="61"/>
        <v>12</v>
      </c>
      <c r="D64" s="379"/>
      <c r="E64" s="328"/>
      <c r="F64" s="255" t="s">
        <v>1879</v>
      </c>
      <c r="G64" s="328"/>
      <c r="H64" s="380">
        <f t="shared" si="2"/>
        <v>1</v>
      </c>
      <c r="I64" s="328"/>
      <c r="J64" s="380">
        <f t="shared" si="62"/>
        <v>1</v>
      </c>
      <c r="K64" s="388"/>
      <c r="L64" s="381">
        <f t="shared" si="3"/>
        <v>0</v>
      </c>
      <c r="M64" s="328"/>
      <c r="N64" s="380">
        <f t="shared" si="4"/>
        <v>0.5</v>
      </c>
      <c r="O64" s="382"/>
      <c r="P64" s="380">
        <f t="shared" si="63"/>
        <v>0.5</v>
      </c>
      <c r="Q64" s="388"/>
      <c r="R64" s="381">
        <f t="shared" si="5"/>
        <v>0</v>
      </c>
      <c r="S64" s="383" t="s">
        <v>125</v>
      </c>
      <c r="T64" s="383" t="s">
        <v>349</v>
      </c>
      <c r="U64" s="386">
        <f t="shared" si="6"/>
        <v>6.2664411871606829</v>
      </c>
      <c r="V64" s="351">
        <f t="shared" si="7"/>
        <v>0</v>
      </c>
      <c r="W64" s="383" t="s">
        <v>428</v>
      </c>
      <c r="X64" s="383" t="s">
        <v>411</v>
      </c>
      <c r="Y64" s="384"/>
      <c r="Z64" s="383" t="s">
        <v>3</v>
      </c>
      <c r="AA64" s="387">
        <f t="shared" si="8"/>
        <v>1.9221853757639424</v>
      </c>
      <c r="AB64" s="351">
        <f t="shared" si="9"/>
        <v>0</v>
      </c>
      <c r="AC64" s="387">
        <f t="shared" si="10"/>
        <v>8904.769113128099</v>
      </c>
      <c r="AD64" s="351">
        <f t="shared" si="11"/>
        <v>0</v>
      </c>
      <c r="AE64" s="328">
        <f t="shared" si="12"/>
        <v>0</v>
      </c>
      <c r="AF64" s="1165">
        <f t="shared" si="13"/>
        <v>0.5</v>
      </c>
      <c r="AG64" s="382"/>
      <c r="AH64" s="380">
        <f t="shared" si="14"/>
        <v>0.5</v>
      </c>
      <c r="AI64" s="388"/>
      <c r="AJ64" s="381">
        <f t="shared" si="15"/>
        <v>0</v>
      </c>
      <c r="AK64" s="383" t="s">
        <v>125</v>
      </c>
      <c r="AL64" s="383" t="s">
        <v>349</v>
      </c>
      <c r="AM64" s="386">
        <f t="shared" si="16"/>
        <v>6.2664411871606829</v>
      </c>
      <c r="AN64" s="401">
        <f t="shared" si="17"/>
        <v>0</v>
      </c>
      <c r="AO64" s="383" t="s">
        <v>411</v>
      </c>
      <c r="AP64" s="1170"/>
      <c r="AQ64" s="383" t="s">
        <v>3</v>
      </c>
      <c r="AR64" s="387">
        <f t="shared" si="18"/>
        <v>1.9221853757639424</v>
      </c>
      <c r="AS64" s="401">
        <f t="shared" si="19"/>
        <v>0</v>
      </c>
      <c r="AT64" s="351">
        <f t="shared" si="20"/>
        <v>0</v>
      </c>
      <c r="AU64" s="328">
        <f t="shared" si="64"/>
        <v>0</v>
      </c>
      <c r="AV64" s="1165">
        <f t="shared" si="21"/>
        <v>0.6</v>
      </c>
      <c r="AW64" s="382"/>
      <c r="AX64" s="380">
        <f t="shared" si="22"/>
        <v>0.6</v>
      </c>
      <c r="AY64" s="388"/>
      <c r="AZ64" s="381">
        <f t="shared" si="23"/>
        <v>0</v>
      </c>
      <c r="BA64" s="386">
        <f>Subrates!$C$97</f>
        <v>4.7138306819209967</v>
      </c>
      <c r="BB64" s="402">
        <f t="shared" si="24"/>
        <v>0</v>
      </c>
      <c r="BC64" s="383" t="s">
        <v>125</v>
      </c>
      <c r="BD64" s="383" t="s">
        <v>349</v>
      </c>
      <c r="BE64" s="386">
        <f t="shared" si="25"/>
        <v>6.2664411871606829</v>
      </c>
      <c r="BF64" s="402">
        <f t="shared" si="26"/>
        <v>0</v>
      </c>
      <c r="BG64" s="383" t="s">
        <v>411</v>
      </c>
      <c r="BH64" s="384"/>
      <c r="BI64" s="385" t="s">
        <v>3</v>
      </c>
      <c r="BJ64" s="387">
        <f t="shared" si="27"/>
        <v>1.9221853757639424</v>
      </c>
      <c r="BK64" s="402">
        <f t="shared" si="28"/>
        <v>0</v>
      </c>
      <c r="BL64" s="351">
        <f t="shared" si="29"/>
        <v>0</v>
      </c>
      <c r="BM64" s="328">
        <f t="shared" si="65"/>
        <v>0</v>
      </c>
      <c r="BN64" s="1165">
        <f t="shared" si="30"/>
        <v>0.5</v>
      </c>
      <c r="BO64" s="382"/>
      <c r="BP64" s="380">
        <f t="shared" si="31"/>
        <v>0.5</v>
      </c>
      <c r="BQ64" s="388"/>
      <c r="BR64" s="381">
        <f t="shared" si="32"/>
        <v>0</v>
      </c>
      <c r="BS64" s="386">
        <f>IF(BU64=Local,Subrates!$C$98,Subrates!$C$99)</f>
        <v>8.0873484007548591</v>
      </c>
      <c r="BT64" s="402">
        <f t="shared" si="33"/>
        <v>0</v>
      </c>
      <c r="BU64" s="389" t="s">
        <v>2026</v>
      </c>
      <c r="BV64" s="1170" t="s">
        <v>485</v>
      </c>
      <c r="BW64" s="386">
        <f>IF(BU64=Local,0,VLOOKUP(BV64,Long_distance_values_subs,Subrates!$C$5,FALSE))</f>
        <v>0</v>
      </c>
      <c r="BX64" s="386">
        <f>IF(BU64=Local,0,Subrates!$D$121)</f>
        <v>0</v>
      </c>
      <c r="BY64" s="1173"/>
      <c r="BZ64" s="402">
        <f>IF(BY64="",BW64*BR64*VLOOKUP(BV64,Long_distance_values_subs,Subrates!$H$5)+BX64*BR64,BY64*BR64)</f>
        <v>0</v>
      </c>
      <c r="CA64" s="351">
        <f t="shared" si="34"/>
        <v>0</v>
      </c>
      <c r="CB64" s="328">
        <f t="shared" si="66"/>
        <v>0</v>
      </c>
      <c r="CC64" s="1165">
        <f t="shared" si="35"/>
        <v>1.5</v>
      </c>
      <c r="CD64" s="382"/>
      <c r="CE64" s="380">
        <f t="shared" si="36"/>
        <v>1.5</v>
      </c>
      <c r="CF64" s="388"/>
      <c r="CG64" s="381">
        <f t="shared" si="37"/>
        <v>0</v>
      </c>
      <c r="CH64" s="383" t="s">
        <v>125</v>
      </c>
      <c r="CI64" s="384"/>
      <c r="CJ64" s="383" t="s">
        <v>349</v>
      </c>
      <c r="CK64" s="386">
        <f t="shared" si="38"/>
        <v>6.2664411871606829</v>
      </c>
      <c r="CL64" s="401">
        <f t="shared" si="39"/>
        <v>0</v>
      </c>
      <c r="CM64" s="383" t="s">
        <v>411</v>
      </c>
      <c r="CN64" s="1170"/>
      <c r="CO64" s="383" t="s">
        <v>3</v>
      </c>
      <c r="CP64" s="1171"/>
      <c r="CQ64" s="386">
        <f t="shared" si="40"/>
        <v>1.9221853757639424</v>
      </c>
      <c r="CR64" s="401">
        <f t="shared" si="41"/>
        <v>0</v>
      </c>
      <c r="CS64" s="351">
        <f t="shared" si="42"/>
        <v>0</v>
      </c>
      <c r="CT64" s="388"/>
      <c r="CU64" s="386">
        <f>Subrates!$C$94</f>
        <v>2.2000000000000002</v>
      </c>
      <c r="CV64" s="388"/>
      <c r="CW64" s="386">
        <f>Subrates!$C$95</f>
        <v>13.200000000000001</v>
      </c>
      <c r="CX64" s="388"/>
      <c r="CY64" s="386">
        <f>Subrates!$C$96</f>
        <v>14.3</v>
      </c>
      <c r="CZ64" s="351">
        <f t="shared" si="43"/>
        <v>0</v>
      </c>
      <c r="DA64" s="328"/>
      <c r="DB64" s="399">
        <f>Subrates!$C$106</f>
        <v>21234.52910306484</v>
      </c>
      <c r="DC64" s="351">
        <f t="shared" si="44"/>
        <v>0</v>
      </c>
      <c r="DD64" s="386">
        <f>Subrates!$C$105</f>
        <v>2885.2856380177936</v>
      </c>
      <c r="DE64" s="400">
        <f t="shared" si="45"/>
        <v>0</v>
      </c>
      <c r="DF64" s="1165">
        <f t="shared" si="46"/>
        <v>0.15</v>
      </c>
      <c r="DG64" s="390"/>
      <c r="DH64" s="388"/>
      <c r="DI64" s="381">
        <f t="shared" si="47"/>
        <v>0</v>
      </c>
      <c r="DJ64" s="383" t="s">
        <v>125</v>
      </c>
      <c r="DK64" s="384"/>
      <c r="DL64" s="383" t="s">
        <v>348</v>
      </c>
      <c r="DM64" s="386">
        <f t="shared" si="48"/>
        <v>4.8064250364478198</v>
      </c>
      <c r="DN64" s="401">
        <f t="shared" si="49"/>
        <v>0</v>
      </c>
      <c r="DO64" s="389" t="s">
        <v>2026</v>
      </c>
      <c r="DP64" s="1170" t="s">
        <v>485</v>
      </c>
      <c r="DQ64" s="386">
        <f>IF(DO64=Local,0,VLOOKUP(DP64,Long_distance_values_subs,Subrates!$C$5,FALSE))</f>
        <v>0</v>
      </c>
      <c r="DR64" s="386">
        <f>IF(DO64=Local,0,Subrates!$D$122)</f>
        <v>0</v>
      </c>
      <c r="DS64" s="1173"/>
      <c r="DT64" s="402">
        <f>IF(DS64="",DI64*VLOOKUP(DP64,Long_distance_values_subs,Subrates!$H$5,FALSE)*DQ64+DI64*DR64,DI64*DS64)</f>
        <v>0</v>
      </c>
      <c r="DU64" s="351">
        <f t="shared" si="50"/>
        <v>0</v>
      </c>
      <c r="DV64" s="388"/>
      <c r="DW64" s="391" t="s">
        <v>48</v>
      </c>
      <c r="DX64" s="1166" t="str">
        <f>IF(DW64=Lists!$B$18,"N/A",VLOOKUP(DW64,Lists!$B$18:$D$26,Lists!$C$3,FALSE))</f>
        <v>N/A</v>
      </c>
      <c r="DY64" s="386">
        <f>IF(DW64=Lists!$B$18,0,VLOOKUP(DX64,Amend_TOV,TOV!$F$1,FALSE))</f>
        <v>0</v>
      </c>
      <c r="DZ64" s="117"/>
      <c r="EA64" s="388"/>
      <c r="EB64" s="391" t="s">
        <v>48</v>
      </c>
      <c r="EC64" s="1166" t="str">
        <f>IF(EB64=Lists!$B$18,"N/A",VLOOKUP(EB64,Lists!$B$18:$D$26,Lists!$C$3,FALSE))</f>
        <v>N/A</v>
      </c>
      <c r="ED64" s="386">
        <f>IF(EB64=Lists!$B$18,0,VLOOKUP(EC64,Amend_TOV,TOV!$F$1,FALSE))</f>
        <v>0</v>
      </c>
      <c r="EE64" s="117"/>
      <c r="EF64" s="388"/>
      <c r="EG64" s="391" t="s">
        <v>48</v>
      </c>
      <c r="EH64" s="1166" t="str">
        <f>IF(EG64=Lists!$B$18,"N/A",VLOOKUP(EG64,Lists!$B$18:$D$26,Lists!$C$3,FALSE))</f>
        <v>N/A</v>
      </c>
      <c r="EI64" s="386">
        <f>IF(EG64=Lists!$B$18,0,VLOOKUP(EH64,Amend_TOV,TOV!$F$1,FALSE))</f>
        <v>0</v>
      </c>
      <c r="EJ64" s="117"/>
      <c r="EK64" s="351">
        <f t="shared" si="51"/>
        <v>0</v>
      </c>
      <c r="EL64" s="328">
        <f t="shared" si="52"/>
        <v>0</v>
      </c>
      <c r="EM64" s="392">
        <v>1</v>
      </c>
      <c r="EN64" s="392"/>
      <c r="EO64" s="393">
        <f t="shared" si="53"/>
        <v>0</v>
      </c>
      <c r="EP64" s="232" t="str">
        <f t="shared" si="67"/>
        <v>No Alert</v>
      </c>
      <c r="EQ64" s="351">
        <f t="shared" si="54"/>
        <v>0</v>
      </c>
      <c r="ER64" s="351">
        <f t="shared" si="55"/>
        <v>0</v>
      </c>
      <c r="ES64" s="1154">
        <f t="shared" si="56"/>
        <v>0</v>
      </c>
      <c r="ET64" s="1172"/>
      <c r="EU64" s="351">
        <f t="shared" si="68"/>
        <v>0</v>
      </c>
      <c r="EV64" s="386">
        <f t="shared" si="57"/>
        <v>3650</v>
      </c>
      <c r="EW64" s="117"/>
      <c r="EX64" s="403">
        <f t="shared" si="58"/>
        <v>0</v>
      </c>
      <c r="EY64" s="394"/>
      <c r="EZ64" s="395">
        <f t="shared" si="69"/>
        <v>0</v>
      </c>
      <c r="FA64" s="1167">
        <f t="shared" si="59"/>
        <v>0</v>
      </c>
      <c r="FB64" s="1168">
        <f t="shared" si="60"/>
        <v>0</v>
      </c>
      <c r="FC64" s="396"/>
      <c r="FD64" s="397"/>
      <c r="FE64" s="397"/>
      <c r="FF64" s="397"/>
      <c r="FG64" s="397"/>
      <c r="FH64" s="397"/>
      <c r="FI64" s="397"/>
      <c r="FJ64" s="398"/>
    </row>
    <row r="65" spans="1:166" s="520" customFormat="1" ht="15">
      <c r="B65" s="310"/>
      <c r="C65" s="1164">
        <f t="shared" si="61"/>
        <v>13</v>
      </c>
      <c r="D65" s="379"/>
      <c r="E65" s="328"/>
      <c r="F65" s="255" t="s">
        <v>1879</v>
      </c>
      <c r="G65" s="328"/>
      <c r="H65" s="380">
        <f t="shared" si="2"/>
        <v>1</v>
      </c>
      <c r="I65" s="328"/>
      <c r="J65" s="380">
        <f t="shared" si="62"/>
        <v>1</v>
      </c>
      <c r="K65" s="388"/>
      <c r="L65" s="381">
        <f t="shared" si="3"/>
        <v>0</v>
      </c>
      <c r="M65" s="328"/>
      <c r="N65" s="380">
        <f t="shared" si="4"/>
        <v>0.5</v>
      </c>
      <c r="O65" s="382"/>
      <c r="P65" s="380">
        <f t="shared" si="63"/>
        <v>0.5</v>
      </c>
      <c r="Q65" s="388"/>
      <c r="R65" s="381">
        <f t="shared" si="5"/>
        <v>0</v>
      </c>
      <c r="S65" s="383" t="s">
        <v>125</v>
      </c>
      <c r="T65" s="383" t="s">
        <v>349</v>
      </c>
      <c r="U65" s="386">
        <f t="shared" si="6"/>
        <v>6.2664411871606829</v>
      </c>
      <c r="V65" s="351">
        <f t="shared" si="7"/>
        <v>0</v>
      </c>
      <c r="W65" s="383" t="s">
        <v>428</v>
      </c>
      <c r="X65" s="383" t="s">
        <v>411</v>
      </c>
      <c r="Y65" s="384"/>
      <c r="Z65" s="383" t="s">
        <v>3</v>
      </c>
      <c r="AA65" s="387">
        <f t="shared" si="8"/>
        <v>1.9221853757639424</v>
      </c>
      <c r="AB65" s="351">
        <f t="shared" si="9"/>
        <v>0</v>
      </c>
      <c r="AC65" s="387">
        <f t="shared" si="10"/>
        <v>8904.769113128099</v>
      </c>
      <c r="AD65" s="351">
        <f t="shared" si="11"/>
        <v>0</v>
      </c>
      <c r="AE65" s="328">
        <f t="shared" si="12"/>
        <v>0</v>
      </c>
      <c r="AF65" s="1165">
        <f t="shared" si="13"/>
        <v>0.5</v>
      </c>
      <c r="AG65" s="382"/>
      <c r="AH65" s="380">
        <f t="shared" si="14"/>
        <v>0.5</v>
      </c>
      <c r="AI65" s="388"/>
      <c r="AJ65" s="381">
        <f t="shared" si="15"/>
        <v>0</v>
      </c>
      <c r="AK65" s="383" t="s">
        <v>125</v>
      </c>
      <c r="AL65" s="383" t="s">
        <v>349</v>
      </c>
      <c r="AM65" s="386">
        <f t="shared" si="16"/>
        <v>6.2664411871606829</v>
      </c>
      <c r="AN65" s="401">
        <f t="shared" si="17"/>
        <v>0</v>
      </c>
      <c r="AO65" s="383" t="s">
        <v>411</v>
      </c>
      <c r="AP65" s="1170"/>
      <c r="AQ65" s="383" t="s">
        <v>3</v>
      </c>
      <c r="AR65" s="387">
        <f t="shared" si="18"/>
        <v>1.9221853757639424</v>
      </c>
      <c r="AS65" s="401">
        <f t="shared" si="19"/>
        <v>0</v>
      </c>
      <c r="AT65" s="351">
        <f t="shared" si="20"/>
        <v>0</v>
      </c>
      <c r="AU65" s="328">
        <f t="shared" si="64"/>
        <v>0</v>
      </c>
      <c r="AV65" s="1165">
        <f t="shared" si="21"/>
        <v>0.6</v>
      </c>
      <c r="AW65" s="382"/>
      <c r="AX65" s="380">
        <f t="shared" si="22"/>
        <v>0.6</v>
      </c>
      <c r="AY65" s="388"/>
      <c r="AZ65" s="381">
        <f t="shared" si="23"/>
        <v>0</v>
      </c>
      <c r="BA65" s="386">
        <f>Subrates!$C$97</f>
        <v>4.7138306819209967</v>
      </c>
      <c r="BB65" s="402">
        <f t="shared" si="24"/>
        <v>0</v>
      </c>
      <c r="BC65" s="383" t="s">
        <v>125</v>
      </c>
      <c r="BD65" s="383" t="s">
        <v>349</v>
      </c>
      <c r="BE65" s="386">
        <f t="shared" si="25"/>
        <v>6.2664411871606829</v>
      </c>
      <c r="BF65" s="402">
        <f t="shared" si="26"/>
        <v>0</v>
      </c>
      <c r="BG65" s="383" t="s">
        <v>411</v>
      </c>
      <c r="BH65" s="384"/>
      <c r="BI65" s="385" t="s">
        <v>3</v>
      </c>
      <c r="BJ65" s="387">
        <f t="shared" si="27"/>
        <v>1.9221853757639424</v>
      </c>
      <c r="BK65" s="402">
        <f t="shared" si="28"/>
        <v>0</v>
      </c>
      <c r="BL65" s="351">
        <f t="shared" si="29"/>
        <v>0</v>
      </c>
      <c r="BM65" s="328">
        <f t="shared" si="65"/>
        <v>0</v>
      </c>
      <c r="BN65" s="1165">
        <f t="shared" si="30"/>
        <v>0.5</v>
      </c>
      <c r="BO65" s="382"/>
      <c r="BP65" s="380">
        <f t="shared" si="31"/>
        <v>0.5</v>
      </c>
      <c r="BQ65" s="388"/>
      <c r="BR65" s="381">
        <f t="shared" si="32"/>
        <v>0</v>
      </c>
      <c r="BS65" s="386">
        <f>IF(BU65=Local,Subrates!$C$98,Subrates!$C$99)</f>
        <v>8.0873484007548591</v>
      </c>
      <c r="BT65" s="402">
        <f t="shared" si="33"/>
        <v>0</v>
      </c>
      <c r="BU65" s="389" t="s">
        <v>2026</v>
      </c>
      <c r="BV65" s="1170" t="s">
        <v>485</v>
      </c>
      <c r="BW65" s="386">
        <f>IF(BU65=Local,0,VLOOKUP(BV65,Long_distance_values_subs,Subrates!$C$5,FALSE))</f>
        <v>0</v>
      </c>
      <c r="BX65" s="386">
        <f>IF(BU65=Local,0,Subrates!$D$121)</f>
        <v>0</v>
      </c>
      <c r="BY65" s="1173"/>
      <c r="BZ65" s="402">
        <f>IF(BY65="",BW65*BR65*VLOOKUP(BV65,Long_distance_values_subs,Subrates!$H$5)+BX65*BR65,BY65*BR65)</f>
        <v>0</v>
      </c>
      <c r="CA65" s="351">
        <f t="shared" si="34"/>
        <v>0</v>
      </c>
      <c r="CB65" s="328">
        <f t="shared" si="66"/>
        <v>0</v>
      </c>
      <c r="CC65" s="1165">
        <f t="shared" si="35"/>
        <v>1.5</v>
      </c>
      <c r="CD65" s="382"/>
      <c r="CE65" s="380">
        <f t="shared" si="36"/>
        <v>1.5</v>
      </c>
      <c r="CF65" s="388"/>
      <c r="CG65" s="381">
        <f t="shared" si="37"/>
        <v>0</v>
      </c>
      <c r="CH65" s="383" t="s">
        <v>125</v>
      </c>
      <c r="CI65" s="384"/>
      <c r="CJ65" s="383" t="s">
        <v>349</v>
      </c>
      <c r="CK65" s="386">
        <f t="shared" si="38"/>
        <v>6.2664411871606829</v>
      </c>
      <c r="CL65" s="401">
        <f t="shared" si="39"/>
        <v>0</v>
      </c>
      <c r="CM65" s="383" t="s">
        <v>411</v>
      </c>
      <c r="CN65" s="1170"/>
      <c r="CO65" s="383" t="s">
        <v>3</v>
      </c>
      <c r="CP65" s="1171"/>
      <c r="CQ65" s="386">
        <f t="shared" si="40"/>
        <v>1.9221853757639424</v>
      </c>
      <c r="CR65" s="401">
        <f t="shared" si="41"/>
        <v>0</v>
      </c>
      <c r="CS65" s="351">
        <f t="shared" si="42"/>
        <v>0</v>
      </c>
      <c r="CT65" s="388"/>
      <c r="CU65" s="386">
        <f>Subrates!$C$94</f>
        <v>2.2000000000000002</v>
      </c>
      <c r="CV65" s="388"/>
      <c r="CW65" s="386">
        <f>Subrates!$C$95</f>
        <v>13.200000000000001</v>
      </c>
      <c r="CX65" s="388"/>
      <c r="CY65" s="386">
        <f>Subrates!$C$96</f>
        <v>14.3</v>
      </c>
      <c r="CZ65" s="351">
        <f t="shared" si="43"/>
        <v>0</v>
      </c>
      <c r="DA65" s="328"/>
      <c r="DB65" s="399">
        <f>Subrates!$C$106</f>
        <v>21234.52910306484</v>
      </c>
      <c r="DC65" s="351">
        <f t="shared" si="44"/>
        <v>0</v>
      </c>
      <c r="DD65" s="386">
        <f>Subrates!$C$105</f>
        <v>2885.2856380177936</v>
      </c>
      <c r="DE65" s="400">
        <f t="shared" si="45"/>
        <v>0</v>
      </c>
      <c r="DF65" s="1165">
        <f t="shared" si="46"/>
        <v>0.15</v>
      </c>
      <c r="DG65" s="390"/>
      <c r="DH65" s="388"/>
      <c r="DI65" s="381">
        <f t="shared" si="47"/>
        <v>0</v>
      </c>
      <c r="DJ65" s="383" t="s">
        <v>125</v>
      </c>
      <c r="DK65" s="384"/>
      <c r="DL65" s="383" t="s">
        <v>348</v>
      </c>
      <c r="DM65" s="386">
        <f t="shared" si="48"/>
        <v>4.8064250364478198</v>
      </c>
      <c r="DN65" s="401">
        <f t="shared" si="49"/>
        <v>0</v>
      </c>
      <c r="DO65" s="389" t="s">
        <v>2026</v>
      </c>
      <c r="DP65" s="1170" t="s">
        <v>485</v>
      </c>
      <c r="DQ65" s="386">
        <f>IF(DO65=Local,0,VLOOKUP(DP65,Long_distance_values_subs,Subrates!$C$5,FALSE))</f>
        <v>0</v>
      </c>
      <c r="DR65" s="386">
        <f>IF(DO65=Local,0,Subrates!$D$122)</f>
        <v>0</v>
      </c>
      <c r="DS65" s="1173"/>
      <c r="DT65" s="402">
        <f>IF(DS65="",DI65*VLOOKUP(DP65,Long_distance_values_subs,Subrates!$H$5,FALSE)*DQ65+DI65*DR65,DI65*DS65)</f>
        <v>0</v>
      </c>
      <c r="DU65" s="351">
        <f t="shared" si="50"/>
        <v>0</v>
      </c>
      <c r="DV65" s="388"/>
      <c r="DW65" s="391" t="s">
        <v>48</v>
      </c>
      <c r="DX65" s="1166" t="str">
        <f>IF(DW65=Lists!$B$18,"N/A",VLOOKUP(DW65,Lists!$B$18:$D$26,Lists!$C$3,FALSE))</f>
        <v>N/A</v>
      </c>
      <c r="DY65" s="386">
        <f>IF(DW65=Lists!$B$18,0,VLOOKUP(DX65,Amend_TOV,TOV!$F$1,FALSE))</f>
        <v>0</v>
      </c>
      <c r="DZ65" s="117"/>
      <c r="EA65" s="388"/>
      <c r="EB65" s="391" t="s">
        <v>48</v>
      </c>
      <c r="EC65" s="1166" t="str">
        <f>IF(EB65=Lists!$B$18,"N/A",VLOOKUP(EB65,Lists!$B$18:$D$26,Lists!$C$3,FALSE))</f>
        <v>N/A</v>
      </c>
      <c r="ED65" s="386">
        <f>IF(EB65=Lists!$B$18,0,VLOOKUP(EC65,Amend_TOV,TOV!$F$1,FALSE))</f>
        <v>0</v>
      </c>
      <c r="EE65" s="117"/>
      <c r="EF65" s="388"/>
      <c r="EG65" s="391" t="s">
        <v>48</v>
      </c>
      <c r="EH65" s="1166" t="str">
        <f>IF(EG65=Lists!$B$18,"N/A",VLOOKUP(EG65,Lists!$B$18:$D$26,Lists!$C$3,FALSE))</f>
        <v>N/A</v>
      </c>
      <c r="EI65" s="386">
        <f>IF(EG65=Lists!$B$18,0,VLOOKUP(EH65,Amend_TOV,TOV!$F$1,FALSE))</f>
        <v>0</v>
      </c>
      <c r="EJ65" s="117"/>
      <c r="EK65" s="351">
        <f t="shared" si="51"/>
        <v>0</v>
      </c>
      <c r="EL65" s="328">
        <f t="shared" si="52"/>
        <v>0</v>
      </c>
      <c r="EM65" s="392">
        <v>1</v>
      </c>
      <c r="EN65" s="392"/>
      <c r="EO65" s="393">
        <f t="shared" si="53"/>
        <v>0</v>
      </c>
      <c r="EP65" s="232" t="str">
        <f t="shared" si="67"/>
        <v>No Alert</v>
      </c>
      <c r="EQ65" s="351">
        <f t="shared" si="54"/>
        <v>0</v>
      </c>
      <c r="ER65" s="351">
        <f t="shared" si="55"/>
        <v>0</v>
      </c>
      <c r="ES65" s="1154">
        <f t="shared" si="56"/>
        <v>0</v>
      </c>
      <c r="ET65" s="1172"/>
      <c r="EU65" s="351">
        <f t="shared" si="68"/>
        <v>0</v>
      </c>
      <c r="EV65" s="386">
        <f t="shared" si="57"/>
        <v>3650</v>
      </c>
      <c r="EW65" s="117"/>
      <c r="EX65" s="403">
        <f t="shared" si="58"/>
        <v>0</v>
      </c>
      <c r="EY65" s="394"/>
      <c r="EZ65" s="395">
        <f t="shared" si="69"/>
        <v>0</v>
      </c>
      <c r="FA65" s="1167">
        <f t="shared" si="59"/>
        <v>0</v>
      </c>
      <c r="FB65" s="1168">
        <f t="shared" si="60"/>
        <v>0</v>
      </c>
      <c r="FC65" s="396"/>
      <c r="FD65" s="397"/>
      <c r="FE65" s="397"/>
      <c r="FF65" s="397"/>
      <c r="FG65" s="397"/>
      <c r="FH65" s="397"/>
      <c r="FI65" s="397"/>
      <c r="FJ65" s="398"/>
    </row>
    <row r="66" spans="1:166" s="520" customFormat="1" ht="15">
      <c r="B66" s="310"/>
      <c r="C66" s="1164">
        <f t="shared" si="61"/>
        <v>14</v>
      </c>
      <c r="D66" s="379"/>
      <c r="E66" s="328"/>
      <c r="F66" s="255" t="s">
        <v>1879</v>
      </c>
      <c r="G66" s="328"/>
      <c r="H66" s="380">
        <f t="shared" si="2"/>
        <v>1</v>
      </c>
      <c r="I66" s="328"/>
      <c r="J66" s="380">
        <f t="shared" si="62"/>
        <v>1</v>
      </c>
      <c r="K66" s="388"/>
      <c r="L66" s="381">
        <f t="shared" si="3"/>
        <v>0</v>
      </c>
      <c r="M66" s="328"/>
      <c r="N66" s="380">
        <f t="shared" si="4"/>
        <v>0.5</v>
      </c>
      <c r="O66" s="382"/>
      <c r="P66" s="380">
        <f t="shared" si="63"/>
        <v>0.5</v>
      </c>
      <c r="Q66" s="388"/>
      <c r="R66" s="381">
        <f t="shared" si="5"/>
        <v>0</v>
      </c>
      <c r="S66" s="383" t="s">
        <v>125</v>
      </c>
      <c r="T66" s="383" t="s">
        <v>349</v>
      </c>
      <c r="U66" s="386">
        <f t="shared" si="6"/>
        <v>6.2664411871606829</v>
      </c>
      <c r="V66" s="351">
        <f t="shared" si="7"/>
        <v>0</v>
      </c>
      <c r="W66" s="383" t="s">
        <v>428</v>
      </c>
      <c r="X66" s="383" t="s">
        <v>411</v>
      </c>
      <c r="Y66" s="384"/>
      <c r="Z66" s="383" t="s">
        <v>3</v>
      </c>
      <c r="AA66" s="387">
        <f t="shared" si="8"/>
        <v>1.9221853757639424</v>
      </c>
      <c r="AB66" s="351">
        <f t="shared" si="9"/>
        <v>0</v>
      </c>
      <c r="AC66" s="387">
        <f t="shared" si="10"/>
        <v>8904.769113128099</v>
      </c>
      <c r="AD66" s="351">
        <f t="shared" si="11"/>
        <v>0</v>
      </c>
      <c r="AE66" s="328">
        <f t="shared" si="12"/>
        <v>0</v>
      </c>
      <c r="AF66" s="1165">
        <f t="shared" si="13"/>
        <v>0.5</v>
      </c>
      <c r="AG66" s="382"/>
      <c r="AH66" s="380">
        <f t="shared" si="14"/>
        <v>0.5</v>
      </c>
      <c r="AI66" s="388"/>
      <c r="AJ66" s="381">
        <f t="shared" si="15"/>
        <v>0</v>
      </c>
      <c r="AK66" s="383" t="s">
        <v>125</v>
      </c>
      <c r="AL66" s="383" t="s">
        <v>349</v>
      </c>
      <c r="AM66" s="386">
        <f t="shared" si="16"/>
        <v>6.2664411871606829</v>
      </c>
      <c r="AN66" s="401">
        <f t="shared" si="17"/>
        <v>0</v>
      </c>
      <c r="AO66" s="383" t="s">
        <v>411</v>
      </c>
      <c r="AP66" s="1170"/>
      <c r="AQ66" s="383" t="s">
        <v>3</v>
      </c>
      <c r="AR66" s="387">
        <f t="shared" si="18"/>
        <v>1.9221853757639424</v>
      </c>
      <c r="AS66" s="401">
        <f t="shared" si="19"/>
        <v>0</v>
      </c>
      <c r="AT66" s="351">
        <f t="shared" si="20"/>
        <v>0</v>
      </c>
      <c r="AU66" s="328">
        <f t="shared" si="64"/>
        <v>0</v>
      </c>
      <c r="AV66" s="1165">
        <f t="shared" si="21"/>
        <v>0.6</v>
      </c>
      <c r="AW66" s="382"/>
      <c r="AX66" s="380">
        <f t="shared" si="22"/>
        <v>0.6</v>
      </c>
      <c r="AY66" s="388"/>
      <c r="AZ66" s="381">
        <f t="shared" si="23"/>
        <v>0</v>
      </c>
      <c r="BA66" s="386">
        <f>Subrates!$C$97</f>
        <v>4.7138306819209967</v>
      </c>
      <c r="BB66" s="402">
        <f t="shared" si="24"/>
        <v>0</v>
      </c>
      <c r="BC66" s="383" t="s">
        <v>125</v>
      </c>
      <c r="BD66" s="383" t="s">
        <v>349</v>
      </c>
      <c r="BE66" s="386">
        <f t="shared" si="25"/>
        <v>6.2664411871606829</v>
      </c>
      <c r="BF66" s="402">
        <f t="shared" si="26"/>
        <v>0</v>
      </c>
      <c r="BG66" s="383" t="s">
        <v>411</v>
      </c>
      <c r="BH66" s="384"/>
      <c r="BI66" s="385" t="s">
        <v>3</v>
      </c>
      <c r="BJ66" s="387">
        <f t="shared" si="27"/>
        <v>1.9221853757639424</v>
      </c>
      <c r="BK66" s="402">
        <f t="shared" si="28"/>
        <v>0</v>
      </c>
      <c r="BL66" s="351">
        <f t="shared" si="29"/>
        <v>0</v>
      </c>
      <c r="BM66" s="328">
        <f t="shared" si="65"/>
        <v>0</v>
      </c>
      <c r="BN66" s="1165">
        <f t="shared" si="30"/>
        <v>0.5</v>
      </c>
      <c r="BO66" s="382"/>
      <c r="BP66" s="380">
        <f t="shared" si="31"/>
        <v>0.5</v>
      </c>
      <c r="BQ66" s="388"/>
      <c r="BR66" s="381">
        <f t="shared" si="32"/>
        <v>0</v>
      </c>
      <c r="BS66" s="386">
        <f>IF(BU66=Local,Subrates!$C$98,Subrates!$C$99)</f>
        <v>8.0873484007548591</v>
      </c>
      <c r="BT66" s="402">
        <f t="shared" si="33"/>
        <v>0</v>
      </c>
      <c r="BU66" s="389" t="s">
        <v>2026</v>
      </c>
      <c r="BV66" s="1170" t="s">
        <v>485</v>
      </c>
      <c r="BW66" s="386">
        <f>IF(BU66=Local,0,VLOOKUP(BV66,Long_distance_values_subs,Subrates!$C$5,FALSE))</f>
        <v>0</v>
      </c>
      <c r="BX66" s="386">
        <f>IF(BU66=Local,0,Subrates!$D$121)</f>
        <v>0</v>
      </c>
      <c r="BY66" s="1173"/>
      <c r="BZ66" s="402">
        <f>IF(BY66="",BW66*BR66*VLOOKUP(BV66,Long_distance_values_subs,Subrates!$H$5)+BX66*BR66,BY66*BR66)</f>
        <v>0</v>
      </c>
      <c r="CA66" s="351">
        <f t="shared" si="34"/>
        <v>0</v>
      </c>
      <c r="CB66" s="328">
        <f t="shared" si="66"/>
        <v>0</v>
      </c>
      <c r="CC66" s="1165">
        <f t="shared" si="35"/>
        <v>1.5</v>
      </c>
      <c r="CD66" s="382"/>
      <c r="CE66" s="380">
        <f t="shared" si="36"/>
        <v>1.5</v>
      </c>
      <c r="CF66" s="388"/>
      <c r="CG66" s="381">
        <f t="shared" si="37"/>
        <v>0</v>
      </c>
      <c r="CH66" s="383" t="s">
        <v>125</v>
      </c>
      <c r="CI66" s="384"/>
      <c r="CJ66" s="383" t="s">
        <v>349</v>
      </c>
      <c r="CK66" s="386">
        <f t="shared" si="38"/>
        <v>6.2664411871606829</v>
      </c>
      <c r="CL66" s="401">
        <f t="shared" si="39"/>
        <v>0</v>
      </c>
      <c r="CM66" s="383" t="s">
        <v>411</v>
      </c>
      <c r="CN66" s="1170"/>
      <c r="CO66" s="383" t="s">
        <v>3</v>
      </c>
      <c r="CP66" s="1171"/>
      <c r="CQ66" s="386">
        <f t="shared" si="40"/>
        <v>1.9221853757639424</v>
      </c>
      <c r="CR66" s="401">
        <f t="shared" si="41"/>
        <v>0</v>
      </c>
      <c r="CS66" s="351">
        <f t="shared" si="42"/>
        <v>0</v>
      </c>
      <c r="CT66" s="388"/>
      <c r="CU66" s="386">
        <f>Subrates!$C$94</f>
        <v>2.2000000000000002</v>
      </c>
      <c r="CV66" s="388"/>
      <c r="CW66" s="386">
        <f>Subrates!$C$95</f>
        <v>13.200000000000001</v>
      </c>
      <c r="CX66" s="388"/>
      <c r="CY66" s="386">
        <f>Subrates!$C$96</f>
        <v>14.3</v>
      </c>
      <c r="CZ66" s="351">
        <f t="shared" si="43"/>
        <v>0</v>
      </c>
      <c r="DA66" s="328"/>
      <c r="DB66" s="399">
        <f>Subrates!$C$106</f>
        <v>21234.52910306484</v>
      </c>
      <c r="DC66" s="351">
        <f t="shared" si="44"/>
        <v>0</v>
      </c>
      <c r="DD66" s="386">
        <f>Subrates!$C$105</f>
        <v>2885.2856380177936</v>
      </c>
      <c r="DE66" s="400">
        <f t="shared" si="45"/>
        <v>0</v>
      </c>
      <c r="DF66" s="1165">
        <f t="shared" si="46"/>
        <v>0.15</v>
      </c>
      <c r="DG66" s="390"/>
      <c r="DH66" s="388"/>
      <c r="DI66" s="381">
        <f t="shared" si="47"/>
        <v>0</v>
      </c>
      <c r="DJ66" s="383" t="s">
        <v>125</v>
      </c>
      <c r="DK66" s="384"/>
      <c r="DL66" s="383" t="s">
        <v>348</v>
      </c>
      <c r="DM66" s="386">
        <f t="shared" si="48"/>
        <v>4.8064250364478198</v>
      </c>
      <c r="DN66" s="401">
        <f t="shared" si="49"/>
        <v>0</v>
      </c>
      <c r="DO66" s="389" t="s">
        <v>2026</v>
      </c>
      <c r="DP66" s="1170" t="s">
        <v>485</v>
      </c>
      <c r="DQ66" s="386">
        <f>IF(DO66=Local,0,VLOOKUP(DP66,Long_distance_values_subs,Subrates!$C$5,FALSE))</f>
        <v>0</v>
      </c>
      <c r="DR66" s="386">
        <f>IF(DO66=Local,0,Subrates!$D$122)</f>
        <v>0</v>
      </c>
      <c r="DS66" s="1173"/>
      <c r="DT66" s="402">
        <f>IF(DS66="",DI66*VLOOKUP(DP66,Long_distance_values_subs,Subrates!$H$5,FALSE)*DQ66+DI66*DR66,DI66*DS66)</f>
        <v>0</v>
      </c>
      <c r="DU66" s="351">
        <f t="shared" si="50"/>
        <v>0</v>
      </c>
      <c r="DV66" s="388"/>
      <c r="DW66" s="391" t="s">
        <v>48</v>
      </c>
      <c r="DX66" s="1166" t="str">
        <f>IF(DW66=Lists!$B$18,"N/A",VLOOKUP(DW66,Lists!$B$18:$D$26,Lists!$C$3,FALSE))</f>
        <v>N/A</v>
      </c>
      <c r="DY66" s="386">
        <f>IF(DW66=Lists!$B$18,0,VLOOKUP(DX66,Amend_TOV,TOV!$F$1,FALSE))</f>
        <v>0</v>
      </c>
      <c r="DZ66" s="117"/>
      <c r="EA66" s="388"/>
      <c r="EB66" s="391" t="s">
        <v>48</v>
      </c>
      <c r="EC66" s="1166" t="str">
        <f>IF(EB66=Lists!$B$18,"N/A",VLOOKUP(EB66,Lists!$B$18:$D$26,Lists!$C$3,FALSE))</f>
        <v>N/A</v>
      </c>
      <c r="ED66" s="386">
        <f>IF(EB66=Lists!$B$18,0,VLOOKUP(EC66,Amend_TOV,TOV!$F$1,FALSE))</f>
        <v>0</v>
      </c>
      <c r="EE66" s="117"/>
      <c r="EF66" s="388"/>
      <c r="EG66" s="391" t="s">
        <v>48</v>
      </c>
      <c r="EH66" s="1166" t="str">
        <f>IF(EG66=Lists!$B$18,"N/A",VLOOKUP(EG66,Lists!$B$18:$D$26,Lists!$C$3,FALSE))</f>
        <v>N/A</v>
      </c>
      <c r="EI66" s="386">
        <f>IF(EG66=Lists!$B$18,0,VLOOKUP(EH66,Amend_TOV,TOV!$F$1,FALSE))</f>
        <v>0</v>
      </c>
      <c r="EJ66" s="117"/>
      <c r="EK66" s="351">
        <f t="shared" si="51"/>
        <v>0</v>
      </c>
      <c r="EL66" s="328">
        <f t="shared" si="52"/>
        <v>0</v>
      </c>
      <c r="EM66" s="392">
        <v>1</v>
      </c>
      <c r="EN66" s="392"/>
      <c r="EO66" s="393">
        <f t="shared" si="53"/>
        <v>0</v>
      </c>
      <c r="EP66" s="232" t="str">
        <f t="shared" si="67"/>
        <v>No Alert</v>
      </c>
      <c r="EQ66" s="351">
        <f t="shared" si="54"/>
        <v>0</v>
      </c>
      <c r="ER66" s="351">
        <f t="shared" si="55"/>
        <v>0</v>
      </c>
      <c r="ES66" s="1154">
        <f t="shared" si="56"/>
        <v>0</v>
      </c>
      <c r="ET66" s="1172"/>
      <c r="EU66" s="351">
        <f t="shared" si="68"/>
        <v>0</v>
      </c>
      <c r="EV66" s="386">
        <f t="shared" si="57"/>
        <v>3650</v>
      </c>
      <c r="EW66" s="117"/>
      <c r="EX66" s="403">
        <f t="shared" si="58"/>
        <v>0</v>
      </c>
      <c r="EY66" s="394"/>
      <c r="EZ66" s="395">
        <f t="shared" si="69"/>
        <v>0</v>
      </c>
      <c r="FA66" s="1167">
        <f t="shared" si="59"/>
        <v>0</v>
      </c>
      <c r="FB66" s="1168">
        <f t="shared" si="60"/>
        <v>0</v>
      </c>
      <c r="FC66" s="396"/>
      <c r="FD66" s="397"/>
      <c r="FE66" s="397"/>
      <c r="FF66" s="397"/>
      <c r="FG66" s="397"/>
      <c r="FH66" s="397"/>
      <c r="FI66" s="397"/>
      <c r="FJ66" s="398"/>
    </row>
    <row r="67" spans="1:166" s="520" customFormat="1" ht="15">
      <c r="B67" s="310"/>
      <c r="C67" s="1164">
        <f t="shared" si="61"/>
        <v>15</v>
      </c>
      <c r="D67" s="379"/>
      <c r="E67" s="328"/>
      <c r="F67" s="255" t="s">
        <v>1879</v>
      </c>
      <c r="G67" s="328"/>
      <c r="H67" s="380">
        <f t="shared" si="2"/>
        <v>1</v>
      </c>
      <c r="I67" s="328"/>
      <c r="J67" s="380">
        <f t="shared" si="62"/>
        <v>1</v>
      </c>
      <c r="K67" s="388"/>
      <c r="L67" s="381">
        <f t="shared" si="3"/>
        <v>0</v>
      </c>
      <c r="M67" s="328"/>
      <c r="N67" s="380">
        <f t="shared" si="4"/>
        <v>0.5</v>
      </c>
      <c r="O67" s="382"/>
      <c r="P67" s="380">
        <f t="shared" si="63"/>
        <v>0.5</v>
      </c>
      <c r="Q67" s="388"/>
      <c r="R67" s="381">
        <f t="shared" si="5"/>
        <v>0</v>
      </c>
      <c r="S67" s="383" t="s">
        <v>125</v>
      </c>
      <c r="T67" s="383" t="s">
        <v>349</v>
      </c>
      <c r="U67" s="386">
        <f t="shared" si="6"/>
        <v>6.2664411871606829</v>
      </c>
      <c r="V67" s="351">
        <f t="shared" si="7"/>
        <v>0</v>
      </c>
      <c r="W67" s="383" t="s">
        <v>428</v>
      </c>
      <c r="X67" s="383" t="s">
        <v>411</v>
      </c>
      <c r="Y67" s="384"/>
      <c r="Z67" s="383" t="s">
        <v>3</v>
      </c>
      <c r="AA67" s="387">
        <f t="shared" si="8"/>
        <v>1.9221853757639424</v>
      </c>
      <c r="AB67" s="351">
        <f t="shared" si="9"/>
        <v>0</v>
      </c>
      <c r="AC67" s="387">
        <f t="shared" si="10"/>
        <v>8904.769113128099</v>
      </c>
      <c r="AD67" s="351">
        <f t="shared" si="11"/>
        <v>0</v>
      </c>
      <c r="AE67" s="328">
        <f t="shared" si="12"/>
        <v>0</v>
      </c>
      <c r="AF67" s="1165">
        <f t="shared" si="13"/>
        <v>0.5</v>
      </c>
      <c r="AG67" s="382"/>
      <c r="AH67" s="380">
        <f t="shared" si="14"/>
        <v>0.5</v>
      </c>
      <c r="AI67" s="388"/>
      <c r="AJ67" s="381">
        <f t="shared" si="15"/>
        <v>0</v>
      </c>
      <c r="AK67" s="383" t="s">
        <v>125</v>
      </c>
      <c r="AL67" s="383" t="s">
        <v>349</v>
      </c>
      <c r="AM67" s="386">
        <f t="shared" si="16"/>
        <v>6.2664411871606829</v>
      </c>
      <c r="AN67" s="401">
        <f t="shared" si="17"/>
        <v>0</v>
      </c>
      <c r="AO67" s="383" t="s">
        <v>411</v>
      </c>
      <c r="AP67" s="1170"/>
      <c r="AQ67" s="383" t="s">
        <v>3</v>
      </c>
      <c r="AR67" s="387">
        <f t="shared" si="18"/>
        <v>1.9221853757639424</v>
      </c>
      <c r="AS67" s="401">
        <f t="shared" si="19"/>
        <v>0</v>
      </c>
      <c r="AT67" s="351">
        <f t="shared" si="20"/>
        <v>0</v>
      </c>
      <c r="AU67" s="328">
        <f t="shared" si="64"/>
        <v>0</v>
      </c>
      <c r="AV67" s="1165">
        <f t="shared" si="21"/>
        <v>0.6</v>
      </c>
      <c r="AW67" s="382"/>
      <c r="AX67" s="380">
        <f t="shared" si="22"/>
        <v>0.6</v>
      </c>
      <c r="AY67" s="388"/>
      <c r="AZ67" s="381">
        <f t="shared" si="23"/>
        <v>0</v>
      </c>
      <c r="BA67" s="386">
        <f>Subrates!$C$97</f>
        <v>4.7138306819209967</v>
      </c>
      <c r="BB67" s="402">
        <f t="shared" si="24"/>
        <v>0</v>
      </c>
      <c r="BC67" s="383" t="s">
        <v>125</v>
      </c>
      <c r="BD67" s="383" t="s">
        <v>349</v>
      </c>
      <c r="BE67" s="386">
        <f t="shared" si="25"/>
        <v>6.2664411871606829</v>
      </c>
      <c r="BF67" s="402">
        <f t="shared" si="26"/>
        <v>0</v>
      </c>
      <c r="BG67" s="383" t="s">
        <v>411</v>
      </c>
      <c r="BH67" s="384"/>
      <c r="BI67" s="385" t="s">
        <v>3</v>
      </c>
      <c r="BJ67" s="387">
        <f t="shared" si="27"/>
        <v>1.9221853757639424</v>
      </c>
      <c r="BK67" s="402">
        <f t="shared" si="28"/>
        <v>0</v>
      </c>
      <c r="BL67" s="351">
        <f t="shared" si="29"/>
        <v>0</v>
      </c>
      <c r="BM67" s="328">
        <f t="shared" si="65"/>
        <v>0</v>
      </c>
      <c r="BN67" s="1165">
        <f t="shared" si="30"/>
        <v>0.5</v>
      </c>
      <c r="BO67" s="382"/>
      <c r="BP67" s="380">
        <f t="shared" si="31"/>
        <v>0.5</v>
      </c>
      <c r="BQ67" s="388"/>
      <c r="BR67" s="381">
        <f t="shared" si="32"/>
        <v>0</v>
      </c>
      <c r="BS67" s="386">
        <f>IF(BU67=Local,Subrates!$C$98,Subrates!$C$99)</f>
        <v>8.0873484007548591</v>
      </c>
      <c r="BT67" s="402">
        <f t="shared" si="33"/>
        <v>0</v>
      </c>
      <c r="BU67" s="389" t="s">
        <v>2026</v>
      </c>
      <c r="BV67" s="1170" t="s">
        <v>485</v>
      </c>
      <c r="BW67" s="386">
        <f>IF(BU67=Local,0,VLOOKUP(BV67,Long_distance_values_subs,Subrates!$C$5,FALSE))</f>
        <v>0</v>
      </c>
      <c r="BX67" s="386">
        <f>IF(BU67=Local,0,Subrates!$D$121)</f>
        <v>0</v>
      </c>
      <c r="BY67" s="1173"/>
      <c r="BZ67" s="402">
        <f>IF(BY67="",BW67*BR67*VLOOKUP(BV67,Long_distance_values_subs,Subrates!$H$5)+BX67*BR67,BY67*BR67)</f>
        <v>0</v>
      </c>
      <c r="CA67" s="351">
        <f t="shared" si="34"/>
        <v>0</v>
      </c>
      <c r="CB67" s="328">
        <f t="shared" si="66"/>
        <v>0</v>
      </c>
      <c r="CC67" s="1165">
        <f t="shared" si="35"/>
        <v>1.5</v>
      </c>
      <c r="CD67" s="382"/>
      <c r="CE67" s="380">
        <f t="shared" si="36"/>
        <v>1.5</v>
      </c>
      <c r="CF67" s="388"/>
      <c r="CG67" s="381">
        <f t="shared" si="37"/>
        <v>0</v>
      </c>
      <c r="CH67" s="383" t="s">
        <v>125</v>
      </c>
      <c r="CI67" s="384"/>
      <c r="CJ67" s="383" t="s">
        <v>349</v>
      </c>
      <c r="CK67" s="386">
        <f t="shared" si="38"/>
        <v>6.2664411871606829</v>
      </c>
      <c r="CL67" s="401">
        <f t="shared" si="39"/>
        <v>0</v>
      </c>
      <c r="CM67" s="383" t="s">
        <v>411</v>
      </c>
      <c r="CN67" s="1170"/>
      <c r="CO67" s="383" t="s">
        <v>3</v>
      </c>
      <c r="CP67" s="1171"/>
      <c r="CQ67" s="386">
        <f t="shared" si="40"/>
        <v>1.9221853757639424</v>
      </c>
      <c r="CR67" s="401">
        <f t="shared" si="41"/>
        <v>0</v>
      </c>
      <c r="CS67" s="351">
        <f t="shared" si="42"/>
        <v>0</v>
      </c>
      <c r="CT67" s="388"/>
      <c r="CU67" s="386">
        <f>Subrates!$C$94</f>
        <v>2.2000000000000002</v>
      </c>
      <c r="CV67" s="388"/>
      <c r="CW67" s="386">
        <f>Subrates!$C$95</f>
        <v>13.200000000000001</v>
      </c>
      <c r="CX67" s="388"/>
      <c r="CY67" s="386">
        <f>Subrates!$C$96</f>
        <v>14.3</v>
      </c>
      <c r="CZ67" s="351">
        <f t="shared" si="43"/>
        <v>0</v>
      </c>
      <c r="DA67" s="328"/>
      <c r="DB67" s="399">
        <f>Subrates!$C$106</f>
        <v>21234.52910306484</v>
      </c>
      <c r="DC67" s="351">
        <f t="shared" si="44"/>
        <v>0</v>
      </c>
      <c r="DD67" s="386">
        <f>Subrates!$C$105</f>
        <v>2885.2856380177936</v>
      </c>
      <c r="DE67" s="400">
        <f t="shared" si="45"/>
        <v>0</v>
      </c>
      <c r="DF67" s="1165">
        <f t="shared" si="46"/>
        <v>0.15</v>
      </c>
      <c r="DG67" s="390"/>
      <c r="DH67" s="388"/>
      <c r="DI67" s="381">
        <f t="shared" si="47"/>
        <v>0</v>
      </c>
      <c r="DJ67" s="383" t="s">
        <v>125</v>
      </c>
      <c r="DK67" s="384"/>
      <c r="DL67" s="383" t="s">
        <v>348</v>
      </c>
      <c r="DM67" s="386">
        <f t="shared" si="48"/>
        <v>4.8064250364478198</v>
      </c>
      <c r="DN67" s="401">
        <f t="shared" si="49"/>
        <v>0</v>
      </c>
      <c r="DO67" s="389" t="s">
        <v>2026</v>
      </c>
      <c r="DP67" s="1170" t="s">
        <v>485</v>
      </c>
      <c r="DQ67" s="386">
        <f>IF(DO67=Local,0,VLOOKUP(DP67,Long_distance_values_subs,Subrates!$C$5,FALSE))</f>
        <v>0</v>
      </c>
      <c r="DR67" s="386">
        <f>IF(DO67=Local,0,Subrates!$D$122)</f>
        <v>0</v>
      </c>
      <c r="DS67" s="1173"/>
      <c r="DT67" s="402">
        <f>IF(DS67="",DI67*VLOOKUP(DP67,Long_distance_values_subs,Subrates!$H$5,FALSE)*DQ67+DI67*DR67,DI67*DS67)</f>
        <v>0</v>
      </c>
      <c r="DU67" s="351">
        <f t="shared" si="50"/>
        <v>0</v>
      </c>
      <c r="DV67" s="388"/>
      <c r="DW67" s="391" t="s">
        <v>48</v>
      </c>
      <c r="DX67" s="1166" t="str">
        <f>IF(DW67=Lists!$B$18,"N/A",VLOOKUP(DW67,Lists!$B$18:$D$26,Lists!$C$3,FALSE))</f>
        <v>N/A</v>
      </c>
      <c r="DY67" s="386">
        <f>IF(DW67=Lists!$B$18,0,VLOOKUP(DX67,Amend_TOV,TOV!$F$1,FALSE))</f>
        <v>0</v>
      </c>
      <c r="DZ67" s="117"/>
      <c r="EA67" s="388"/>
      <c r="EB67" s="391" t="s">
        <v>48</v>
      </c>
      <c r="EC67" s="1166" t="str">
        <f>IF(EB67=Lists!$B$18,"N/A",VLOOKUP(EB67,Lists!$B$18:$D$26,Lists!$C$3,FALSE))</f>
        <v>N/A</v>
      </c>
      <c r="ED67" s="386">
        <f>IF(EB67=Lists!$B$18,0,VLOOKUP(EC67,Amend_TOV,TOV!$F$1,FALSE))</f>
        <v>0</v>
      </c>
      <c r="EE67" s="117"/>
      <c r="EF67" s="388"/>
      <c r="EG67" s="391" t="s">
        <v>48</v>
      </c>
      <c r="EH67" s="1166" t="str">
        <f>IF(EG67=Lists!$B$18,"N/A",VLOOKUP(EG67,Lists!$B$18:$D$26,Lists!$C$3,FALSE))</f>
        <v>N/A</v>
      </c>
      <c r="EI67" s="386">
        <f>IF(EG67=Lists!$B$18,0,VLOOKUP(EH67,Amend_TOV,TOV!$F$1,FALSE))</f>
        <v>0</v>
      </c>
      <c r="EJ67" s="117"/>
      <c r="EK67" s="351">
        <f t="shared" si="51"/>
        <v>0</v>
      </c>
      <c r="EL67" s="328">
        <f t="shared" si="52"/>
        <v>0</v>
      </c>
      <c r="EM67" s="392">
        <v>1</v>
      </c>
      <c r="EN67" s="392"/>
      <c r="EO67" s="393">
        <f t="shared" si="53"/>
        <v>0</v>
      </c>
      <c r="EP67" s="232" t="str">
        <f t="shared" si="67"/>
        <v>No Alert</v>
      </c>
      <c r="EQ67" s="351">
        <f t="shared" si="54"/>
        <v>0</v>
      </c>
      <c r="ER67" s="351">
        <f t="shared" si="55"/>
        <v>0</v>
      </c>
      <c r="ES67" s="1154">
        <f t="shared" si="56"/>
        <v>0</v>
      </c>
      <c r="ET67" s="1172"/>
      <c r="EU67" s="351">
        <f t="shared" si="68"/>
        <v>0</v>
      </c>
      <c r="EV67" s="386">
        <f t="shared" si="57"/>
        <v>3650</v>
      </c>
      <c r="EW67" s="117"/>
      <c r="EX67" s="403">
        <f t="shared" si="58"/>
        <v>0</v>
      </c>
      <c r="EY67" s="394"/>
      <c r="EZ67" s="395">
        <f t="shared" si="69"/>
        <v>0</v>
      </c>
      <c r="FA67" s="1167">
        <f t="shared" si="59"/>
        <v>0</v>
      </c>
      <c r="FB67" s="1168">
        <f t="shared" si="60"/>
        <v>0</v>
      </c>
      <c r="FC67" s="396"/>
      <c r="FD67" s="397"/>
      <c r="FE67" s="397"/>
      <c r="FF67" s="397"/>
      <c r="FG67" s="397"/>
      <c r="FH67" s="397"/>
      <c r="FI67" s="397"/>
      <c r="FJ67" s="398"/>
    </row>
    <row r="68" spans="1:166" s="520" customFormat="1" ht="15">
      <c r="B68" s="310"/>
      <c r="C68" s="1164">
        <f t="shared" si="61"/>
        <v>16</v>
      </c>
      <c r="D68" s="379"/>
      <c r="E68" s="328"/>
      <c r="F68" s="255" t="s">
        <v>1879</v>
      </c>
      <c r="G68" s="328"/>
      <c r="H68" s="380">
        <f t="shared" si="2"/>
        <v>1</v>
      </c>
      <c r="I68" s="328"/>
      <c r="J68" s="380">
        <f t="shared" si="62"/>
        <v>1</v>
      </c>
      <c r="K68" s="388"/>
      <c r="L68" s="381">
        <f t="shared" si="3"/>
        <v>0</v>
      </c>
      <c r="M68" s="328"/>
      <c r="N68" s="380">
        <f t="shared" si="4"/>
        <v>0.5</v>
      </c>
      <c r="O68" s="382"/>
      <c r="P68" s="380">
        <f t="shared" si="63"/>
        <v>0.5</v>
      </c>
      <c r="Q68" s="388"/>
      <c r="R68" s="381">
        <f t="shared" si="5"/>
        <v>0</v>
      </c>
      <c r="S68" s="383" t="s">
        <v>125</v>
      </c>
      <c r="T68" s="383" t="s">
        <v>349</v>
      </c>
      <c r="U68" s="386">
        <f t="shared" si="6"/>
        <v>6.2664411871606829</v>
      </c>
      <c r="V68" s="351">
        <f t="shared" si="7"/>
        <v>0</v>
      </c>
      <c r="W68" s="383" t="s">
        <v>428</v>
      </c>
      <c r="X68" s="383" t="s">
        <v>411</v>
      </c>
      <c r="Y68" s="384"/>
      <c r="Z68" s="383" t="s">
        <v>3</v>
      </c>
      <c r="AA68" s="387">
        <f t="shared" si="8"/>
        <v>1.9221853757639424</v>
      </c>
      <c r="AB68" s="351">
        <f t="shared" si="9"/>
        <v>0</v>
      </c>
      <c r="AC68" s="387">
        <f t="shared" si="10"/>
        <v>8904.769113128099</v>
      </c>
      <c r="AD68" s="351">
        <f t="shared" si="11"/>
        <v>0</v>
      </c>
      <c r="AE68" s="328">
        <f t="shared" si="12"/>
        <v>0</v>
      </c>
      <c r="AF68" s="1165">
        <f t="shared" si="13"/>
        <v>0.5</v>
      </c>
      <c r="AG68" s="382"/>
      <c r="AH68" s="380">
        <f t="shared" si="14"/>
        <v>0.5</v>
      </c>
      <c r="AI68" s="388"/>
      <c r="AJ68" s="381">
        <f t="shared" si="15"/>
        <v>0</v>
      </c>
      <c r="AK68" s="383" t="s">
        <v>125</v>
      </c>
      <c r="AL68" s="383" t="s">
        <v>349</v>
      </c>
      <c r="AM68" s="386">
        <f t="shared" si="16"/>
        <v>6.2664411871606829</v>
      </c>
      <c r="AN68" s="401">
        <f t="shared" si="17"/>
        <v>0</v>
      </c>
      <c r="AO68" s="383" t="s">
        <v>411</v>
      </c>
      <c r="AP68" s="1170"/>
      <c r="AQ68" s="383" t="s">
        <v>3</v>
      </c>
      <c r="AR68" s="387">
        <f t="shared" si="18"/>
        <v>1.9221853757639424</v>
      </c>
      <c r="AS68" s="401">
        <f t="shared" si="19"/>
        <v>0</v>
      </c>
      <c r="AT68" s="351">
        <f t="shared" si="20"/>
        <v>0</v>
      </c>
      <c r="AU68" s="328">
        <f t="shared" si="64"/>
        <v>0</v>
      </c>
      <c r="AV68" s="1165">
        <f t="shared" si="21"/>
        <v>0.6</v>
      </c>
      <c r="AW68" s="382"/>
      <c r="AX68" s="380">
        <f t="shared" si="22"/>
        <v>0.6</v>
      </c>
      <c r="AY68" s="388"/>
      <c r="AZ68" s="381">
        <f t="shared" si="23"/>
        <v>0</v>
      </c>
      <c r="BA68" s="386">
        <f>Subrates!$C$97</f>
        <v>4.7138306819209967</v>
      </c>
      <c r="BB68" s="402">
        <f t="shared" si="24"/>
        <v>0</v>
      </c>
      <c r="BC68" s="383" t="s">
        <v>125</v>
      </c>
      <c r="BD68" s="383" t="s">
        <v>349</v>
      </c>
      <c r="BE68" s="386">
        <f t="shared" si="25"/>
        <v>6.2664411871606829</v>
      </c>
      <c r="BF68" s="402">
        <f t="shared" si="26"/>
        <v>0</v>
      </c>
      <c r="BG68" s="383" t="s">
        <v>411</v>
      </c>
      <c r="BH68" s="384"/>
      <c r="BI68" s="385" t="s">
        <v>3</v>
      </c>
      <c r="BJ68" s="387">
        <f t="shared" si="27"/>
        <v>1.9221853757639424</v>
      </c>
      <c r="BK68" s="402">
        <f t="shared" si="28"/>
        <v>0</v>
      </c>
      <c r="BL68" s="351">
        <f t="shared" si="29"/>
        <v>0</v>
      </c>
      <c r="BM68" s="328">
        <f t="shared" si="65"/>
        <v>0</v>
      </c>
      <c r="BN68" s="1165">
        <f t="shared" si="30"/>
        <v>0.5</v>
      </c>
      <c r="BO68" s="382"/>
      <c r="BP68" s="380">
        <f t="shared" si="31"/>
        <v>0.5</v>
      </c>
      <c r="BQ68" s="388"/>
      <c r="BR68" s="381">
        <f t="shared" si="32"/>
        <v>0</v>
      </c>
      <c r="BS68" s="386">
        <f>IF(BU68=Local,Subrates!$C$98,Subrates!$C$99)</f>
        <v>8.0873484007548591</v>
      </c>
      <c r="BT68" s="402">
        <f t="shared" si="33"/>
        <v>0</v>
      </c>
      <c r="BU68" s="389" t="s">
        <v>2026</v>
      </c>
      <c r="BV68" s="1170" t="s">
        <v>485</v>
      </c>
      <c r="BW68" s="386">
        <f>IF(BU68=Local,0,VLOOKUP(BV68,Long_distance_values_subs,Subrates!$C$5,FALSE))</f>
        <v>0</v>
      </c>
      <c r="BX68" s="386">
        <f>IF(BU68=Local,0,Subrates!$D$121)</f>
        <v>0</v>
      </c>
      <c r="BY68" s="1173"/>
      <c r="BZ68" s="402">
        <f>IF(BY68="",BW68*BR68*VLOOKUP(BV68,Long_distance_values_subs,Subrates!$H$5)+BX68*BR68,BY68*BR68)</f>
        <v>0</v>
      </c>
      <c r="CA68" s="351">
        <f t="shared" si="34"/>
        <v>0</v>
      </c>
      <c r="CB68" s="328">
        <f t="shared" si="66"/>
        <v>0</v>
      </c>
      <c r="CC68" s="1165">
        <f t="shared" si="35"/>
        <v>1.5</v>
      </c>
      <c r="CD68" s="382"/>
      <c r="CE68" s="380">
        <f t="shared" si="36"/>
        <v>1.5</v>
      </c>
      <c r="CF68" s="388"/>
      <c r="CG68" s="381">
        <f t="shared" si="37"/>
        <v>0</v>
      </c>
      <c r="CH68" s="383" t="s">
        <v>125</v>
      </c>
      <c r="CI68" s="384"/>
      <c r="CJ68" s="383" t="s">
        <v>349</v>
      </c>
      <c r="CK68" s="386">
        <f t="shared" si="38"/>
        <v>6.2664411871606829</v>
      </c>
      <c r="CL68" s="401">
        <f t="shared" si="39"/>
        <v>0</v>
      </c>
      <c r="CM68" s="383" t="s">
        <v>411</v>
      </c>
      <c r="CN68" s="1170"/>
      <c r="CO68" s="383" t="s">
        <v>3</v>
      </c>
      <c r="CP68" s="1171"/>
      <c r="CQ68" s="386">
        <f t="shared" si="40"/>
        <v>1.9221853757639424</v>
      </c>
      <c r="CR68" s="401">
        <f t="shared" si="41"/>
        <v>0</v>
      </c>
      <c r="CS68" s="351">
        <f t="shared" si="42"/>
        <v>0</v>
      </c>
      <c r="CT68" s="388"/>
      <c r="CU68" s="386">
        <f>Subrates!$C$94</f>
        <v>2.2000000000000002</v>
      </c>
      <c r="CV68" s="388"/>
      <c r="CW68" s="386">
        <f>Subrates!$C$95</f>
        <v>13.200000000000001</v>
      </c>
      <c r="CX68" s="388"/>
      <c r="CY68" s="386">
        <f>Subrates!$C$96</f>
        <v>14.3</v>
      </c>
      <c r="CZ68" s="351">
        <f t="shared" si="43"/>
        <v>0</v>
      </c>
      <c r="DA68" s="328"/>
      <c r="DB68" s="399">
        <f>Subrates!$C$106</f>
        <v>21234.52910306484</v>
      </c>
      <c r="DC68" s="351">
        <f t="shared" si="44"/>
        <v>0</v>
      </c>
      <c r="DD68" s="386">
        <f>Subrates!$C$105</f>
        <v>2885.2856380177936</v>
      </c>
      <c r="DE68" s="400">
        <f t="shared" si="45"/>
        <v>0</v>
      </c>
      <c r="DF68" s="1165">
        <f t="shared" si="46"/>
        <v>0.15</v>
      </c>
      <c r="DG68" s="390"/>
      <c r="DH68" s="388"/>
      <c r="DI68" s="381">
        <f t="shared" si="47"/>
        <v>0</v>
      </c>
      <c r="DJ68" s="383" t="s">
        <v>125</v>
      </c>
      <c r="DK68" s="384"/>
      <c r="DL68" s="383" t="s">
        <v>348</v>
      </c>
      <c r="DM68" s="386">
        <f t="shared" si="48"/>
        <v>4.8064250364478198</v>
      </c>
      <c r="DN68" s="401">
        <f t="shared" si="49"/>
        <v>0</v>
      </c>
      <c r="DO68" s="389" t="s">
        <v>2026</v>
      </c>
      <c r="DP68" s="1170" t="s">
        <v>485</v>
      </c>
      <c r="DQ68" s="386">
        <f>IF(DO68=Local,0,VLOOKUP(DP68,Long_distance_values_subs,Subrates!$C$5,FALSE))</f>
        <v>0</v>
      </c>
      <c r="DR68" s="386">
        <f>IF(DO68=Local,0,Subrates!$D$122)</f>
        <v>0</v>
      </c>
      <c r="DS68" s="1173"/>
      <c r="DT68" s="402">
        <f>IF(DS68="",DI68*VLOOKUP(DP68,Long_distance_values_subs,Subrates!$H$5,FALSE)*DQ68+DI68*DR68,DI68*DS68)</f>
        <v>0</v>
      </c>
      <c r="DU68" s="351">
        <f t="shared" si="50"/>
        <v>0</v>
      </c>
      <c r="DV68" s="388"/>
      <c r="DW68" s="391" t="s">
        <v>48</v>
      </c>
      <c r="DX68" s="1166" t="str">
        <f>IF(DW68=Lists!$B$18,"N/A",VLOOKUP(DW68,Lists!$B$18:$D$26,Lists!$C$3,FALSE))</f>
        <v>N/A</v>
      </c>
      <c r="DY68" s="386">
        <f>IF(DW68=Lists!$B$18,0,VLOOKUP(DX68,Amend_TOV,TOV!$F$1,FALSE))</f>
        <v>0</v>
      </c>
      <c r="DZ68" s="117"/>
      <c r="EA68" s="388"/>
      <c r="EB68" s="391" t="s">
        <v>48</v>
      </c>
      <c r="EC68" s="1166" t="str">
        <f>IF(EB68=Lists!$B$18,"N/A",VLOOKUP(EB68,Lists!$B$18:$D$26,Lists!$C$3,FALSE))</f>
        <v>N/A</v>
      </c>
      <c r="ED68" s="386">
        <f>IF(EB68=Lists!$B$18,0,VLOOKUP(EC68,Amend_TOV,TOV!$F$1,FALSE))</f>
        <v>0</v>
      </c>
      <c r="EE68" s="117"/>
      <c r="EF68" s="388"/>
      <c r="EG68" s="391" t="s">
        <v>48</v>
      </c>
      <c r="EH68" s="1166" t="str">
        <f>IF(EG68=Lists!$B$18,"N/A",VLOOKUP(EG68,Lists!$B$18:$D$26,Lists!$C$3,FALSE))</f>
        <v>N/A</v>
      </c>
      <c r="EI68" s="386">
        <f>IF(EG68=Lists!$B$18,0,VLOOKUP(EH68,Amend_TOV,TOV!$F$1,FALSE))</f>
        <v>0</v>
      </c>
      <c r="EJ68" s="117"/>
      <c r="EK68" s="351">
        <f t="shared" si="51"/>
        <v>0</v>
      </c>
      <c r="EL68" s="328">
        <f t="shared" si="52"/>
        <v>0</v>
      </c>
      <c r="EM68" s="392">
        <v>1</v>
      </c>
      <c r="EN68" s="392"/>
      <c r="EO68" s="393">
        <f t="shared" si="53"/>
        <v>0</v>
      </c>
      <c r="EP68" s="232" t="str">
        <f t="shared" si="67"/>
        <v>No Alert</v>
      </c>
      <c r="EQ68" s="351">
        <f t="shared" si="54"/>
        <v>0</v>
      </c>
      <c r="ER68" s="351">
        <f t="shared" si="55"/>
        <v>0</v>
      </c>
      <c r="ES68" s="1154">
        <f t="shared" si="56"/>
        <v>0</v>
      </c>
      <c r="ET68" s="1172"/>
      <c r="EU68" s="351">
        <f t="shared" si="68"/>
        <v>0</v>
      </c>
      <c r="EV68" s="386">
        <f t="shared" si="57"/>
        <v>3650</v>
      </c>
      <c r="EW68" s="117"/>
      <c r="EX68" s="403">
        <f t="shared" si="58"/>
        <v>0</v>
      </c>
      <c r="EY68" s="394"/>
      <c r="EZ68" s="395">
        <f t="shared" si="69"/>
        <v>0</v>
      </c>
      <c r="FA68" s="1167">
        <f t="shared" si="59"/>
        <v>0</v>
      </c>
      <c r="FB68" s="1168">
        <f t="shared" si="60"/>
        <v>0</v>
      </c>
      <c r="FC68" s="396"/>
      <c r="FD68" s="397"/>
      <c r="FE68" s="397"/>
      <c r="FF68" s="397"/>
      <c r="FG68" s="397"/>
      <c r="FH68" s="397"/>
      <c r="FI68" s="397"/>
      <c r="FJ68" s="398"/>
    </row>
    <row r="69" spans="1:166" s="520" customFormat="1" ht="15">
      <c r="B69" s="310"/>
      <c r="C69" s="1164">
        <f t="shared" si="61"/>
        <v>17</v>
      </c>
      <c r="D69" s="379"/>
      <c r="E69" s="328"/>
      <c r="F69" s="255" t="s">
        <v>1879</v>
      </c>
      <c r="G69" s="328"/>
      <c r="H69" s="380">
        <f t="shared" si="2"/>
        <v>1</v>
      </c>
      <c r="I69" s="328"/>
      <c r="J69" s="380">
        <f t="shared" si="62"/>
        <v>1</v>
      </c>
      <c r="K69" s="388"/>
      <c r="L69" s="381">
        <f t="shared" si="3"/>
        <v>0</v>
      </c>
      <c r="M69" s="328"/>
      <c r="N69" s="380">
        <f t="shared" si="4"/>
        <v>0.5</v>
      </c>
      <c r="O69" s="382"/>
      <c r="P69" s="380">
        <f t="shared" si="63"/>
        <v>0.5</v>
      </c>
      <c r="Q69" s="388"/>
      <c r="R69" s="381">
        <f t="shared" si="5"/>
        <v>0</v>
      </c>
      <c r="S69" s="383" t="s">
        <v>125</v>
      </c>
      <c r="T69" s="383" t="s">
        <v>349</v>
      </c>
      <c r="U69" s="386">
        <f t="shared" si="6"/>
        <v>6.2664411871606829</v>
      </c>
      <c r="V69" s="351">
        <f t="shared" si="7"/>
        <v>0</v>
      </c>
      <c r="W69" s="383" t="s">
        <v>428</v>
      </c>
      <c r="X69" s="383" t="s">
        <v>411</v>
      </c>
      <c r="Y69" s="384"/>
      <c r="Z69" s="383" t="s">
        <v>3</v>
      </c>
      <c r="AA69" s="387">
        <f t="shared" si="8"/>
        <v>1.9221853757639424</v>
      </c>
      <c r="AB69" s="351">
        <f t="shared" si="9"/>
        <v>0</v>
      </c>
      <c r="AC69" s="387">
        <f t="shared" si="10"/>
        <v>8904.769113128099</v>
      </c>
      <c r="AD69" s="351">
        <f t="shared" si="11"/>
        <v>0</v>
      </c>
      <c r="AE69" s="328">
        <f t="shared" si="12"/>
        <v>0</v>
      </c>
      <c r="AF69" s="1165">
        <f t="shared" si="13"/>
        <v>0.5</v>
      </c>
      <c r="AG69" s="382"/>
      <c r="AH69" s="380">
        <f t="shared" si="14"/>
        <v>0.5</v>
      </c>
      <c r="AI69" s="388"/>
      <c r="AJ69" s="381">
        <f t="shared" si="15"/>
        <v>0</v>
      </c>
      <c r="AK69" s="383" t="s">
        <v>125</v>
      </c>
      <c r="AL69" s="383" t="s">
        <v>349</v>
      </c>
      <c r="AM69" s="386">
        <f t="shared" si="16"/>
        <v>6.2664411871606829</v>
      </c>
      <c r="AN69" s="401">
        <f t="shared" si="17"/>
        <v>0</v>
      </c>
      <c r="AO69" s="383" t="s">
        <v>411</v>
      </c>
      <c r="AP69" s="1170"/>
      <c r="AQ69" s="383" t="s">
        <v>3</v>
      </c>
      <c r="AR69" s="387">
        <f t="shared" si="18"/>
        <v>1.9221853757639424</v>
      </c>
      <c r="AS69" s="401">
        <f t="shared" si="19"/>
        <v>0</v>
      </c>
      <c r="AT69" s="351">
        <f t="shared" si="20"/>
        <v>0</v>
      </c>
      <c r="AU69" s="328">
        <f t="shared" si="64"/>
        <v>0</v>
      </c>
      <c r="AV69" s="1165">
        <f t="shared" si="21"/>
        <v>0.6</v>
      </c>
      <c r="AW69" s="382"/>
      <c r="AX69" s="380">
        <f t="shared" si="22"/>
        <v>0.6</v>
      </c>
      <c r="AY69" s="388"/>
      <c r="AZ69" s="381">
        <f t="shared" si="23"/>
        <v>0</v>
      </c>
      <c r="BA69" s="386">
        <f>Subrates!$C$97</f>
        <v>4.7138306819209967</v>
      </c>
      <c r="BB69" s="402">
        <f t="shared" si="24"/>
        <v>0</v>
      </c>
      <c r="BC69" s="383" t="s">
        <v>125</v>
      </c>
      <c r="BD69" s="383" t="s">
        <v>349</v>
      </c>
      <c r="BE69" s="386">
        <f t="shared" si="25"/>
        <v>6.2664411871606829</v>
      </c>
      <c r="BF69" s="402">
        <f t="shared" si="26"/>
        <v>0</v>
      </c>
      <c r="BG69" s="383" t="s">
        <v>411</v>
      </c>
      <c r="BH69" s="384"/>
      <c r="BI69" s="385" t="s">
        <v>3</v>
      </c>
      <c r="BJ69" s="387">
        <f t="shared" si="27"/>
        <v>1.9221853757639424</v>
      </c>
      <c r="BK69" s="402">
        <f t="shared" si="28"/>
        <v>0</v>
      </c>
      <c r="BL69" s="351">
        <f t="shared" si="29"/>
        <v>0</v>
      </c>
      <c r="BM69" s="328">
        <f t="shared" si="65"/>
        <v>0</v>
      </c>
      <c r="BN69" s="1165">
        <f t="shared" si="30"/>
        <v>0.5</v>
      </c>
      <c r="BO69" s="382"/>
      <c r="BP69" s="380">
        <f t="shared" si="31"/>
        <v>0.5</v>
      </c>
      <c r="BQ69" s="388"/>
      <c r="BR69" s="381">
        <f t="shared" si="32"/>
        <v>0</v>
      </c>
      <c r="BS69" s="386">
        <f>IF(BU69=Local,Subrates!$C$98,Subrates!$C$99)</f>
        <v>8.0873484007548591</v>
      </c>
      <c r="BT69" s="402">
        <f t="shared" si="33"/>
        <v>0</v>
      </c>
      <c r="BU69" s="389" t="s">
        <v>2026</v>
      </c>
      <c r="BV69" s="1170" t="s">
        <v>485</v>
      </c>
      <c r="BW69" s="386">
        <f>IF(BU69=Local,0,VLOOKUP(BV69,Long_distance_values_subs,Subrates!$C$5,FALSE))</f>
        <v>0</v>
      </c>
      <c r="BX69" s="386">
        <f>IF(BU69=Local,0,Subrates!$D$121)</f>
        <v>0</v>
      </c>
      <c r="BY69" s="1173"/>
      <c r="BZ69" s="402">
        <f>IF(BY69="",BW69*BR69*VLOOKUP(BV69,Long_distance_values_subs,Subrates!$H$5)+BX69*BR69,BY69*BR69)</f>
        <v>0</v>
      </c>
      <c r="CA69" s="351">
        <f t="shared" si="34"/>
        <v>0</v>
      </c>
      <c r="CB69" s="328">
        <f t="shared" si="66"/>
        <v>0</v>
      </c>
      <c r="CC69" s="1165">
        <f t="shared" si="35"/>
        <v>1.5</v>
      </c>
      <c r="CD69" s="382"/>
      <c r="CE69" s="380">
        <f t="shared" si="36"/>
        <v>1.5</v>
      </c>
      <c r="CF69" s="388"/>
      <c r="CG69" s="381">
        <f t="shared" si="37"/>
        <v>0</v>
      </c>
      <c r="CH69" s="383" t="s">
        <v>125</v>
      </c>
      <c r="CI69" s="384"/>
      <c r="CJ69" s="383" t="s">
        <v>349</v>
      </c>
      <c r="CK69" s="386">
        <f t="shared" si="38"/>
        <v>6.2664411871606829</v>
      </c>
      <c r="CL69" s="401">
        <f t="shared" si="39"/>
        <v>0</v>
      </c>
      <c r="CM69" s="383" t="s">
        <v>411</v>
      </c>
      <c r="CN69" s="1170"/>
      <c r="CO69" s="383" t="s">
        <v>3</v>
      </c>
      <c r="CP69" s="1171"/>
      <c r="CQ69" s="386">
        <f t="shared" si="40"/>
        <v>1.9221853757639424</v>
      </c>
      <c r="CR69" s="401">
        <f t="shared" si="41"/>
        <v>0</v>
      </c>
      <c r="CS69" s="351">
        <f t="shared" si="42"/>
        <v>0</v>
      </c>
      <c r="CT69" s="388"/>
      <c r="CU69" s="386">
        <f>Subrates!$C$94</f>
        <v>2.2000000000000002</v>
      </c>
      <c r="CV69" s="388"/>
      <c r="CW69" s="386">
        <f>Subrates!$C$95</f>
        <v>13.200000000000001</v>
      </c>
      <c r="CX69" s="388"/>
      <c r="CY69" s="386">
        <f>Subrates!$C$96</f>
        <v>14.3</v>
      </c>
      <c r="CZ69" s="351">
        <f t="shared" si="43"/>
        <v>0</v>
      </c>
      <c r="DA69" s="328"/>
      <c r="DB69" s="399">
        <f>Subrates!$C$106</f>
        <v>21234.52910306484</v>
      </c>
      <c r="DC69" s="351">
        <f t="shared" si="44"/>
        <v>0</v>
      </c>
      <c r="DD69" s="386">
        <f>Subrates!$C$105</f>
        <v>2885.2856380177936</v>
      </c>
      <c r="DE69" s="400">
        <f t="shared" si="45"/>
        <v>0</v>
      </c>
      <c r="DF69" s="1165">
        <f t="shared" si="46"/>
        <v>0.15</v>
      </c>
      <c r="DG69" s="390"/>
      <c r="DH69" s="388"/>
      <c r="DI69" s="381">
        <f t="shared" si="47"/>
        <v>0</v>
      </c>
      <c r="DJ69" s="383" t="s">
        <v>125</v>
      </c>
      <c r="DK69" s="384"/>
      <c r="DL69" s="383" t="s">
        <v>348</v>
      </c>
      <c r="DM69" s="386">
        <f t="shared" si="48"/>
        <v>4.8064250364478198</v>
      </c>
      <c r="DN69" s="401">
        <f t="shared" si="49"/>
        <v>0</v>
      </c>
      <c r="DO69" s="389" t="s">
        <v>2026</v>
      </c>
      <c r="DP69" s="1170" t="s">
        <v>485</v>
      </c>
      <c r="DQ69" s="386">
        <f>IF(DO69=Local,0,VLOOKUP(DP69,Long_distance_values_subs,Subrates!$C$5,FALSE))</f>
        <v>0</v>
      </c>
      <c r="DR69" s="386">
        <f>IF(DO69=Local,0,Subrates!$D$122)</f>
        <v>0</v>
      </c>
      <c r="DS69" s="1173"/>
      <c r="DT69" s="402">
        <f>IF(DS69="",DI69*VLOOKUP(DP69,Long_distance_values_subs,Subrates!$H$5,FALSE)*DQ69+DI69*DR69,DI69*DS69)</f>
        <v>0</v>
      </c>
      <c r="DU69" s="351">
        <f t="shared" si="50"/>
        <v>0</v>
      </c>
      <c r="DV69" s="388"/>
      <c r="DW69" s="391" t="s">
        <v>48</v>
      </c>
      <c r="DX69" s="1166" t="str">
        <f>IF(DW69=Lists!$B$18,"N/A",VLOOKUP(DW69,Lists!$B$18:$D$26,Lists!$C$3,FALSE))</f>
        <v>N/A</v>
      </c>
      <c r="DY69" s="386">
        <f>IF(DW69=Lists!$B$18,0,VLOOKUP(DX69,Amend_TOV,TOV!$F$1,FALSE))</f>
        <v>0</v>
      </c>
      <c r="DZ69" s="117"/>
      <c r="EA69" s="388"/>
      <c r="EB69" s="391" t="s">
        <v>48</v>
      </c>
      <c r="EC69" s="1166" t="str">
        <f>IF(EB69=Lists!$B$18,"N/A",VLOOKUP(EB69,Lists!$B$18:$D$26,Lists!$C$3,FALSE))</f>
        <v>N/A</v>
      </c>
      <c r="ED69" s="386">
        <f>IF(EB69=Lists!$B$18,0,VLOOKUP(EC69,Amend_TOV,TOV!$F$1,FALSE))</f>
        <v>0</v>
      </c>
      <c r="EE69" s="117"/>
      <c r="EF69" s="388"/>
      <c r="EG69" s="391" t="s">
        <v>48</v>
      </c>
      <c r="EH69" s="1166" t="str">
        <f>IF(EG69=Lists!$B$18,"N/A",VLOOKUP(EG69,Lists!$B$18:$D$26,Lists!$C$3,FALSE))</f>
        <v>N/A</v>
      </c>
      <c r="EI69" s="386">
        <f>IF(EG69=Lists!$B$18,0,VLOOKUP(EH69,Amend_TOV,TOV!$F$1,FALSE))</f>
        <v>0</v>
      </c>
      <c r="EJ69" s="117"/>
      <c r="EK69" s="351">
        <f t="shared" si="51"/>
        <v>0</v>
      </c>
      <c r="EL69" s="328">
        <f t="shared" si="52"/>
        <v>0</v>
      </c>
      <c r="EM69" s="392">
        <v>1</v>
      </c>
      <c r="EN69" s="392"/>
      <c r="EO69" s="393">
        <f t="shared" si="53"/>
        <v>0</v>
      </c>
      <c r="EP69" s="232" t="str">
        <f t="shared" si="67"/>
        <v>No Alert</v>
      </c>
      <c r="EQ69" s="351">
        <f t="shared" si="54"/>
        <v>0</v>
      </c>
      <c r="ER69" s="351">
        <f t="shared" si="55"/>
        <v>0</v>
      </c>
      <c r="ES69" s="1154">
        <f t="shared" si="56"/>
        <v>0</v>
      </c>
      <c r="ET69" s="1172"/>
      <c r="EU69" s="351">
        <f t="shared" si="68"/>
        <v>0</v>
      </c>
      <c r="EV69" s="386">
        <f t="shared" si="57"/>
        <v>3650</v>
      </c>
      <c r="EW69" s="117"/>
      <c r="EX69" s="403">
        <f t="shared" si="58"/>
        <v>0</v>
      </c>
      <c r="EY69" s="394"/>
      <c r="EZ69" s="395">
        <f t="shared" si="69"/>
        <v>0</v>
      </c>
      <c r="FA69" s="1167">
        <f t="shared" si="59"/>
        <v>0</v>
      </c>
      <c r="FB69" s="1168">
        <f t="shared" si="60"/>
        <v>0</v>
      </c>
      <c r="FC69" s="396"/>
      <c r="FD69" s="397"/>
      <c r="FE69" s="397"/>
      <c r="FF69" s="397"/>
      <c r="FG69" s="397"/>
      <c r="FH69" s="397"/>
      <c r="FI69" s="397"/>
      <c r="FJ69" s="398"/>
    </row>
    <row r="70" spans="1:166" s="520" customFormat="1" ht="16.149999999999999" customHeight="1">
      <c r="B70" s="736"/>
      <c r="C70" s="736"/>
      <c r="D70" s="736"/>
      <c r="E70" s="868"/>
      <c r="F70" s="873"/>
      <c r="G70" s="323"/>
      <c r="H70" s="323"/>
      <c r="I70" s="131"/>
      <c r="J70" s="131"/>
      <c r="K70" s="323"/>
      <c r="L70" s="323"/>
      <c r="M70" s="323"/>
      <c r="N70" s="323"/>
      <c r="O70" s="131"/>
      <c r="P70" s="131"/>
      <c r="Q70" s="323"/>
      <c r="R70" s="323"/>
      <c r="U70" s="768"/>
      <c r="V70" s="791"/>
      <c r="W70" s="736"/>
      <c r="X70" s="1098"/>
      <c r="AB70" s="872"/>
      <c r="AC70" s="872"/>
      <c r="AD70" s="54"/>
      <c r="AE70" s="323"/>
      <c r="AF70" s="131"/>
      <c r="AG70" s="131"/>
      <c r="AH70" s="131"/>
      <c r="AI70" s="323"/>
      <c r="AJ70" s="323"/>
      <c r="AK70" s="736"/>
      <c r="AL70" s="736"/>
      <c r="AN70" s="54"/>
      <c r="AO70" s="23"/>
      <c r="AP70" s="23"/>
      <c r="AS70" s="54"/>
      <c r="AT70" s="54"/>
      <c r="AU70" s="323"/>
      <c r="AV70" s="131"/>
      <c r="AW70" s="131"/>
      <c r="AX70" s="131"/>
      <c r="AY70" s="323"/>
      <c r="AZ70" s="323"/>
      <c r="BB70" s="54"/>
      <c r="BF70" s="54"/>
      <c r="BK70" s="54"/>
      <c r="BL70" s="54"/>
      <c r="BM70" s="323"/>
      <c r="BN70" s="131"/>
      <c r="BO70" s="131"/>
      <c r="BP70" s="131"/>
      <c r="BQ70" s="323"/>
      <c r="BR70" s="323"/>
      <c r="BT70" s="54"/>
      <c r="BX70" s="495"/>
      <c r="BZ70" s="54"/>
      <c r="CA70" s="54"/>
      <c r="CB70" s="323"/>
      <c r="CC70" s="131"/>
      <c r="CD70" s="131"/>
      <c r="CE70" s="131"/>
      <c r="CF70" s="323"/>
      <c r="CG70" s="323"/>
      <c r="CH70" s="736"/>
      <c r="CI70" s="768"/>
      <c r="CJ70" s="736"/>
      <c r="CL70" s="54"/>
      <c r="CM70" s="23"/>
      <c r="CN70" s="23"/>
      <c r="CR70" s="54"/>
      <c r="CS70" s="54"/>
      <c r="CT70" s="868"/>
      <c r="CV70" s="868"/>
      <c r="CX70" s="868"/>
      <c r="CZ70" s="54"/>
      <c r="DA70" s="870"/>
      <c r="DC70" s="495"/>
      <c r="DE70" s="23"/>
      <c r="DF70" s="925"/>
      <c r="DG70" s="131"/>
      <c r="DH70" s="323"/>
      <c r="DI70" s="323"/>
      <c r="DL70" s="495"/>
      <c r="DN70" s="54"/>
      <c r="DT70" s="872"/>
      <c r="DU70" s="1099"/>
      <c r="DV70" s="323"/>
      <c r="DW70" s="1098"/>
      <c r="DX70" s="1098"/>
      <c r="EA70" s="870"/>
      <c r="EB70" s="1098"/>
      <c r="EC70" s="1098"/>
      <c r="EF70" s="870"/>
      <c r="EG70" s="1098"/>
      <c r="EH70" s="1098"/>
      <c r="EK70" s="1099"/>
      <c r="EL70" s="870"/>
      <c r="EQ70" s="872"/>
      <c r="ER70" s="872"/>
      <c r="ES70" s="869"/>
      <c r="EU70" s="872"/>
      <c r="EV70" s="1099"/>
      <c r="EW70" s="495"/>
      <c r="EX70" s="872"/>
      <c r="EY70" s="1099"/>
      <c r="EZ70" s="109"/>
      <c r="FA70" s="872"/>
      <c r="FB70" s="872"/>
    </row>
    <row r="71" spans="1:166" s="520" customFormat="1" ht="16.149999999999999" customHeight="1">
      <c r="A71" s="793"/>
      <c r="E71" s="372">
        <f>SUM(E52:E69)</f>
        <v>0</v>
      </c>
      <c r="F71" s="873"/>
      <c r="G71" s="372">
        <f>SUM(G52:G69)</f>
        <v>0</v>
      </c>
      <c r="H71" s="372"/>
      <c r="I71" s="1100"/>
      <c r="J71" s="1100"/>
      <c r="K71" s="1153"/>
      <c r="L71" s="372">
        <f>SUM(L53:L70)</f>
        <v>0</v>
      </c>
      <c r="M71" s="372">
        <f>SUM(M53:M70)</f>
        <v>0</v>
      </c>
      <c r="N71" s="323"/>
      <c r="O71" s="131"/>
      <c r="P71" s="131"/>
      <c r="Q71" s="372">
        <f>SUM(Q53:Q70)</f>
        <v>0</v>
      </c>
      <c r="R71" s="372">
        <f>SUM(R53:R70)</f>
        <v>0</v>
      </c>
      <c r="U71" s="768"/>
      <c r="V71" s="351">
        <f>SUM(V52:V70)</f>
        <v>0</v>
      </c>
      <c r="W71" s="899"/>
      <c r="X71" s="899"/>
      <c r="AB71" s="351">
        <f>SUM(AB52:AB70)</f>
        <v>0</v>
      </c>
      <c r="AC71" s="872"/>
      <c r="AD71" s="351">
        <f>SUM(AD52:AD70)</f>
        <v>0</v>
      </c>
      <c r="AE71" s="372">
        <f>SUM(AE52:AE69)</f>
        <v>0</v>
      </c>
      <c r="AF71" s="898"/>
      <c r="AG71" s="898"/>
      <c r="AH71" s="898"/>
      <c r="AI71" s="329">
        <f>SUM(AI52:AI69)</f>
        <v>0</v>
      </c>
      <c r="AJ71" s="329">
        <f>SUM(AJ52:AJ69)</f>
        <v>0</v>
      </c>
      <c r="AN71" s="351">
        <f>SUM(AN52:AN70)</f>
        <v>0</v>
      </c>
      <c r="AS71" s="351">
        <f>SUM(AS52:AS70)</f>
        <v>0</v>
      </c>
      <c r="AT71" s="351">
        <f>SUM(AT52:AT70)</f>
        <v>0</v>
      </c>
      <c r="AU71" s="372">
        <f>SUM(AU53:AU70)</f>
        <v>0</v>
      </c>
      <c r="AV71" s="140"/>
      <c r="AW71" s="140"/>
      <c r="AX71" s="140"/>
      <c r="AY71" s="372">
        <f>SUM(AY52:AY69)</f>
        <v>0</v>
      </c>
      <c r="AZ71" s="372">
        <f>SUM(AZ52:AZ69)</f>
        <v>0</v>
      </c>
      <c r="BA71" s="768"/>
      <c r="BB71" s="351">
        <f>SUM(BB52:BB70)</f>
        <v>0</v>
      </c>
      <c r="BF71" s="351">
        <f>SUM(BF52:BF70)</f>
        <v>0</v>
      </c>
      <c r="BK71" s="351">
        <f>SUM(BK52:BK70)</f>
        <v>0</v>
      </c>
      <c r="BL71" s="351">
        <f>SUM(BL52:BL70)</f>
        <v>0</v>
      </c>
      <c r="BM71" s="372">
        <f>SUM(BM52:BM69)</f>
        <v>0</v>
      </c>
      <c r="BN71" s="140"/>
      <c r="BO71" s="140"/>
      <c r="BP71" s="140"/>
      <c r="BQ71" s="372">
        <f>SUM(BQ52:BQ69)</f>
        <v>0</v>
      </c>
      <c r="BR71" s="372">
        <f>SUM(BR52:BR69)</f>
        <v>0</v>
      </c>
      <c r="BT71" s="351">
        <f>SUM(BT52:BT70)</f>
        <v>0</v>
      </c>
      <c r="BX71" s="1101"/>
      <c r="BZ71" s="351">
        <f>SUM(BZ52:BZ70)</f>
        <v>0</v>
      </c>
      <c r="CA71" s="351">
        <f>SUM(CA52:CA70)</f>
        <v>0</v>
      </c>
      <c r="CB71" s="372">
        <f>SUM(CB52:CB69)</f>
        <v>0</v>
      </c>
      <c r="CC71" s="898"/>
      <c r="CD71" s="898"/>
      <c r="CE71" s="898"/>
      <c r="CF71" s="329">
        <f>SUM(CF52:CF69)</f>
        <v>0</v>
      </c>
      <c r="CG71" s="372">
        <f>SUM(CG52:CG69)</f>
        <v>0</v>
      </c>
      <c r="CL71" s="351">
        <f>SUM(CL52:CL70)</f>
        <v>0</v>
      </c>
      <c r="CR71" s="351">
        <f>SUM(CR52:CR70)</f>
        <v>0</v>
      </c>
      <c r="CS71" s="351">
        <f>SUM(CS52:CS70)</f>
        <v>0</v>
      </c>
      <c r="CT71" s="372">
        <f>SUM(CT52:CT69)</f>
        <v>0</v>
      </c>
      <c r="CV71" s="372">
        <f>SUM(CV52:CV69)</f>
        <v>0</v>
      </c>
      <c r="CX71" s="372">
        <f>SUM(CX52:CX69)</f>
        <v>0</v>
      </c>
      <c r="CZ71" s="351">
        <f>SUM(CZ52:CZ70)</f>
        <v>0</v>
      </c>
      <c r="DA71" s="372">
        <f>SUM(DA52:DA69)</f>
        <v>0</v>
      </c>
      <c r="DC71" s="351">
        <f>SUM(DC52:DC70)</f>
        <v>0</v>
      </c>
      <c r="DE71" s="351">
        <f>SUM(DE52:DE70)</f>
        <v>0</v>
      </c>
      <c r="DF71" s="898"/>
      <c r="DG71" s="898"/>
      <c r="DH71" s="868"/>
      <c r="DI71" s="372">
        <f>SUM(DI52:DI70)</f>
        <v>0</v>
      </c>
      <c r="DN71" s="351">
        <f>SUM(DN52:DN70)</f>
        <v>0</v>
      </c>
      <c r="DT71" s="351">
        <f>SUM(DT52:DT70)</f>
        <v>0</v>
      </c>
      <c r="DU71" s="351">
        <f>SUM(DU52:DU70)</f>
        <v>0</v>
      </c>
      <c r="DV71" s="372">
        <f>SUM(DV52:DV70)</f>
        <v>0</v>
      </c>
      <c r="DW71" s="1101"/>
      <c r="DX71" s="1101"/>
      <c r="EA71" s="329">
        <f>SUM(EA52:EA70)</f>
        <v>0</v>
      </c>
      <c r="EB71" s="1101"/>
      <c r="EC71" s="1101"/>
      <c r="EF71" s="329">
        <f>SUM(EF52:EF70)</f>
        <v>0</v>
      </c>
      <c r="EG71" s="1101"/>
      <c r="EH71" s="1101"/>
      <c r="EK71" s="351">
        <f>SUM(EK52:EK70)</f>
        <v>0</v>
      </c>
      <c r="EL71" s="372">
        <f>SUM(EL52:EL70)</f>
        <v>0</v>
      </c>
      <c r="EQ71" s="351">
        <f>SUM(EQ52:EQ70)</f>
        <v>0</v>
      </c>
      <c r="ER71" s="351">
        <f>SUM(ER52:ER70)</f>
        <v>0</v>
      </c>
      <c r="ES71" s="373">
        <f>SUM(ES52:ES70)</f>
        <v>0</v>
      </c>
      <c r="EU71" s="351">
        <f>SUM(EU52:EU70)</f>
        <v>0</v>
      </c>
      <c r="EV71" s="872"/>
      <c r="EX71" s="351">
        <f>SUM(EX52:EX70)</f>
        <v>0</v>
      </c>
      <c r="EY71" s="351">
        <f>SUM(EY52:EY70)</f>
        <v>0</v>
      </c>
      <c r="EZ71" s="264">
        <f>SUM(EZ52:EZ70)</f>
        <v>0</v>
      </c>
      <c r="FA71" s="404">
        <f>IF(E71=0,0,EZ71/E71)</f>
        <v>0</v>
      </c>
      <c r="FB71" s="872"/>
    </row>
    <row r="72" spans="1:166" ht="12.75">
      <c r="B72" s="1159"/>
      <c r="C72" s="1159"/>
      <c r="D72" s="1159"/>
      <c r="E72" s="1159"/>
      <c r="F72" s="1159"/>
      <c r="G72" s="1159"/>
      <c r="H72" s="1159"/>
      <c r="I72" s="1159"/>
      <c r="J72" s="1159"/>
      <c r="K72" s="1159"/>
      <c r="L72" s="1159"/>
      <c r="M72" s="1159"/>
      <c r="N72" s="1159"/>
      <c r="O72" s="1159"/>
      <c r="P72" s="1159"/>
      <c r="Q72" s="1160"/>
      <c r="R72" s="1160"/>
      <c r="S72" s="1159"/>
      <c r="T72" s="1159"/>
      <c r="U72" s="1159"/>
      <c r="V72" s="1159"/>
      <c r="W72" s="1159"/>
      <c r="X72" s="1159"/>
      <c r="Y72" s="1159"/>
      <c r="Z72" s="1159"/>
      <c r="AA72" s="1159"/>
      <c r="AB72" s="1159"/>
      <c r="AC72" s="1159"/>
      <c r="AD72" s="1159"/>
      <c r="AE72" s="1160"/>
      <c r="AF72" s="1160"/>
      <c r="AG72" s="1160"/>
      <c r="AH72" s="1160"/>
      <c r="AI72" s="1160"/>
      <c r="AJ72" s="1160"/>
      <c r="AK72" s="1159"/>
      <c r="AL72" s="1159"/>
      <c r="AM72" s="1159"/>
      <c r="AN72" s="1159"/>
      <c r="AO72" s="1159"/>
      <c r="AP72" s="1159"/>
      <c r="AQ72" s="1159"/>
      <c r="AR72" s="1159"/>
      <c r="AS72" s="1159"/>
      <c r="AT72" s="1159"/>
      <c r="AU72" s="1159"/>
      <c r="AV72" s="1159"/>
      <c r="AW72" s="1160"/>
      <c r="AX72" s="1160"/>
      <c r="AY72" s="1160"/>
      <c r="AZ72" s="1160"/>
      <c r="BA72" s="1159"/>
      <c r="BB72" s="1159"/>
      <c r="BC72" s="1159"/>
      <c r="BD72" s="1159"/>
      <c r="BE72" s="1159"/>
      <c r="BF72" s="1159"/>
      <c r="BG72" s="1159"/>
      <c r="BH72" s="1159"/>
      <c r="BI72" s="1159"/>
      <c r="BJ72" s="1159"/>
      <c r="BK72" s="1159"/>
      <c r="BL72" s="1159"/>
      <c r="BM72" s="1160"/>
      <c r="BN72" s="1160"/>
      <c r="BO72" s="1160"/>
      <c r="BP72" s="1160"/>
      <c r="BQ72" s="1160"/>
      <c r="BR72" s="1169"/>
      <c r="BS72" s="1159"/>
      <c r="BT72" s="1159"/>
      <c r="BU72" s="1160"/>
      <c r="BV72" s="1159"/>
      <c r="BW72" s="1159"/>
      <c r="BX72" s="1159"/>
      <c r="BY72" s="1159"/>
      <c r="BZ72" s="1159"/>
      <c r="CA72" s="1159"/>
      <c r="CB72" s="1160"/>
      <c r="CC72" s="1160"/>
      <c r="CD72" s="1160"/>
      <c r="CE72" s="1160"/>
      <c r="CF72" s="1160"/>
      <c r="CG72" s="1160"/>
      <c r="CH72" s="1159"/>
      <c r="CI72" s="1159"/>
      <c r="CJ72" s="1159"/>
      <c r="CK72" s="1159"/>
      <c r="CL72" s="1159"/>
      <c r="CM72" s="1159"/>
      <c r="CN72" s="1159"/>
      <c r="CO72" s="1159"/>
      <c r="CP72" s="1159"/>
      <c r="CQ72" s="1159"/>
      <c r="CR72" s="1159"/>
      <c r="CS72" s="1159"/>
      <c r="CT72" s="1160"/>
      <c r="CU72" s="1159"/>
      <c r="CV72" s="1160"/>
      <c r="CW72" s="1159"/>
      <c r="CX72" s="1160"/>
      <c r="CY72" s="1159"/>
      <c r="CZ72" s="1159"/>
      <c r="DA72" s="1160"/>
      <c r="DB72" s="1159"/>
      <c r="DC72" s="1159"/>
      <c r="DD72" s="1159"/>
      <c r="DE72" s="1159"/>
      <c r="DF72" s="1169"/>
      <c r="DG72" s="1160"/>
      <c r="DH72" s="1160"/>
      <c r="DI72" s="1160"/>
      <c r="DJ72" s="1160"/>
      <c r="DK72" s="1159"/>
      <c r="DL72" s="1160"/>
      <c r="DM72" s="1159"/>
      <c r="DN72" s="1161"/>
      <c r="DO72" s="1160"/>
      <c r="DP72" s="1160"/>
      <c r="DQ72" s="1159"/>
      <c r="DR72" s="1159"/>
      <c r="DS72" s="1159"/>
      <c r="DT72" s="1159"/>
      <c r="DU72" s="1159"/>
      <c r="DV72" s="1160"/>
      <c r="DW72" s="1159"/>
      <c r="DX72" s="1159"/>
      <c r="DY72" s="1159"/>
      <c r="DZ72" s="1159"/>
      <c r="EA72" s="1159"/>
      <c r="EB72" s="1159"/>
      <c r="EC72" s="1159"/>
      <c r="ED72" s="1159"/>
      <c r="EE72" s="1159"/>
      <c r="EF72" s="1159"/>
      <c r="EG72" s="1159"/>
      <c r="EH72" s="1159"/>
      <c r="EI72" s="1159"/>
      <c r="EJ72" s="1159"/>
      <c r="EK72" s="1159"/>
      <c r="EL72" s="1159"/>
      <c r="EM72" s="1159"/>
      <c r="EN72" s="1159"/>
      <c r="EO72" s="1159"/>
      <c r="EP72" s="1159"/>
      <c r="EQ72" s="1159"/>
      <c r="ER72" s="1159"/>
      <c r="ES72" s="1160"/>
      <c r="ET72" s="1160"/>
      <c r="EU72" s="1160"/>
      <c r="EV72" s="1159"/>
      <c r="EW72" s="1159"/>
      <c r="EX72" s="1159"/>
      <c r="EY72" s="1159"/>
      <c r="EZ72" s="1159"/>
      <c r="FA72" s="1159"/>
      <c r="FB72" s="1159"/>
      <c r="FC72" s="1159"/>
      <c r="FD72" s="1159"/>
      <c r="FE72" s="1159"/>
      <c r="FF72" s="1159"/>
      <c r="FG72" s="1159"/>
      <c r="FH72" s="1159"/>
      <c r="FI72" s="1159"/>
      <c r="FJ72" s="1159"/>
    </row>
    <row r="73" spans="1:166">
      <c r="AF73" s="475"/>
      <c r="AG73" s="475"/>
      <c r="AH73" s="475"/>
      <c r="AI73" s="475"/>
      <c r="AJ73" s="475"/>
      <c r="AK73" s="475"/>
      <c r="AX73" s="474"/>
      <c r="BD73" s="475"/>
      <c r="EK73" s="1068"/>
      <c r="EP73" s="475"/>
    </row>
    <row r="74" spans="1:166" ht="12.75">
      <c r="E74" s="475"/>
      <c r="F74" s="475"/>
      <c r="G74" s="475"/>
      <c r="H74" s="475"/>
      <c r="I74" s="475"/>
      <c r="J74" s="475"/>
      <c r="K74" s="475"/>
      <c r="L74" s="475"/>
      <c r="M74" s="475"/>
      <c r="N74" s="475"/>
      <c r="O74" s="475"/>
      <c r="P74" s="475"/>
      <c r="Q74" s="475"/>
      <c r="R74" s="475"/>
      <c r="S74" s="475"/>
      <c r="AE74" s="434"/>
      <c r="BK74" s="474"/>
      <c r="BW74" s="474"/>
      <c r="BX74" s="474"/>
      <c r="BY74" s="474"/>
      <c r="BZ74" s="474"/>
      <c r="CA74" s="474"/>
      <c r="CB74" s="474"/>
      <c r="CC74" s="474"/>
      <c r="CD74" s="474"/>
      <c r="CE74" s="474"/>
      <c r="CF74" s="474"/>
      <c r="CG74" s="474"/>
      <c r="CI74" s="474"/>
      <c r="CJ74" s="474"/>
      <c r="CK74" s="474"/>
      <c r="DQ74" s="1068"/>
      <c r="DR74" s="1068"/>
      <c r="EG74" s="474"/>
      <c r="EH74" s="474"/>
      <c r="EP74" s="475"/>
    </row>
    <row r="75" spans="1:166" s="434" customFormat="1" ht="15.6" customHeight="1">
      <c r="A75" s="642"/>
      <c r="B75" s="642"/>
      <c r="C75" s="642"/>
      <c r="D75" s="1103"/>
      <c r="E75" s="1103"/>
      <c r="F75" s="1103"/>
      <c r="G75" s="1104"/>
      <c r="H75" s="1104"/>
      <c r="I75" s="1104"/>
      <c r="J75" s="1104"/>
      <c r="K75" s="1104"/>
      <c r="L75" s="1104"/>
      <c r="M75" s="1104"/>
      <c r="N75" s="1104"/>
      <c r="O75" s="1104"/>
      <c r="P75" s="1104"/>
      <c r="Q75" s="1103"/>
      <c r="R75" s="649"/>
      <c r="AL75" s="475"/>
      <c r="AM75" s="475"/>
      <c r="AN75" s="475"/>
      <c r="AP75" s="475"/>
      <c r="AQ75" s="475"/>
      <c r="AR75" s="475"/>
      <c r="AS75" s="475"/>
      <c r="AT75" s="475"/>
      <c r="AU75" s="475"/>
      <c r="AV75" s="475"/>
      <c r="AW75" s="475"/>
      <c r="AX75" s="475"/>
      <c r="AY75" s="475"/>
      <c r="AZ75" s="475"/>
      <c r="BA75" s="475"/>
      <c r="BB75" s="475"/>
      <c r="BC75" s="475"/>
      <c r="BG75" s="475"/>
      <c r="BH75" s="475"/>
      <c r="BI75" s="475"/>
      <c r="BJ75" s="475"/>
      <c r="BK75" s="475"/>
      <c r="BL75" s="475"/>
      <c r="BM75" s="475"/>
      <c r="BN75" s="475"/>
      <c r="BO75" s="475"/>
      <c r="BP75" s="475"/>
      <c r="BQ75" s="475"/>
      <c r="BR75" s="475"/>
      <c r="BS75" s="475"/>
      <c r="BT75" s="475"/>
      <c r="BU75" s="475"/>
      <c r="BV75" s="475"/>
      <c r="BW75" s="475"/>
      <c r="CA75" s="475"/>
      <c r="CB75" s="475"/>
      <c r="CC75" s="475"/>
      <c r="CD75" s="475"/>
      <c r="CE75" s="475"/>
      <c r="CG75" s="475"/>
      <c r="CH75" s="475"/>
      <c r="CK75" s="475"/>
      <c r="CL75" s="475"/>
      <c r="CM75" s="475"/>
      <c r="CN75" s="475"/>
      <c r="CP75" s="475"/>
      <c r="CQ75" s="475"/>
      <c r="CR75" s="475"/>
      <c r="CS75" s="475"/>
      <c r="CT75" s="475"/>
      <c r="CU75" s="475"/>
      <c r="CV75" s="475"/>
      <c r="CW75" s="475"/>
      <c r="CX75" s="475"/>
      <c r="CY75" s="475"/>
      <c r="CZ75" s="475"/>
      <c r="DA75" s="475"/>
      <c r="DB75" s="475"/>
      <c r="DC75" s="475"/>
      <c r="DD75" s="475"/>
      <c r="DF75" s="475"/>
      <c r="DG75" s="475"/>
      <c r="DH75" s="475"/>
      <c r="DI75" s="475"/>
      <c r="DJ75" s="475"/>
      <c r="DK75" s="475"/>
      <c r="DL75" s="475"/>
      <c r="DM75" s="475"/>
      <c r="DN75" s="475"/>
      <c r="DO75" s="475"/>
      <c r="DP75" s="475"/>
      <c r="DQ75" s="475"/>
      <c r="DR75" s="475"/>
      <c r="DS75" s="475"/>
      <c r="DT75" s="475"/>
      <c r="DY75" s="475"/>
      <c r="DZ75" s="475"/>
      <c r="EA75" s="475"/>
      <c r="EB75" s="1068"/>
      <c r="ED75" s="475"/>
      <c r="EE75" s="475"/>
      <c r="EF75" s="475"/>
      <c r="EH75" s="474"/>
      <c r="EI75" s="475"/>
      <c r="EJ75" s="475"/>
      <c r="EK75" s="475"/>
      <c r="EL75" s="475"/>
      <c r="EM75" s="475"/>
      <c r="EN75" s="475"/>
      <c r="EO75" s="475"/>
      <c r="EP75" s="475"/>
      <c r="EQ75" s="475"/>
      <c r="ER75" s="475"/>
      <c r="ES75" s="475"/>
      <c r="ET75" s="475"/>
      <c r="EU75" s="475"/>
      <c r="EV75" s="475"/>
      <c r="EW75" s="475"/>
      <c r="EX75" s="475"/>
      <c r="EY75" s="475"/>
      <c r="EZ75" s="475"/>
      <c r="FA75" s="475"/>
      <c r="FB75" s="475"/>
      <c r="FC75" s="475"/>
      <c r="FD75" s="475"/>
      <c r="FE75" s="475"/>
    </row>
    <row r="76" spans="1:166">
      <c r="EP76" s="475"/>
      <c r="EQ76" s="1068"/>
    </row>
  </sheetData>
  <sheetProtection algorithmName="SHA-512" hashValue="M0HeTjJ8CMvzlB/Clb3PAXJRPBdwPF62xolefLqq3u3J/R4ouJFE1AfLZCWbbszkc+vJMf4qRlVcxiFQlkaFVg==" saltValue="vH7trtPt1pxyXuNlGHtKrg==" spinCount="100000" sheet="1" objects="1" scenarios="1" autoFilter="0"/>
  <dataConsolidate/>
  <phoneticPr fontId="15" type="noConversion"/>
  <conditionalFormatting sqref="I20:I39 EQ47:ER47 DZ53:DZ69 EE53:EE69 EJ53:EJ69 EW53:EW69">
    <cfRule type="cellIs" dxfId="255" priority="5" operator="notEqual">
      <formula>""</formula>
    </cfRule>
  </conditionalFormatting>
  <conditionalFormatting sqref="K20:AM39">
    <cfRule type="expression" dxfId="254" priority="4">
      <formula>$I20&lt;&gt;""</formula>
    </cfRule>
  </conditionalFormatting>
  <conditionalFormatting sqref="U52">
    <cfRule type="containsText" dxfId="253" priority="15" operator="containsText" text="ok">
      <formula>NOT(ISERROR(SEARCH("ok",U52)))</formula>
    </cfRule>
    <cfRule type="containsText" dxfId="252" priority="16" operator="containsText" text="Enter">
      <formula>NOT(ISERROR(SEARCH("Enter",U52)))</formula>
    </cfRule>
  </conditionalFormatting>
  <conditionalFormatting sqref="V53:V69">
    <cfRule type="containsText" dxfId="251" priority="55" operator="containsText" text="E">
      <formula>NOT(ISERROR(SEARCH("E",V53)))</formula>
    </cfRule>
  </conditionalFormatting>
  <conditionalFormatting sqref="AA53:AA69">
    <cfRule type="containsText" dxfId="250" priority="25" operator="containsText" text="E">
      <formula>NOT(ISERROR(SEARCH("E",AA53)))</formula>
    </cfRule>
    <cfRule type="containsText" dxfId="249" priority="26" operator="containsText" text="NR">
      <formula>NOT(ISERROR(SEARCH("NR",AA53)))</formula>
    </cfRule>
  </conditionalFormatting>
  <conditionalFormatting sqref="AM52">
    <cfRule type="containsText" dxfId="248" priority="13" operator="containsText" text="ok">
      <formula>NOT(ISERROR(SEARCH("ok",AM52)))</formula>
    </cfRule>
    <cfRule type="containsText" dxfId="247" priority="14" operator="containsText" text="Enter">
      <formula>NOT(ISERROR(SEARCH("Enter",AM52)))</formula>
    </cfRule>
  </conditionalFormatting>
  <conditionalFormatting sqref="AN53:AN69 AR53:AT69">
    <cfRule type="containsText" dxfId="246" priority="32" operator="containsText" text="NR">
      <formula>NOT(ISERROR(SEARCH("NR",AN53)))</formula>
    </cfRule>
  </conditionalFormatting>
  <conditionalFormatting sqref="AR53:AR69">
    <cfRule type="cellIs" dxfId="245" priority="24" operator="equal">
      <formula>"Dozer too small"</formula>
    </cfRule>
  </conditionalFormatting>
  <conditionalFormatting sqref="AS53:AS69">
    <cfRule type="containsText" dxfId="244" priority="31" operator="containsText" text="E">
      <formula>NOT(ISERROR(SEARCH("E",AS53)))</formula>
    </cfRule>
  </conditionalFormatting>
  <conditionalFormatting sqref="BE52">
    <cfRule type="containsText" dxfId="243" priority="11" operator="containsText" text="ok">
      <formula>NOT(ISERROR(SEARCH("ok",BE52)))</formula>
    </cfRule>
    <cfRule type="containsText" dxfId="242" priority="12" operator="containsText" text="Enter">
      <formula>NOT(ISERROR(SEARCH("Enter",BE52)))</formula>
    </cfRule>
  </conditionalFormatting>
  <conditionalFormatting sqref="BJ53:BJ69">
    <cfRule type="cellIs" dxfId="241" priority="22" operator="equal">
      <formula>"Dozer too small"</formula>
    </cfRule>
    <cfRule type="containsText" dxfId="240" priority="57" operator="containsText" text="NR">
      <formula>NOT(ISERROR(SEARCH("NR",BJ53)))</formula>
    </cfRule>
  </conditionalFormatting>
  <conditionalFormatting sqref="BU53:BU69">
    <cfRule type="containsText" dxfId="239" priority="61" operator="containsText" text="Long">
      <formula>NOT(ISERROR(SEARCH("Long",BU53)))</formula>
    </cfRule>
  </conditionalFormatting>
  <conditionalFormatting sqref="CK52">
    <cfRule type="containsText" dxfId="238" priority="9" operator="containsText" text="ok">
      <formula>NOT(ISERROR(SEARCH("ok",CK52)))</formula>
    </cfRule>
    <cfRule type="containsText" dxfId="237" priority="10" operator="containsText" text="Enter">
      <formula>NOT(ISERROR(SEARCH("Enter",CK52)))</formula>
    </cfRule>
  </conditionalFormatting>
  <conditionalFormatting sqref="CL53:CL69 CQ53:CS69">
    <cfRule type="containsText" dxfId="236" priority="62" operator="containsText" text="NR">
      <formula>NOT(ISERROR(SEARCH("NR",CL53)))</formula>
    </cfRule>
  </conditionalFormatting>
  <conditionalFormatting sqref="CQ53:CQ69">
    <cfRule type="cellIs" dxfId="235" priority="21" operator="equal">
      <formula>"Dozer too small"</formula>
    </cfRule>
  </conditionalFormatting>
  <conditionalFormatting sqref="CR53:CR69">
    <cfRule type="containsText" dxfId="234" priority="53" operator="containsText" text="E">
      <formula>NOT(ISERROR(SEARCH("E",CR53)))</formula>
    </cfRule>
  </conditionalFormatting>
  <conditionalFormatting sqref="DM52">
    <cfRule type="containsText" dxfId="233" priority="7" operator="containsText" text="ok">
      <formula>NOT(ISERROR(SEARCH("ok",DM52)))</formula>
    </cfRule>
    <cfRule type="containsText" dxfId="232" priority="8" operator="containsText" text="Enter">
      <formula>NOT(ISERROR(SEARCH("Enter",DM52)))</formula>
    </cfRule>
  </conditionalFormatting>
  <conditionalFormatting sqref="DO53:DO69">
    <cfRule type="containsText" dxfId="231" priority="60" operator="containsText" text="Long">
      <formula>NOT(ISERROR(SEARCH("Long",DO53)))</formula>
    </cfRule>
  </conditionalFormatting>
  <conditionalFormatting sqref="EP53:EP69">
    <cfRule type="containsText" dxfId="230" priority="63" operator="containsText" text="Error">
      <formula>NOT(ISERROR(SEARCH("Error",EP53)))</formula>
    </cfRule>
  </conditionalFormatting>
  <conditionalFormatting sqref="EQ44:ER44">
    <cfRule type="containsText" dxfId="229" priority="18" operator="containsText" text="Enter">
      <formula>NOT(ISERROR(SEARCH("Enter",EQ44)))</formula>
    </cfRule>
    <cfRule type="containsText" dxfId="228" priority="17" operator="containsText" text="No Alert">
      <formula>NOT(ISERROR(SEARCH("No Alert",EQ44)))</formula>
    </cfRule>
  </conditionalFormatting>
  <conditionalFormatting sqref="EU44">
    <cfRule type="containsText" dxfId="227" priority="2" operator="containsText" text="Enter">
      <formula>NOT(ISERROR(SEARCH("Enter",EU44)))</formula>
    </cfRule>
    <cfRule type="containsText" dxfId="226" priority="1" operator="containsText" text="No Alert">
      <formula>NOT(ISERROR(SEARCH("No Alert",EU44)))</formula>
    </cfRule>
  </conditionalFormatting>
  <conditionalFormatting sqref="EU47">
    <cfRule type="cellIs" dxfId="225" priority="3" operator="notEqual">
      <formula>""</formula>
    </cfRule>
  </conditionalFormatting>
  <conditionalFormatting sqref="FB53:FB69">
    <cfRule type="containsText" dxfId="224" priority="52" operator="containsText" text="Error">
      <formula>NOT(ISERROR(SEARCH("Error",FB53)))</formula>
    </cfRule>
    <cfRule type="containsText" dxfId="223" priority="54" operator="containsText" text="dozer">
      <formula>NOT(ISERROR(SEARCH("dozer",FB53)))</formula>
    </cfRule>
  </conditionalFormatting>
  <dataValidations count="31">
    <dataValidation type="list" allowBlank="1" showInputMessage="1" showErrorMessage="1" sqref="F40 F53:F69" xr:uid="{AB9D6C35-4A3B-45A7-A056-26856DB8556C}">
      <formula1>Cap_Risk_Category</formula1>
    </dataValidation>
    <dataValidation allowBlank="1" showInputMessage="1" showErrorMessage="1" promptTitle="TSF1" prompt="Enter the total footprint area of the TSF that would require rehabilitation." sqref="E18" xr:uid="{B71D0326-CA4F-4A0D-B28E-A21C1877B58E}"/>
    <dataValidation allowBlank="1" showInputMessage="1" showErrorMessage="1" promptTitle="TSF2" prompt="Use the dropdown menu to select the Risk Category for the TSF." sqref="F18" xr:uid="{36F6C288-DD6C-44B8-97E5-85B2D92BB7CF}"/>
    <dataValidation type="list" allowBlank="1" showInputMessage="1" showErrorMessage="1" sqref="F20:F39" xr:uid="{CAFA62D6-278B-4F4F-9C27-C9FD069906A4}">
      <formula1>Cap_risk_cat_tailings</formula1>
    </dataValidation>
    <dataValidation type="list" allowBlank="1" showInputMessage="1" showErrorMessage="1" sqref="EB53:EB68 EG53:EG68 DW53:DW69" xr:uid="{B3D286E6-1C6E-4CAA-9F49-0E7FC211FBBA}">
      <formula1>Amendments</formula1>
    </dataValidation>
    <dataValidation type="list" allowBlank="1" showInputMessage="1" showErrorMessage="1" sqref="DP53:DP68 BV53:BV69" xr:uid="{66000254-F1C8-48CB-9849-4D7529C68FE6}">
      <formula1>Long_distance</formula1>
    </dataValidation>
    <dataValidation type="list" allowBlank="1" showInputMessage="1" showErrorMessage="1" sqref="DO53:DO69 BU53:BU69" xr:uid="{78B4C6FD-78D4-49E5-8AAE-5B90AD14373E}">
      <formula1>LongHaul</formula1>
    </dataValidation>
    <dataValidation allowBlank="1" showInputMessage="1" showErrorMessage="1" prompt="The default is to the total footprint of the structure but the User can change the entry." sqref="DE51" xr:uid="{F758E68D-BE05-4D2E-8FF6-AE2C8007BA46}"/>
    <dataValidation type="list" allowBlank="1" showInputMessage="1" showErrorMessage="1" sqref="CJ70:CL70 AL70:AN70" xr:uid="{A8A0604A-96CD-4F31-A833-78E6A05A2245}">
      <formula1>Fleet_Size_all</formula1>
    </dataValidation>
    <dataValidation type="list" allowBlank="1" showInputMessage="1" showErrorMessage="1" sqref="Y53:Y69 W53:W69 W70:AD70" xr:uid="{57B704E6-F357-45BA-8EAA-30DDA680E266}">
      <formula1>Dozer_Slope</formula1>
    </dataValidation>
    <dataValidation type="list" allowBlank="1" showInputMessage="1" showErrorMessage="1" sqref="BC53:BC69 DJ53:DJ69 S53:S69 CH53:CH70 AK53:AK70" xr:uid="{98B6D47A-B94D-40C7-B734-AD27766955C6}">
      <formula1>Load_and_Haul</formula1>
    </dataValidation>
    <dataValidation type="list" allowBlank="1" showInputMessage="1" showErrorMessage="1" sqref="BI53:BI69 Z53:Z69 CO53:CO69 AQ53:AQ69" xr:uid="{95DA438D-0F64-4BFE-984F-B4032FA8D878}">
      <formula1>Dozers</formula1>
    </dataValidation>
    <dataValidation type="list" allowBlank="1" showInputMessage="1" showErrorMessage="1" sqref="X53:X69 BG53:BG69 CM53:CM69 AO53:AO69" xr:uid="{3C9A319F-0918-4CE7-8BF5-524319395F50}">
      <formula1>Dozer_Push_Length</formula1>
    </dataValidation>
    <dataValidation allowBlank="1" showInputMessage="1" showErrorMessage="1" prompt="Enter total area of drains and drop stuctures required on dump" sqref="DE51" xr:uid="{B7F0861A-23EB-4D21-86C7-D5AC7C38BFB0}"/>
    <dataValidation allowBlank="1" showInputMessage="1" showErrorMessage="1" prompt="Enter the average slope angle of the reprofiled structure" sqref="W51" xr:uid="{E4A96D1A-26DB-4E96-8F5C-E95C19FC05E1}"/>
    <dataValidation allowBlank="1" showInputMessage="1" showErrorMessage="1" prompt="The User can enter a volume directly here." sqref="AY51 BQ51 CF51 DH51 K51 Q51 AI51" xr:uid="{50113AA6-74A6-4971-A717-0E04BF46EF0E}"/>
    <dataValidation allowBlank="1" showInputMessage="1" showErrorMessage="1" prompt="If no User value is entered the default is used." sqref="J51 AX51 BP51 CE51 P51 AH51" xr:uid="{8DA49658-2B63-4530-A8E4-CAEFD6DB5D86}"/>
    <dataValidation allowBlank="1" showInputMessage="1" showErrorMessage="1" prompt="If no user volume is entered the volume is calculated using the area and thickness." sqref="AZ51 L51 P51:R51" xr:uid="{8A7A5256-D5FB-4FF4-ACB4-3DED011CB485}"/>
    <dataValidation allowBlank="1" showInputMessage="1" showErrorMessage="1" prompt="If a value is entered, the User must provide justification in the Capping Alerts sheet" sqref="BY51" xr:uid="{39AF743A-3BBC-4EEE-966A-C424D7D5FEEE}"/>
    <dataValidation allowBlank="1" showInputMessage="1" showErrorMessage="1" prompt="Enter total area of drains and drop stuctures required to manage water." sqref="DA51" xr:uid="{47157C30-49B8-4D75-B9A3-BB0EED14A999}"/>
    <dataValidation allowBlank="1" showInputMessage="1" showErrorMessage="1" prompt="Calculation takes this entry if entered, otherwise default above is used." sqref="ET51" xr:uid="{9468813E-2B99-47D4-AB12-E77F67F365D0}"/>
    <dataValidation allowBlank="1" showInputMessage="1" showErrorMessage="1" prompt="The default area for testing is the total footprint of the structure" sqref="ES51" xr:uid="{92EE4F2A-E96E-4D30-B1DE-EF6AB82EA310}"/>
    <dataValidation allowBlank="1" showInputMessage="1" showErrorMessage="1" prompt="Enter the total area of access ramps" sqref="J51:M51 P51:R51" xr:uid="{35321AB7-2729-43D4-9AE5-1502E39C3A17}"/>
    <dataValidation allowBlank="1" showInputMessage="1" showErrorMessage="1" promptTitle="Administrator Note:" prompt="These values are not linked to calculations. If changed, need to be updated. " sqref="M14" xr:uid="{B70466FF-FBB3-4215-9330-C8E035077495}"/>
    <dataValidation allowBlank="1" showInputMessage="1" showErrorMessage="1" prompt="See TSF Capping Values table for minimum thickness expectation.  If user entry is &lt;min, an alert will appear in the Capping Alerts sheet." sqref="AG51 AW51 BO51 DG51" xr:uid="{E55858BE-C7B1-41A1-B019-31DD6464D96D}"/>
    <dataValidation allowBlank="1" showInputMessage="1" showErrorMessage="1" prompt="See TSF Capping Values for minimum thickness expectation.  If user entry is &lt;min, an alert will appear in the Capping Alerts sheet." sqref="CD51" xr:uid="{B3B3DF41-ED3F-494C-9F59-3D68E265765A}"/>
    <dataValidation allowBlank="1" showInputMessage="1" showErrorMessage="1" prompt="Select No amend if no treatment required." sqref="DW51 EB51 EG51" xr:uid="{DD8CB996-C8C0-498E-9BD2-659D85B67FA7}"/>
    <dataValidation allowBlank="1" showInputMessage="1" showErrorMessage="1" prompt="Enter the total area of embankment" sqref="G51" xr:uid="{2112B5C7-BA61-4593-AAC6-E41A2DEB4AF0}"/>
    <dataValidation allowBlank="1" showInputMessage="1" showErrorMessage="1" prompt="Enter the total area of ramps" sqref="M51" xr:uid="{D080A5FB-5E61-4F39-937A-7622F73C692C}"/>
    <dataValidation allowBlank="1" showInputMessage="1" showErrorMessage="1" prompt="If a value is entered, the User must provide justification in Justification for Alternate Rate column to the right of this table." sqref="DS51" xr:uid="{D4E3FFE5-7D75-423B-9FC3-CB868FA3BDFC}"/>
    <dataValidation type="list" allowBlank="1" showInputMessage="1" showErrorMessage="1" sqref="DL53:DL69" xr:uid="{D7C5CEA1-402D-4075-B5DE-B1D6277DA8D4}">
      <formula1>Load_haul_fleet_sm1ml</formula1>
    </dataValidation>
  </dataValidations>
  <hyperlinks>
    <hyperlink ref="B17" location="Tailings_Storage_Facilities__User_Defined" display="User" xr:uid="{78419738-A755-4AD8-8A80-4A5BE8A4D940}"/>
    <hyperlink ref="B50" location="'9. Tailings Storage Facilities'!B5" display="Top" xr:uid="{32D70C44-11EE-44CE-9B14-05056C5D6968}"/>
    <hyperlink ref="J52" location="'9. Tailings Storage Facilities'!O5" display="'9. Tailings Storage Facilities'!O5" xr:uid="{33C7325D-00A0-4BFD-91AE-E391EB5AAE2F}"/>
    <hyperlink ref="P52" location="'9. Tailings Storage Facilities'!O5" display="'9. Tailings Storage Facilities'!O5" xr:uid="{FFED491F-3B11-4D5A-AE52-8B98232ABFF2}"/>
    <hyperlink ref="AF52" location="'9. Tailings Storage Facilities'!O5" display="'9. Tailings Storage Facilities'!O5" xr:uid="{0E36DA17-70B1-49D8-80FB-37AAF761ECA9}"/>
    <hyperlink ref="AV52" location="'9. Tailings Storage Facilities'!O5" display="'9. Tailings Storage Facilities'!O5" xr:uid="{B872F667-2424-4F1B-825D-CB54EFEC7761}"/>
    <hyperlink ref="BN52" location="'9. Tailings Storage Facilities'!O5" display="'9. Tailings Storage Facilities'!O5" xr:uid="{DDEBD92E-F611-4E15-A028-1917DE68B04F}"/>
    <hyperlink ref="CC52" location="'9. Tailings Storage Facilities'!O5" display="'9. Tailings Storage Facilities'!O5" xr:uid="{9D0A49BB-DECA-4D27-997F-8ED88D1319B5}"/>
    <hyperlink ref="DF52" location="'9. Tailings Storage Facilities'!O5" display="'9. Tailings Storage Facilities'!O5" xr:uid="{38B08AE7-6735-451F-9617-4006DFD4006A}"/>
    <hyperlink ref="EV52" location="'9. Tailings Storage Facilities'!O5" display="'9. Tailings Storage Facilities'!O5" xr:uid="{680CB76C-0249-4941-84A0-5D28058E21BD}"/>
    <hyperlink ref="AA52" location="Subrates_Table_2" display="Subrates_Table_2" xr:uid="{970CD118-3405-4E16-ACEE-788DEA81255F}"/>
    <hyperlink ref="AR52" location="Subrates_Table_2" display="Subrates_Table_2" xr:uid="{F1B9ACFA-0665-4F70-845B-3B0B9E36F3F9}"/>
    <hyperlink ref="BJ52" location="Subrates_Table_2" display="Subrates_Table_2" xr:uid="{F132E919-4866-4527-87A7-CE6F98D8704E}"/>
    <hyperlink ref="EU45" location="Subrates_Table_5" display="Subrates_Table_5" xr:uid="{A2B89915-CC8B-4191-AAE7-77152242F295}"/>
    <hyperlink ref="BA52" location="Subrates_Table_5" display="Subrates_Table_5" xr:uid="{142EB7BE-3315-4A7B-8F0A-321F6B6C48CA}"/>
    <hyperlink ref="BS52" location="Subrates_Table_5" display="Subrates_Table_5" xr:uid="{CCEF0EE8-824F-4286-9E69-15EFD8EB36A1}"/>
    <hyperlink ref="CU52" location="Subrates_Table_5" display="Subrates_Table_5" xr:uid="{6A7C2648-3127-4222-9817-7D7AC9286F02}"/>
    <hyperlink ref="CW52" location="Subrates_Table_5" display="Subrates_Table_5" xr:uid="{5FC58B5F-732C-4BBA-944C-C45C6DA8D2E3}"/>
    <hyperlink ref="CY52" location="Subrates_Table_5" display="Subrates_Table_5" xr:uid="{1E6A9D17-393F-43A4-B87A-869B299A1642}"/>
    <hyperlink ref="DB52" location="Subrates_Table_6" display="Subrates_Table_6" xr:uid="{03837339-7B64-434F-9E24-179F7FDE299D}"/>
    <hyperlink ref="DD52" location="Subrates_Table_6" display="Subrates_Table_6" xr:uid="{4F56BB35-1538-4549-91E5-23CE94F08747}"/>
    <hyperlink ref="DR52" location="Subrates_Table_8" display="Subrates_Table_8" xr:uid="{43B6B3CA-2C1F-4436-8D68-BE10EEE2FC88}"/>
    <hyperlink ref="DQ52" location="Subrates_Table_9" display="Subrates_Table_9" xr:uid="{F1621097-DAD3-4883-A26A-14C8DEC42360}"/>
    <hyperlink ref="U52" location="Subrates!B7" display="Subrates!B7" xr:uid="{2F46D7A3-0730-4B75-9A46-BB02C1990A9F}"/>
    <hyperlink ref="AM52" location="Subrates!B7" display="Subrates!B7" xr:uid="{1CE9B89C-B9F1-4EF4-A7A7-BD8D2C4C9776}"/>
    <hyperlink ref="BE52" location="Subrates!B7" display="Subrates!B7" xr:uid="{E76D6B7B-F63B-43A0-B66D-AD6AC9B76B37}"/>
    <hyperlink ref="CK52" location="Subrates!B7" display="Subrates!B7" xr:uid="{DF50FA31-B4D6-4B47-B088-367D3293B4A5}"/>
    <hyperlink ref="DM52" location="Subrates!B7" display="Subrates!B7" xr:uid="{086D103B-CA5B-4D34-9C33-271EB57BDA04}"/>
    <hyperlink ref="B2" location="CONTENTS!A1" display="Contents" xr:uid="{F34A2AB2-987B-45D0-A67A-2C421D741C0F}"/>
    <hyperlink ref="I52" location="'Capping Alerts'!A1" display="Capping Alerts" xr:uid="{3CC1CF5A-88AE-4F16-AD11-F33875602248}"/>
    <hyperlink ref="O52" location="'Capping Alerts'!A1" display="Capping Alerts" xr:uid="{3B8B4014-D47A-45BE-BE17-94E82B788223}"/>
    <hyperlink ref="AG52" location="'Capping Alerts'!A1" display="Capping Alerts" xr:uid="{FA73A30D-A988-4424-9748-409FE8D56EAD}"/>
    <hyperlink ref="AW52" location="'Capping Alerts'!A1" display="Capping Alerts" xr:uid="{02DF08DE-A324-4AA2-B0C4-D13374FD2BE5}"/>
    <hyperlink ref="BO52" location="'Capping Alerts'!A1" display="Capping Alerts" xr:uid="{1205A80B-C3A3-4F14-9D05-66274DF930A5}"/>
    <hyperlink ref="CD52" location="'Capping Alerts'!A1" display="Capping Alerts" xr:uid="{5CCE7CDE-0FD6-4973-AD38-321263F45E6C}"/>
    <hyperlink ref="DG52" location="'Capping Alerts'!A1" display="Capping Alerts" xr:uid="{A6C13938-906F-41D2-A82B-926920C41EB3}"/>
    <hyperlink ref="BW52" location="Subrates_Table_9" display="Subrates Table 9" xr:uid="{2E315F6A-22A4-40D4-845B-5867A39FCDF2}"/>
    <hyperlink ref="EW52" location="'Capping Alerts'!A1" display="Capping Alerts" xr:uid="{9CB1C97A-F00C-4D3F-93F9-C3D5045AB04C}"/>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F8B1AC-738A-4BA2-B3BE-2932BF7D18E6}">
          <x14:formula1>
            <xm:f>Subrates!$E$9:$G$9</xm:f>
          </x14:formula1>
          <xm:sqref>T53:T69 CJ53:CJ69 AL53:AL69 BD53:BD69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theme="9" tint="-0.249977111117893"/>
  </sheetPr>
  <dimension ref="B1:JO204"/>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46.28515625" style="475" customWidth="1"/>
    <col min="5" max="7" width="18.7109375" style="474" customWidth="1"/>
    <col min="8" max="8" width="20.42578125" style="474" customWidth="1"/>
    <col min="9" max="9" width="18.7109375" style="474" customWidth="1"/>
    <col min="10" max="10" width="21.5703125" style="474" customWidth="1"/>
    <col min="11" max="15" width="18.7109375" style="474" customWidth="1"/>
    <col min="16" max="16" width="20.7109375" style="474" customWidth="1"/>
    <col min="17" max="23" width="18.7109375" style="474" customWidth="1"/>
    <col min="24" max="24" width="24.7109375" style="474" customWidth="1"/>
    <col min="25" max="25" width="20.7109375" style="474" customWidth="1"/>
    <col min="26" max="26" width="18.7109375" style="474" customWidth="1"/>
    <col min="27" max="27" width="24.7109375" style="474" customWidth="1"/>
    <col min="28" max="28" width="20.7109375" style="474" customWidth="1"/>
    <col min="29" max="29" width="24.7109375" style="474" customWidth="1"/>
    <col min="30" max="31" width="18.7109375" style="474" customWidth="1"/>
    <col min="32" max="32" width="24.7109375" style="474" customWidth="1"/>
    <col min="33" max="33" width="18.7109375" style="474" customWidth="1"/>
    <col min="34" max="34" width="24.7109375" style="474" customWidth="1"/>
    <col min="35" max="36" width="18.7109375" style="474" customWidth="1"/>
    <col min="37" max="37" width="24.7109375" style="474" customWidth="1"/>
    <col min="38" max="40" width="18.7109375" style="474" customWidth="1"/>
    <col min="41" max="42" width="24.7109375" style="474" customWidth="1"/>
    <col min="43" max="46" width="18.7109375" style="474" customWidth="1"/>
    <col min="47" max="47" width="24.7109375" style="474" customWidth="1"/>
    <col min="48" max="51" width="18.7109375" style="474" customWidth="1"/>
    <col min="52" max="52" width="24.7109375" style="474" customWidth="1"/>
    <col min="53" max="54" width="18.7109375" style="474" customWidth="1"/>
    <col min="55" max="83" width="18.7109375" style="475" customWidth="1"/>
    <col min="84" max="92" width="18.7109375" style="474" customWidth="1"/>
    <col min="93" max="231" width="18.7109375" style="475" customWidth="1"/>
    <col min="232" max="16384" width="9" style="475"/>
  </cols>
  <sheetData>
    <row r="1" spans="2:266" ht="14.25">
      <c r="B1" s="433" t="s">
        <v>0</v>
      </c>
      <c r="C1" s="808"/>
      <c r="D1" s="520"/>
      <c r="M1" s="475"/>
      <c r="N1" s="475"/>
      <c r="O1" s="475"/>
      <c r="P1" s="475"/>
      <c r="Q1" s="475"/>
      <c r="R1" s="475"/>
      <c r="S1" s="475"/>
      <c r="T1" s="475"/>
      <c r="U1" s="475"/>
      <c r="V1" s="475"/>
      <c r="AK1" s="475"/>
      <c r="AL1" s="475"/>
      <c r="AM1" s="475"/>
      <c r="AN1" s="475"/>
      <c r="AO1" s="475"/>
      <c r="AP1" s="475"/>
      <c r="AQ1" s="475"/>
      <c r="AR1" s="475"/>
      <c r="AS1" s="475"/>
      <c r="AT1" s="475"/>
      <c r="AU1" s="475"/>
      <c r="AV1" s="475"/>
      <c r="AW1" s="475"/>
      <c r="AX1" s="475"/>
      <c r="AY1" s="475"/>
      <c r="AZ1" s="475"/>
      <c r="BA1" s="475"/>
      <c r="BB1" s="475"/>
      <c r="CE1" s="474"/>
      <c r="CF1" s="475"/>
      <c r="CG1" s="475"/>
      <c r="CH1" s="475"/>
      <c r="CI1" s="475"/>
      <c r="CJ1" s="475"/>
      <c r="CK1" s="475"/>
      <c r="CL1" s="475"/>
      <c r="CM1" s="475"/>
      <c r="CN1" s="475"/>
      <c r="DX1" s="474"/>
      <c r="DY1" s="474"/>
      <c r="DZ1" s="474"/>
      <c r="EA1" s="474"/>
      <c r="FL1" s="1174" t="s">
        <v>2144</v>
      </c>
    </row>
    <row r="2" spans="2:266" ht="18" customHeight="1">
      <c r="B2" s="286" t="s">
        <v>256</v>
      </c>
      <c r="C2" s="476" t="s">
        <v>2145</v>
      </c>
      <c r="D2" s="1175"/>
      <c r="E2" s="273" t="s">
        <v>2146</v>
      </c>
      <c r="F2" s="273"/>
      <c r="G2" s="273" t="s">
        <v>2147</v>
      </c>
      <c r="H2" s="273"/>
      <c r="I2" s="273" t="s">
        <v>2148</v>
      </c>
      <c r="J2" s="273" t="s">
        <v>2149</v>
      </c>
      <c r="K2" s="273" t="s">
        <v>2150</v>
      </c>
      <c r="L2" s="274"/>
      <c r="V2" s="847"/>
      <c r="X2" s="847"/>
      <c r="Y2" s="847"/>
      <c r="AJ2" s="475"/>
      <c r="AK2" s="475"/>
      <c r="AL2" s="475"/>
      <c r="AM2" s="475"/>
      <c r="AN2" s="475"/>
      <c r="AO2" s="475"/>
      <c r="AP2" s="475"/>
      <c r="AQ2" s="475"/>
      <c r="AR2" s="475"/>
      <c r="AS2" s="475"/>
      <c r="AT2" s="475"/>
      <c r="AU2" s="475"/>
      <c r="AV2" s="475"/>
      <c r="AW2" s="475"/>
      <c r="AX2" s="475"/>
      <c r="AY2" s="475"/>
      <c r="AZ2" s="475"/>
      <c r="BA2" s="475"/>
      <c r="BB2" s="475"/>
      <c r="BH2" s="474"/>
      <c r="BI2" s="847"/>
      <c r="BP2" s="847"/>
      <c r="BQ2" s="847"/>
      <c r="BR2" s="847"/>
      <c r="BS2" s="847"/>
      <c r="BT2" s="847"/>
      <c r="BU2" s="847"/>
      <c r="CF2" s="475"/>
      <c r="CG2" s="475"/>
      <c r="CH2" s="475"/>
      <c r="CI2" s="475"/>
      <c r="CJ2" s="475"/>
      <c r="CK2" s="475"/>
      <c r="CL2" s="475"/>
      <c r="CM2" s="475"/>
      <c r="CN2" s="475"/>
      <c r="DH2" s="474"/>
      <c r="DI2" s="847"/>
      <c r="DN2" s="847"/>
      <c r="DO2" s="847"/>
      <c r="DP2" s="847"/>
      <c r="DQ2" s="847"/>
      <c r="DR2" s="847"/>
      <c r="DS2" s="847"/>
      <c r="DX2" s="474"/>
      <c r="DY2" s="474"/>
      <c r="DZ2" s="474"/>
      <c r="FB2" s="847"/>
      <c r="FC2" s="847"/>
      <c r="FD2" s="847"/>
      <c r="HB2" s="847"/>
      <c r="HC2" s="847"/>
      <c r="HD2" s="847"/>
    </row>
    <row r="3" spans="2:266" ht="18" customHeight="1">
      <c r="B3" s="1031">
        <f>W34</f>
        <v>0</v>
      </c>
      <c r="C3" s="736" t="s">
        <v>1516</v>
      </c>
      <c r="I3" s="1067"/>
      <c r="V3" s="847"/>
      <c r="X3" s="847"/>
      <c r="Y3" s="847"/>
      <c r="AJ3" s="475"/>
      <c r="AK3" s="475"/>
      <c r="AL3" s="475"/>
      <c r="AM3" s="475"/>
      <c r="AN3" s="475"/>
      <c r="AO3" s="475"/>
      <c r="AP3" s="475"/>
      <c r="AQ3" s="475"/>
      <c r="AR3" s="475"/>
      <c r="AS3" s="475"/>
      <c r="AT3" s="475"/>
      <c r="AU3" s="475"/>
      <c r="AV3" s="475"/>
      <c r="AW3" s="475"/>
      <c r="AX3" s="475"/>
      <c r="AY3" s="475"/>
      <c r="AZ3" s="475"/>
      <c r="BA3" s="475"/>
      <c r="BB3" s="475"/>
      <c r="BH3" s="474"/>
      <c r="BI3" s="847"/>
      <c r="BP3" s="847"/>
      <c r="BQ3" s="847"/>
      <c r="BR3" s="847"/>
      <c r="BS3" s="847"/>
      <c r="BT3" s="847"/>
      <c r="BU3" s="847"/>
      <c r="CF3" s="475"/>
      <c r="CG3" s="475"/>
      <c r="CH3" s="475"/>
      <c r="CI3" s="475"/>
      <c r="CJ3" s="475"/>
      <c r="CK3" s="475"/>
      <c r="CL3" s="475"/>
      <c r="CM3" s="475"/>
      <c r="CN3" s="475"/>
      <c r="DH3" s="474"/>
      <c r="DI3" s="847"/>
      <c r="DN3" s="847"/>
      <c r="DO3" s="847"/>
      <c r="DP3" s="847"/>
      <c r="DQ3" s="847"/>
      <c r="DR3" s="847"/>
      <c r="DS3" s="847"/>
      <c r="DX3" s="474"/>
      <c r="DY3" s="474"/>
      <c r="DZ3" s="474"/>
      <c r="FB3" s="847"/>
      <c r="FC3" s="847"/>
      <c r="FD3" s="847"/>
      <c r="HB3" s="847"/>
      <c r="HC3" s="847"/>
      <c r="HD3" s="847"/>
    </row>
    <row r="4" spans="2:266" ht="18" customHeight="1">
      <c r="B4" s="1033">
        <f>Summary!$G$122</f>
        <v>0</v>
      </c>
      <c r="C4" s="736" t="s">
        <v>1484</v>
      </c>
      <c r="G4" s="1067"/>
      <c r="H4" s="1067"/>
      <c r="I4" s="1067"/>
      <c r="V4" s="847"/>
      <c r="X4" s="847"/>
      <c r="Y4" s="847"/>
      <c r="AJ4" s="475"/>
      <c r="AK4" s="475"/>
      <c r="AL4" s="475"/>
      <c r="AM4" s="475"/>
      <c r="AN4" s="475"/>
      <c r="AO4" s="475"/>
      <c r="AP4" s="475"/>
      <c r="AQ4" s="475"/>
      <c r="AR4" s="475"/>
      <c r="AS4" s="475"/>
      <c r="AT4" s="475"/>
      <c r="AU4" s="475"/>
      <c r="AV4" s="475"/>
      <c r="AW4" s="475"/>
      <c r="AX4" s="475"/>
      <c r="AY4" s="475"/>
      <c r="AZ4" s="475"/>
      <c r="BA4" s="475"/>
      <c r="BB4" s="475"/>
      <c r="BH4" s="474"/>
      <c r="BI4" s="847"/>
      <c r="BP4" s="847"/>
      <c r="BQ4" s="847"/>
      <c r="BR4" s="847"/>
      <c r="BS4" s="847"/>
      <c r="BT4" s="847"/>
      <c r="BU4" s="847"/>
      <c r="CF4" s="475"/>
      <c r="CG4" s="475"/>
      <c r="CH4" s="475"/>
      <c r="CI4" s="475"/>
      <c r="CJ4" s="475"/>
      <c r="CK4" s="475"/>
      <c r="CL4" s="475"/>
      <c r="CM4" s="475"/>
      <c r="CN4" s="475"/>
      <c r="DH4" s="474"/>
      <c r="DI4" s="847"/>
      <c r="DN4" s="847"/>
      <c r="DO4" s="847"/>
      <c r="DP4" s="847"/>
      <c r="DQ4" s="847"/>
      <c r="DR4" s="847"/>
      <c r="DS4" s="847"/>
      <c r="DX4" s="474"/>
      <c r="DY4" s="474"/>
      <c r="DZ4" s="474"/>
      <c r="FB4" s="847"/>
      <c r="FC4" s="847"/>
      <c r="FD4" s="847"/>
      <c r="HB4" s="847"/>
      <c r="HC4" s="847"/>
      <c r="HD4" s="847"/>
    </row>
    <row r="5" spans="2:266" ht="85.5" customHeight="1">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Q5" s="475"/>
      <c r="AR5" s="475"/>
      <c r="AS5" s="475"/>
      <c r="AT5" s="475"/>
      <c r="AU5" s="475"/>
      <c r="AV5" s="475"/>
      <c r="AW5" s="475"/>
      <c r="AX5" s="475"/>
      <c r="AY5" s="475"/>
      <c r="AZ5" s="475"/>
      <c r="BA5" s="475"/>
      <c r="BB5" s="475"/>
      <c r="CF5" s="475"/>
      <c r="CG5" s="475"/>
      <c r="CH5" s="475"/>
      <c r="CI5" s="475"/>
      <c r="CJ5" s="475"/>
      <c r="CK5" s="475"/>
      <c r="CL5" s="475"/>
      <c r="CM5" s="475"/>
      <c r="CN5" s="475"/>
    </row>
    <row r="6" spans="2:266" ht="12.75">
      <c r="B6" s="789"/>
      <c r="C6" s="789"/>
      <c r="G6" s="1067"/>
      <c r="H6" s="1067"/>
      <c r="I6" s="1067"/>
      <c r="V6" s="847"/>
      <c r="X6" s="847"/>
      <c r="Y6" s="847"/>
      <c r="AJ6" s="475"/>
      <c r="AK6" s="475"/>
      <c r="AL6" s="475"/>
      <c r="AM6" s="475"/>
      <c r="AN6" s="475"/>
      <c r="AO6" s="475"/>
      <c r="AP6" s="475"/>
      <c r="AQ6" s="475"/>
      <c r="AR6" s="475"/>
      <c r="AS6" s="475"/>
      <c r="AT6" s="475"/>
      <c r="AU6" s="475"/>
      <c r="AV6" s="475"/>
      <c r="AW6" s="475"/>
      <c r="AX6" s="475"/>
      <c r="AY6" s="475"/>
      <c r="AZ6" s="475"/>
      <c r="BA6" s="475"/>
      <c r="BB6" s="475"/>
      <c r="BH6" s="474"/>
      <c r="BI6" s="847"/>
      <c r="BP6" s="847"/>
      <c r="BQ6" s="847"/>
      <c r="BR6" s="847"/>
      <c r="BS6" s="847"/>
      <c r="BT6" s="847"/>
      <c r="BU6" s="847"/>
      <c r="CF6" s="475"/>
      <c r="CG6" s="475"/>
      <c r="CH6" s="475"/>
      <c r="CI6" s="475"/>
      <c r="CJ6" s="475"/>
      <c r="CK6" s="475"/>
      <c r="CL6" s="475"/>
      <c r="CM6" s="475"/>
      <c r="CN6" s="475"/>
      <c r="DH6" s="474"/>
      <c r="DI6" s="847"/>
      <c r="DN6" s="847"/>
      <c r="DO6" s="847"/>
      <c r="DP6" s="847"/>
      <c r="DQ6" s="847"/>
      <c r="DR6" s="847"/>
      <c r="DS6" s="847"/>
      <c r="DX6" s="474"/>
      <c r="DY6" s="474"/>
      <c r="DZ6" s="474"/>
      <c r="FB6" s="847"/>
      <c r="FC6" s="847"/>
      <c r="FD6" s="847"/>
      <c r="HB6" s="847"/>
      <c r="HC6" s="847"/>
      <c r="HD6" s="847"/>
    </row>
    <row r="7" spans="2:266" ht="12.75">
      <c r="C7" s="789"/>
      <c r="D7" s="789"/>
      <c r="G7" s="1067"/>
      <c r="H7" s="1067"/>
      <c r="I7" s="1067"/>
      <c r="W7" s="847"/>
      <c r="Y7" s="847"/>
      <c r="Z7" s="847"/>
      <c r="AK7" s="475"/>
      <c r="AL7" s="475"/>
      <c r="AM7" s="475"/>
      <c r="AN7" s="475"/>
      <c r="AO7" s="475"/>
      <c r="AP7" s="475"/>
      <c r="AQ7" s="475"/>
      <c r="AR7" s="475"/>
      <c r="AS7" s="475"/>
      <c r="AT7" s="475"/>
      <c r="AU7" s="475"/>
      <c r="AV7" s="475"/>
      <c r="AW7" s="475"/>
      <c r="AX7" s="475"/>
      <c r="AY7" s="475"/>
      <c r="AZ7" s="475"/>
      <c r="BA7" s="475"/>
      <c r="BB7" s="475"/>
      <c r="BI7" s="474"/>
      <c r="BJ7" s="847"/>
      <c r="BQ7" s="847"/>
      <c r="BR7" s="847"/>
      <c r="BS7" s="847"/>
      <c r="BT7" s="847"/>
      <c r="BU7" s="847"/>
      <c r="BV7" s="847"/>
      <c r="CF7" s="475"/>
      <c r="CG7" s="475"/>
      <c r="CH7" s="475"/>
      <c r="CI7" s="475"/>
      <c r="CJ7" s="475"/>
      <c r="CK7" s="475"/>
      <c r="CL7" s="475"/>
      <c r="CM7" s="475"/>
      <c r="CN7" s="475"/>
      <c r="DI7" s="474"/>
      <c r="DJ7" s="847"/>
      <c r="DO7" s="847"/>
      <c r="DP7" s="847"/>
      <c r="DQ7" s="847"/>
      <c r="DR7" s="847"/>
      <c r="DS7" s="847"/>
      <c r="DT7" s="847"/>
      <c r="DY7" s="474"/>
      <c r="DZ7" s="474"/>
      <c r="EA7" s="474"/>
      <c r="FC7" s="847"/>
      <c r="FD7" s="847"/>
      <c r="FE7" s="847"/>
      <c r="HC7" s="847"/>
      <c r="HD7" s="847"/>
      <c r="HE7" s="847"/>
    </row>
    <row r="8" spans="2:266" ht="18" customHeight="1">
      <c r="B8" s="474"/>
      <c r="BC8" s="474"/>
      <c r="BD8" s="474"/>
      <c r="BE8" s="474"/>
      <c r="BF8" s="474"/>
      <c r="BG8" s="474"/>
      <c r="BH8" s="474"/>
      <c r="BI8" s="474"/>
      <c r="CF8" s="475"/>
      <c r="CG8" s="475"/>
      <c r="CH8" s="475"/>
      <c r="CI8" s="475"/>
      <c r="CJ8" s="475"/>
      <c r="CK8" s="475"/>
      <c r="CL8" s="475"/>
      <c r="CO8" s="474"/>
      <c r="CP8" s="474"/>
      <c r="CQ8" s="474"/>
      <c r="CR8" s="474"/>
      <c r="CS8" s="474"/>
      <c r="CT8" s="474"/>
      <c r="CU8" s="474"/>
    </row>
    <row r="9" spans="2:266" s="1030" customFormat="1" ht="18" customHeight="1">
      <c r="C9" s="761" t="s">
        <v>2151</v>
      </c>
      <c r="D9" s="761"/>
      <c r="V9" s="475"/>
      <c r="W9" s="475"/>
      <c r="X9" s="475"/>
      <c r="IK9" s="562"/>
      <c r="IL9" s="562"/>
      <c r="IM9" s="562"/>
      <c r="IN9" s="562"/>
      <c r="IO9" s="562"/>
      <c r="IP9" s="562"/>
      <c r="IQ9" s="562"/>
      <c r="IR9" s="562"/>
      <c r="IS9" s="562"/>
      <c r="IT9" s="562"/>
      <c r="IU9" s="562"/>
      <c r="IV9" s="562"/>
      <c r="IW9" s="562"/>
    </row>
    <row r="10" spans="2:266" s="1030" customFormat="1" ht="18" customHeight="1">
      <c r="B10" s="1176" t="s">
        <v>2152</v>
      </c>
      <c r="C10" s="1177"/>
      <c r="D10" s="1177"/>
      <c r="E10" s="1178"/>
      <c r="F10" s="1177" t="s">
        <v>2153</v>
      </c>
      <c r="G10" s="1176" t="s">
        <v>2154</v>
      </c>
      <c r="H10" s="1177"/>
      <c r="I10" s="1177"/>
      <c r="J10" s="1177"/>
      <c r="K10" s="1176" t="s">
        <v>2155</v>
      </c>
      <c r="L10" s="1177"/>
      <c r="M10" s="1177"/>
      <c r="N10" s="1176" t="s">
        <v>2156</v>
      </c>
      <c r="O10" s="1177"/>
      <c r="P10" s="1176" t="s">
        <v>2157</v>
      </c>
      <c r="Q10" s="1177"/>
      <c r="R10" s="1177"/>
      <c r="S10" s="1177"/>
      <c r="T10" s="1177"/>
      <c r="U10" s="1177"/>
      <c r="V10" s="1177"/>
      <c r="W10" s="1177"/>
      <c r="X10" s="1178"/>
      <c r="Y10" s="1179" t="s">
        <v>2158</v>
      </c>
      <c r="IK10" s="562"/>
      <c r="IL10" s="562"/>
      <c r="IM10" s="562"/>
      <c r="IN10" s="562"/>
      <c r="IO10" s="562"/>
      <c r="IP10" s="562"/>
      <c r="IQ10" s="1180"/>
    </row>
    <row r="11" spans="2:266" ht="54.6" customHeight="1">
      <c r="B11" s="774" t="s">
        <v>1517</v>
      </c>
      <c r="C11" s="773" t="s">
        <v>27</v>
      </c>
      <c r="D11" s="774" t="s">
        <v>1583</v>
      </c>
      <c r="E11" s="774" t="s">
        <v>2159</v>
      </c>
      <c r="F11" s="774" t="s">
        <v>2160</v>
      </c>
      <c r="G11" s="774" t="s">
        <v>2161</v>
      </c>
      <c r="H11" s="774" t="s">
        <v>2162</v>
      </c>
      <c r="I11" s="774" t="s">
        <v>2163</v>
      </c>
      <c r="J11" s="774" t="s">
        <v>2164</v>
      </c>
      <c r="K11" s="774" t="s">
        <v>2165</v>
      </c>
      <c r="L11" s="774" t="s">
        <v>2166</v>
      </c>
      <c r="M11" s="774" t="s">
        <v>2167</v>
      </c>
      <c r="N11" s="774" t="s">
        <v>2168</v>
      </c>
      <c r="O11" s="774" t="s">
        <v>2169</v>
      </c>
      <c r="P11" s="1181" t="str">
        <f>Safety_Bund__Fencing__Signs</f>
        <v>Safety Bund, Fencing, Signs</v>
      </c>
      <c r="Q11" s="1181" t="str">
        <f>C75</f>
        <v>Benches and High Wall Drill and Blast and Doze to Make Safe</v>
      </c>
      <c r="R11" s="1181" t="str">
        <f>C107</f>
        <v>Low Wall Shaping / Load and Haul to Make Safe</v>
      </c>
      <c r="S11" s="1181" t="str">
        <f>C140</f>
        <v>Backfill Open Pit with Waste Rock (or other material)</v>
      </c>
      <c r="T11" s="1181" t="str">
        <f>C172</f>
        <v>Open Pit Ramp Backfill / Rehabilitate</v>
      </c>
      <c r="U11" s="864" t="s">
        <v>2170</v>
      </c>
      <c r="V11" s="773" t="s">
        <v>2171</v>
      </c>
      <c r="W11" s="864" t="s">
        <v>2172</v>
      </c>
      <c r="X11" s="774" t="s">
        <v>2173</v>
      </c>
      <c r="Y11" s="776" t="s">
        <v>1526</v>
      </c>
      <c r="Z11" s="777"/>
      <c r="AA11" s="777"/>
      <c r="AB11" s="777"/>
      <c r="AC11" s="777"/>
      <c r="AD11" s="777"/>
      <c r="AE11" s="777"/>
      <c r="AF11" s="778"/>
      <c r="AG11" s="776" t="s">
        <v>2174</v>
      </c>
      <c r="AH11" s="1182"/>
      <c r="AI11" s="1182"/>
      <c r="AJ11" s="1182"/>
      <c r="AK11" s="1182"/>
      <c r="AL11" s="1182"/>
      <c r="AM11" s="777"/>
      <c r="AN11" s="777"/>
      <c r="AO11" s="778"/>
      <c r="BC11" s="474"/>
      <c r="BD11" s="474"/>
      <c r="BE11" s="474"/>
      <c r="BF11" s="474"/>
      <c r="BG11" s="474"/>
      <c r="BH11" s="474"/>
      <c r="BI11" s="474"/>
      <c r="CF11" s="475"/>
      <c r="CG11" s="475"/>
      <c r="CH11" s="475"/>
      <c r="CI11" s="475"/>
      <c r="CJ11" s="475"/>
      <c r="CK11" s="475"/>
      <c r="CL11" s="475"/>
      <c r="CO11" s="474"/>
      <c r="CP11" s="474"/>
      <c r="CQ11" s="474"/>
      <c r="CR11" s="474"/>
      <c r="CS11" s="474"/>
      <c r="CT11" s="474"/>
      <c r="CU11" s="474"/>
      <c r="IK11" s="434"/>
      <c r="IL11" s="434"/>
      <c r="IM11" s="434"/>
      <c r="IN11" s="434"/>
      <c r="IO11" s="434"/>
      <c r="IP11" s="434"/>
    </row>
    <row r="12" spans="2:266" ht="18" customHeight="1">
      <c r="B12" s="474"/>
      <c r="C12" s="474"/>
      <c r="D12" s="771" t="s">
        <v>2175</v>
      </c>
      <c r="E12" s="275"/>
      <c r="N12" s="1040"/>
      <c r="O12" s="1040"/>
      <c r="AG12" s="475"/>
      <c r="AH12" s="475"/>
      <c r="AI12" s="475"/>
      <c r="AJ12" s="475"/>
      <c r="AK12" s="475"/>
      <c r="AL12" s="475"/>
      <c r="BC12" s="474"/>
      <c r="BD12" s="474"/>
      <c r="BE12" s="474"/>
      <c r="BF12" s="474"/>
      <c r="BG12" s="474"/>
      <c r="BH12" s="474"/>
      <c r="BI12" s="474"/>
      <c r="CF12" s="475"/>
      <c r="CG12" s="475"/>
      <c r="CH12" s="475"/>
      <c r="CI12" s="475"/>
      <c r="CJ12" s="475"/>
      <c r="CK12" s="475"/>
      <c r="CL12" s="475"/>
      <c r="CO12" s="474"/>
      <c r="CP12" s="474"/>
      <c r="CQ12" s="474"/>
      <c r="CR12" s="474"/>
      <c r="CS12" s="474"/>
      <c r="CT12" s="474"/>
      <c r="CU12" s="474"/>
      <c r="IK12" s="434"/>
      <c r="IL12" s="434"/>
      <c r="IM12" s="434"/>
      <c r="IN12" s="434"/>
      <c r="IO12" s="434"/>
      <c r="IP12" s="434"/>
      <c r="IX12" s="474"/>
      <c r="IY12" s="474"/>
      <c r="IZ12" s="474"/>
      <c r="JA12" s="474"/>
      <c r="JB12" s="474"/>
      <c r="JC12" s="474"/>
      <c r="JD12" s="474"/>
      <c r="JE12" s="474"/>
      <c r="JF12" s="474"/>
    </row>
    <row r="13" spans="2:266" s="520" customFormat="1" ht="15">
      <c r="B13" s="310"/>
      <c r="C13" s="1164">
        <v>1</v>
      </c>
      <c r="D13" s="168" t="s">
        <v>2176</v>
      </c>
      <c r="E13" s="316"/>
      <c r="F13" s="316"/>
      <c r="G13" s="316"/>
      <c r="H13" s="316"/>
      <c r="I13" s="317"/>
      <c r="J13" s="317"/>
      <c r="K13" s="317"/>
      <c r="L13" s="317"/>
      <c r="M13" s="317"/>
      <c r="N13" s="317"/>
      <c r="O13" s="317"/>
      <c r="P13" s="364">
        <f t="shared" ref="P13:P32" si="0">AA45</f>
        <v>0</v>
      </c>
      <c r="Q13" s="364">
        <f t="shared" ref="Q13:Q32" si="1">AT79</f>
        <v>0</v>
      </c>
      <c r="R13" s="364">
        <f t="shared" ref="R13:R32" si="2">AW111</f>
        <v>0</v>
      </c>
      <c r="S13" s="364">
        <f t="shared" ref="S13:S32" si="3">BG144</f>
        <v>0</v>
      </c>
      <c r="T13" s="364">
        <f>BL176</f>
        <v>0</v>
      </c>
      <c r="U13" s="116">
        <f>IF(OR(P13="E",Q13="E",R13="E",S13="E",T13="E"),"E",SUM(P13:T13))</f>
        <v>0</v>
      </c>
      <c r="V13" s="291"/>
      <c r="W13" s="116">
        <f>IF(V13&lt;&gt;"",V13,U13)</f>
        <v>0</v>
      </c>
      <c r="X13" s="165">
        <f t="shared" ref="X13:X32" si="4">IF(E13=0,0,W13/E13)</f>
        <v>0</v>
      </c>
      <c r="Y13" s="215"/>
      <c r="Z13" s="217"/>
      <c r="AA13" s="217"/>
      <c r="AB13" s="217"/>
      <c r="AC13" s="217"/>
      <c r="AD13" s="217"/>
      <c r="AE13" s="217"/>
      <c r="AF13" s="218"/>
      <c r="AG13" s="37"/>
      <c r="AH13" s="1209"/>
      <c r="AI13" s="1209"/>
      <c r="AJ13" s="1209"/>
      <c r="AK13" s="1209"/>
      <c r="AL13" s="1209"/>
      <c r="AM13" s="1209"/>
      <c r="AN13" s="1209"/>
      <c r="AO13" s="68"/>
      <c r="AP13" s="768"/>
      <c r="AQ13" s="768"/>
      <c r="AR13" s="768"/>
      <c r="AS13" s="768"/>
      <c r="AT13" s="768"/>
      <c r="AU13" s="768"/>
      <c r="AV13" s="768"/>
      <c r="AW13" s="768"/>
      <c r="AX13" s="768"/>
      <c r="AY13" s="768"/>
      <c r="AZ13" s="768"/>
      <c r="BA13" s="768"/>
      <c r="BB13" s="768"/>
      <c r="BC13" s="768"/>
      <c r="BD13" s="768"/>
      <c r="BE13" s="768"/>
      <c r="BF13" s="768"/>
      <c r="BG13" s="768"/>
      <c r="BH13" s="768"/>
      <c r="BI13" s="768"/>
      <c r="CM13" s="768"/>
      <c r="CN13" s="768"/>
      <c r="CO13" s="768"/>
      <c r="CP13" s="768"/>
      <c r="CQ13" s="768"/>
      <c r="CR13" s="768"/>
      <c r="CS13" s="768"/>
      <c r="CT13" s="768"/>
      <c r="CU13" s="768"/>
      <c r="IK13" s="495"/>
      <c r="IL13" s="495"/>
      <c r="IM13" s="495"/>
      <c r="IN13" s="495"/>
      <c r="IO13" s="495"/>
      <c r="IP13" s="495"/>
    </row>
    <row r="14" spans="2:266" s="520" customFormat="1" ht="15">
      <c r="B14" s="310"/>
      <c r="C14" s="1164">
        <f>C13+1</f>
        <v>2</v>
      </c>
      <c r="D14" s="168" t="s">
        <v>2177</v>
      </c>
      <c r="E14" s="316"/>
      <c r="F14" s="316"/>
      <c r="G14" s="316"/>
      <c r="H14" s="316"/>
      <c r="I14" s="317"/>
      <c r="J14" s="317"/>
      <c r="K14" s="317"/>
      <c r="L14" s="317"/>
      <c r="M14" s="317"/>
      <c r="N14" s="317"/>
      <c r="O14" s="317"/>
      <c r="P14" s="364">
        <f t="shared" si="0"/>
        <v>0</v>
      </c>
      <c r="Q14" s="364">
        <f t="shared" si="1"/>
        <v>0</v>
      </c>
      <c r="R14" s="364">
        <f t="shared" si="2"/>
        <v>0</v>
      </c>
      <c r="S14" s="364">
        <f t="shared" si="3"/>
        <v>0</v>
      </c>
      <c r="T14" s="364">
        <f>BL177</f>
        <v>0</v>
      </c>
      <c r="U14" s="116">
        <f t="shared" ref="U14:U32" si="5">IF(OR(P14="E",Q14="E",R14="E",S14="E",T14="E"),"E",SUM(P14:T14))</f>
        <v>0</v>
      </c>
      <c r="V14" s="291"/>
      <c r="W14" s="116">
        <f t="shared" ref="W14:W32" si="6">IF(V14&lt;&gt;"",V14,U14)</f>
        <v>0</v>
      </c>
      <c r="X14" s="165">
        <f t="shared" si="4"/>
        <v>0</v>
      </c>
      <c r="Y14" s="215"/>
      <c r="Z14" s="217"/>
      <c r="AA14" s="217"/>
      <c r="AB14" s="217"/>
      <c r="AC14" s="217"/>
      <c r="AD14" s="217"/>
      <c r="AE14" s="217"/>
      <c r="AF14" s="218"/>
      <c r="AG14" s="37"/>
      <c r="AH14" s="1209"/>
      <c r="AI14" s="1209"/>
      <c r="AJ14" s="1209"/>
      <c r="AK14" s="1209"/>
      <c r="AL14" s="1209"/>
      <c r="AM14" s="1209"/>
      <c r="AN14" s="1209"/>
      <c r="AO14" s="68"/>
      <c r="AP14" s="768"/>
      <c r="AQ14" s="768"/>
      <c r="AR14" s="768"/>
      <c r="AS14" s="768"/>
      <c r="AT14" s="768"/>
      <c r="AU14" s="768"/>
      <c r="AV14" s="768"/>
      <c r="AW14" s="768"/>
      <c r="AX14" s="768"/>
      <c r="AY14" s="768"/>
      <c r="AZ14" s="768"/>
      <c r="BA14" s="768"/>
      <c r="BB14" s="768"/>
      <c r="BC14" s="768"/>
      <c r="BD14" s="768"/>
      <c r="BE14" s="768"/>
      <c r="BF14" s="768"/>
      <c r="BG14" s="768"/>
      <c r="BH14" s="768"/>
      <c r="BI14" s="768"/>
      <c r="CM14" s="768"/>
      <c r="CN14" s="768"/>
      <c r="CO14" s="768"/>
      <c r="CP14" s="768"/>
      <c r="CQ14" s="768"/>
      <c r="CR14" s="768"/>
      <c r="CS14" s="768"/>
      <c r="CT14" s="768"/>
      <c r="CU14" s="768"/>
      <c r="IK14" s="495"/>
      <c r="IL14" s="495"/>
      <c r="IM14" s="495"/>
      <c r="IN14" s="495"/>
      <c r="IO14" s="495"/>
      <c r="IP14" s="495"/>
    </row>
    <row r="15" spans="2:266" s="520" customFormat="1" ht="15">
      <c r="B15" s="310"/>
      <c r="C15" s="1164">
        <f t="shared" ref="C15:C32" si="7">C14+1</f>
        <v>3</v>
      </c>
      <c r="D15" s="168" t="s">
        <v>2178</v>
      </c>
      <c r="E15" s="316"/>
      <c r="F15" s="316"/>
      <c r="G15" s="316"/>
      <c r="H15" s="316"/>
      <c r="I15" s="317"/>
      <c r="J15" s="317"/>
      <c r="K15" s="317"/>
      <c r="L15" s="317"/>
      <c r="M15" s="317"/>
      <c r="N15" s="317"/>
      <c r="O15" s="317"/>
      <c r="P15" s="364">
        <f t="shared" si="0"/>
        <v>0</v>
      </c>
      <c r="Q15" s="364">
        <f t="shared" si="1"/>
        <v>0</v>
      </c>
      <c r="R15" s="364">
        <f t="shared" si="2"/>
        <v>0</v>
      </c>
      <c r="S15" s="364">
        <f t="shared" si="3"/>
        <v>0</v>
      </c>
      <c r="T15" s="364">
        <f t="shared" ref="T15:T32" si="8">BL178</f>
        <v>0</v>
      </c>
      <c r="U15" s="116">
        <f t="shared" si="5"/>
        <v>0</v>
      </c>
      <c r="V15" s="291"/>
      <c r="W15" s="116">
        <f t="shared" si="6"/>
        <v>0</v>
      </c>
      <c r="X15" s="165">
        <f t="shared" si="4"/>
        <v>0</v>
      </c>
      <c r="Y15" s="215"/>
      <c r="Z15" s="217"/>
      <c r="AA15" s="217"/>
      <c r="AB15" s="217"/>
      <c r="AC15" s="217"/>
      <c r="AD15" s="217"/>
      <c r="AE15" s="217"/>
      <c r="AF15" s="218"/>
      <c r="AG15" s="37"/>
      <c r="AH15" s="1209"/>
      <c r="AI15" s="1209"/>
      <c r="AJ15" s="1209"/>
      <c r="AK15" s="1209"/>
      <c r="AL15" s="1209"/>
      <c r="AM15" s="1209"/>
      <c r="AN15" s="1209"/>
      <c r="AO15" s="68"/>
      <c r="AP15" s="768"/>
      <c r="AQ15" s="768"/>
      <c r="AR15" s="768"/>
      <c r="AS15" s="768"/>
      <c r="AT15" s="768"/>
      <c r="AU15" s="768"/>
      <c r="AV15" s="768"/>
      <c r="AW15" s="768"/>
      <c r="AX15" s="768"/>
      <c r="AY15" s="768"/>
      <c r="AZ15" s="768"/>
      <c r="BA15" s="768"/>
      <c r="BB15" s="768"/>
      <c r="BC15" s="768"/>
      <c r="BD15" s="768"/>
      <c r="BE15" s="768"/>
      <c r="BF15" s="768"/>
      <c r="BG15" s="768"/>
      <c r="BH15" s="768"/>
      <c r="BI15" s="768"/>
      <c r="CM15" s="768"/>
      <c r="CN15" s="768"/>
      <c r="CO15" s="768"/>
      <c r="CP15" s="768"/>
      <c r="CQ15" s="768"/>
      <c r="CR15" s="768"/>
      <c r="CS15" s="768"/>
      <c r="CT15" s="768"/>
      <c r="CU15" s="768"/>
      <c r="IK15" s="495"/>
      <c r="IL15" s="495"/>
      <c r="IM15" s="495"/>
      <c r="IN15" s="495"/>
      <c r="IO15" s="495"/>
      <c r="IP15" s="495"/>
    </row>
    <row r="16" spans="2:266" s="520" customFormat="1" ht="15">
      <c r="B16" s="310"/>
      <c r="C16" s="1164">
        <f t="shared" si="7"/>
        <v>4</v>
      </c>
      <c r="D16" s="168" t="s">
        <v>2179</v>
      </c>
      <c r="E16" s="316"/>
      <c r="F16" s="316"/>
      <c r="G16" s="316"/>
      <c r="H16" s="316"/>
      <c r="I16" s="317"/>
      <c r="J16" s="317"/>
      <c r="K16" s="317"/>
      <c r="L16" s="317"/>
      <c r="M16" s="317"/>
      <c r="N16" s="317"/>
      <c r="O16" s="317"/>
      <c r="P16" s="364">
        <f t="shared" si="0"/>
        <v>0</v>
      </c>
      <c r="Q16" s="364">
        <f t="shared" si="1"/>
        <v>0</v>
      </c>
      <c r="R16" s="364">
        <f t="shared" si="2"/>
        <v>0</v>
      </c>
      <c r="S16" s="364">
        <f t="shared" si="3"/>
        <v>0</v>
      </c>
      <c r="T16" s="364">
        <f t="shared" si="8"/>
        <v>0</v>
      </c>
      <c r="U16" s="116">
        <f t="shared" si="5"/>
        <v>0</v>
      </c>
      <c r="V16" s="291"/>
      <c r="W16" s="116">
        <f t="shared" si="6"/>
        <v>0</v>
      </c>
      <c r="X16" s="165">
        <f t="shared" si="4"/>
        <v>0</v>
      </c>
      <c r="Y16" s="215"/>
      <c r="Z16" s="217"/>
      <c r="AA16" s="217"/>
      <c r="AB16" s="217"/>
      <c r="AC16" s="217"/>
      <c r="AD16" s="217"/>
      <c r="AE16" s="217"/>
      <c r="AF16" s="218"/>
      <c r="AG16" s="37"/>
      <c r="AH16" s="1209"/>
      <c r="AI16" s="1209"/>
      <c r="AJ16" s="1209"/>
      <c r="AK16" s="1209"/>
      <c r="AL16" s="1209"/>
      <c r="AM16" s="1209"/>
      <c r="AN16" s="1209"/>
      <c r="AO16" s="68"/>
      <c r="AP16" s="768"/>
      <c r="AQ16" s="768"/>
      <c r="AR16" s="768"/>
      <c r="AS16" s="768"/>
      <c r="AT16" s="768"/>
      <c r="AU16" s="768"/>
      <c r="AV16" s="768"/>
      <c r="AW16" s="768"/>
      <c r="AX16" s="768"/>
      <c r="AY16" s="768"/>
      <c r="AZ16" s="768"/>
      <c r="BA16" s="768"/>
      <c r="BB16" s="768"/>
      <c r="BC16" s="768"/>
      <c r="BD16" s="768"/>
      <c r="BE16" s="768"/>
      <c r="BF16" s="768"/>
      <c r="BG16" s="768"/>
      <c r="BH16" s="768"/>
      <c r="BI16" s="768"/>
      <c r="CM16" s="768"/>
      <c r="CN16" s="768"/>
      <c r="CO16" s="768"/>
      <c r="CP16" s="768"/>
      <c r="CQ16" s="768"/>
      <c r="CR16" s="768"/>
      <c r="CS16" s="768"/>
      <c r="CT16" s="768"/>
      <c r="CU16" s="768"/>
      <c r="IK16" s="495"/>
      <c r="IL16" s="495"/>
      <c r="IM16" s="495"/>
      <c r="IN16" s="495"/>
      <c r="IO16" s="495"/>
      <c r="IP16" s="495"/>
    </row>
    <row r="17" spans="2:250" s="520" customFormat="1" ht="15">
      <c r="B17" s="310"/>
      <c r="C17" s="1164">
        <f t="shared" si="7"/>
        <v>5</v>
      </c>
      <c r="D17" s="168" t="s">
        <v>2180</v>
      </c>
      <c r="E17" s="316"/>
      <c r="F17" s="316"/>
      <c r="G17" s="316"/>
      <c r="H17" s="316"/>
      <c r="I17" s="317"/>
      <c r="J17" s="317"/>
      <c r="K17" s="317"/>
      <c r="L17" s="317"/>
      <c r="M17" s="317"/>
      <c r="N17" s="317"/>
      <c r="O17" s="317"/>
      <c r="P17" s="364">
        <f t="shared" si="0"/>
        <v>0</v>
      </c>
      <c r="Q17" s="364">
        <f t="shared" si="1"/>
        <v>0</v>
      </c>
      <c r="R17" s="364">
        <f t="shared" si="2"/>
        <v>0</v>
      </c>
      <c r="S17" s="364">
        <f t="shared" si="3"/>
        <v>0</v>
      </c>
      <c r="T17" s="364">
        <f t="shared" si="8"/>
        <v>0</v>
      </c>
      <c r="U17" s="116">
        <f t="shared" si="5"/>
        <v>0</v>
      </c>
      <c r="V17" s="291"/>
      <c r="W17" s="116">
        <f t="shared" si="6"/>
        <v>0</v>
      </c>
      <c r="X17" s="165">
        <f t="shared" si="4"/>
        <v>0</v>
      </c>
      <c r="Y17" s="215"/>
      <c r="Z17" s="217"/>
      <c r="AA17" s="217"/>
      <c r="AB17" s="217"/>
      <c r="AC17" s="217"/>
      <c r="AD17" s="217"/>
      <c r="AE17" s="217"/>
      <c r="AF17" s="218"/>
      <c r="AG17" s="37"/>
      <c r="AH17" s="1209"/>
      <c r="AI17" s="1209"/>
      <c r="AJ17" s="1209"/>
      <c r="AK17" s="1209"/>
      <c r="AL17" s="1209"/>
      <c r="AM17" s="1209"/>
      <c r="AN17" s="1209"/>
      <c r="AO17" s="68"/>
      <c r="AP17" s="768"/>
      <c r="AQ17" s="768"/>
      <c r="AR17" s="768"/>
      <c r="AS17" s="768"/>
      <c r="AT17" s="768"/>
      <c r="AU17" s="768"/>
      <c r="AV17" s="768"/>
      <c r="AW17" s="768"/>
      <c r="AX17" s="768"/>
      <c r="AY17" s="768"/>
      <c r="AZ17" s="768"/>
      <c r="BA17" s="768"/>
      <c r="BB17" s="768"/>
      <c r="BC17" s="768"/>
      <c r="BD17" s="768"/>
      <c r="BE17" s="768"/>
      <c r="BF17" s="768"/>
      <c r="BG17" s="768"/>
      <c r="BH17" s="768"/>
      <c r="BI17" s="768"/>
      <c r="CM17" s="768"/>
      <c r="CN17" s="768"/>
      <c r="CO17" s="768"/>
      <c r="CP17" s="768"/>
      <c r="CQ17" s="768"/>
      <c r="CR17" s="768"/>
      <c r="CS17" s="768"/>
      <c r="CT17" s="768"/>
      <c r="CU17" s="768"/>
      <c r="IK17" s="495"/>
      <c r="IL17" s="495"/>
      <c r="IM17" s="495"/>
      <c r="IN17" s="495"/>
      <c r="IO17" s="495"/>
      <c r="IP17" s="495"/>
    </row>
    <row r="18" spans="2:250" s="520" customFormat="1" ht="15">
      <c r="B18" s="310"/>
      <c r="C18" s="1164">
        <f t="shared" si="7"/>
        <v>6</v>
      </c>
      <c r="D18" s="168" t="s">
        <v>2181</v>
      </c>
      <c r="E18" s="316"/>
      <c r="F18" s="316"/>
      <c r="G18" s="316"/>
      <c r="H18" s="316"/>
      <c r="I18" s="317"/>
      <c r="J18" s="317"/>
      <c r="K18" s="317"/>
      <c r="L18" s="317"/>
      <c r="M18" s="317"/>
      <c r="N18" s="317"/>
      <c r="O18" s="317"/>
      <c r="P18" s="364">
        <f t="shared" si="0"/>
        <v>0</v>
      </c>
      <c r="Q18" s="364">
        <f t="shared" si="1"/>
        <v>0</v>
      </c>
      <c r="R18" s="364">
        <f t="shared" si="2"/>
        <v>0</v>
      </c>
      <c r="S18" s="364">
        <f t="shared" si="3"/>
        <v>0</v>
      </c>
      <c r="T18" s="364">
        <f t="shared" si="8"/>
        <v>0</v>
      </c>
      <c r="U18" s="116">
        <f t="shared" si="5"/>
        <v>0</v>
      </c>
      <c r="V18" s="291"/>
      <c r="W18" s="116">
        <f t="shared" si="6"/>
        <v>0</v>
      </c>
      <c r="X18" s="165">
        <f t="shared" si="4"/>
        <v>0</v>
      </c>
      <c r="Y18" s="215"/>
      <c r="Z18" s="217"/>
      <c r="AA18" s="217"/>
      <c r="AB18" s="217"/>
      <c r="AC18" s="217"/>
      <c r="AD18" s="217"/>
      <c r="AE18" s="217"/>
      <c r="AF18" s="218"/>
      <c r="AG18" s="37"/>
      <c r="AH18" s="1209"/>
      <c r="AI18" s="1209"/>
      <c r="AJ18" s="1209"/>
      <c r="AK18" s="1209"/>
      <c r="AL18" s="1209"/>
      <c r="AM18" s="1209"/>
      <c r="AN18" s="1209"/>
      <c r="AO18" s="68"/>
      <c r="AP18" s="768"/>
      <c r="AQ18" s="768"/>
      <c r="AR18" s="768"/>
      <c r="AS18" s="768"/>
      <c r="AT18" s="768"/>
      <c r="AU18" s="768"/>
      <c r="AV18" s="768"/>
      <c r="AW18" s="768"/>
      <c r="AX18" s="768"/>
      <c r="AY18" s="768"/>
      <c r="AZ18" s="768"/>
      <c r="BA18" s="768"/>
      <c r="BB18" s="768"/>
      <c r="BC18" s="768"/>
      <c r="BD18" s="768"/>
      <c r="BE18" s="768"/>
      <c r="BF18" s="768"/>
      <c r="BG18" s="768"/>
      <c r="BH18" s="768"/>
      <c r="BI18" s="768"/>
      <c r="CM18" s="768"/>
      <c r="CN18" s="768"/>
      <c r="CO18" s="768"/>
      <c r="CP18" s="768"/>
      <c r="CQ18" s="768"/>
      <c r="CR18" s="768"/>
      <c r="CS18" s="768"/>
      <c r="CT18" s="768"/>
      <c r="CU18" s="768"/>
      <c r="IK18" s="495"/>
      <c r="IL18" s="495"/>
      <c r="IM18" s="495"/>
      <c r="IN18" s="495"/>
      <c r="IO18" s="495"/>
      <c r="IP18" s="495"/>
    </row>
    <row r="19" spans="2:250" s="520" customFormat="1" ht="15">
      <c r="B19" s="310"/>
      <c r="C19" s="1164">
        <f t="shared" si="7"/>
        <v>7</v>
      </c>
      <c r="D19" s="168" t="s">
        <v>2182</v>
      </c>
      <c r="E19" s="316"/>
      <c r="F19" s="316"/>
      <c r="G19" s="316"/>
      <c r="H19" s="316"/>
      <c r="I19" s="317"/>
      <c r="J19" s="317"/>
      <c r="K19" s="317"/>
      <c r="L19" s="317"/>
      <c r="M19" s="317"/>
      <c r="N19" s="317"/>
      <c r="O19" s="317"/>
      <c r="P19" s="364">
        <f t="shared" si="0"/>
        <v>0</v>
      </c>
      <c r="Q19" s="364">
        <f t="shared" si="1"/>
        <v>0</v>
      </c>
      <c r="R19" s="364">
        <f t="shared" si="2"/>
        <v>0</v>
      </c>
      <c r="S19" s="364">
        <f t="shared" si="3"/>
        <v>0</v>
      </c>
      <c r="T19" s="364">
        <f t="shared" si="8"/>
        <v>0</v>
      </c>
      <c r="U19" s="116">
        <f t="shared" si="5"/>
        <v>0</v>
      </c>
      <c r="V19" s="291"/>
      <c r="W19" s="116">
        <f t="shared" si="6"/>
        <v>0</v>
      </c>
      <c r="X19" s="165">
        <f t="shared" si="4"/>
        <v>0</v>
      </c>
      <c r="Y19" s="215"/>
      <c r="Z19" s="217"/>
      <c r="AA19" s="217"/>
      <c r="AB19" s="217"/>
      <c r="AC19" s="217"/>
      <c r="AD19" s="217"/>
      <c r="AE19" s="217"/>
      <c r="AF19" s="218"/>
      <c r="AG19" s="37"/>
      <c r="AH19" s="1209"/>
      <c r="AI19" s="1209"/>
      <c r="AJ19" s="1209"/>
      <c r="AK19" s="1209"/>
      <c r="AL19" s="1209"/>
      <c r="AM19" s="1209"/>
      <c r="AN19" s="1209"/>
      <c r="AO19" s="68"/>
      <c r="AP19" s="768"/>
      <c r="AQ19" s="768"/>
      <c r="AR19" s="768"/>
      <c r="AS19" s="768"/>
      <c r="AT19" s="768"/>
      <c r="AU19" s="768"/>
      <c r="AV19" s="768"/>
      <c r="AW19" s="768"/>
      <c r="AX19" s="768"/>
      <c r="AY19" s="768"/>
      <c r="AZ19" s="768"/>
      <c r="BA19" s="768"/>
      <c r="BB19" s="768"/>
      <c r="BC19" s="768"/>
      <c r="BD19" s="768"/>
      <c r="BE19" s="768"/>
      <c r="BF19" s="768"/>
      <c r="BG19" s="768"/>
      <c r="BH19" s="768"/>
      <c r="BI19" s="768"/>
      <c r="CM19" s="768"/>
      <c r="CN19" s="768"/>
      <c r="CO19" s="768"/>
      <c r="CP19" s="768"/>
      <c r="CQ19" s="768"/>
      <c r="CR19" s="768"/>
      <c r="CS19" s="768"/>
      <c r="CT19" s="768"/>
      <c r="CU19" s="768"/>
      <c r="IK19" s="495"/>
      <c r="IL19" s="495"/>
      <c r="IM19" s="495"/>
      <c r="IN19" s="495"/>
      <c r="IO19" s="495"/>
      <c r="IP19" s="495"/>
    </row>
    <row r="20" spans="2:250" s="520" customFormat="1" ht="15">
      <c r="B20" s="310"/>
      <c r="C20" s="1164">
        <f t="shared" si="7"/>
        <v>8</v>
      </c>
      <c r="D20" s="168" t="s">
        <v>2183</v>
      </c>
      <c r="E20" s="316"/>
      <c r="F20" s="316"/>
      <c r="G20" s="316"/>
      <c r="H20" s="316"/>
      <c r="I20" s="317"/>
      <c r="J20" s="317"/>
      <c r="K20" s="317"/>
      <c r="L20" s="317"/>
      <c r="M20" s="317"/>
      <c r="N20" s="317"/>
      <c r="O20" s="317"/>
      <c r="P20" s="364">
        <f t="shared" si="0"/>
        <v>0</v>
      </c>
      <c r="Q20" s="364">
        <f t="shared" si="1"/>
        <v>0</v>
      </c>
      <c r="R20" s="364">
        <f t="shared" si="2"/>
        <v>0</v>
      </c>
      <c r="S20" s="364">
        <f t="shared" si="3"/>
        <v>0</v>
      </c>
      <c r="T20" s="364">
        <f t="shared" si="8"/>
        <v>0</v>
      </c>
      <c r="U20" s="116">
        <f t="shared" si="5"/>
        <v>0</v>
      </c>
      <c r="V20" s="291"/>
      <c r="W20" s="116">
        <f t="shared" si="6"/>
        <v>0</v>
      </c>
      <c r="X20" s="165">
        <f t="shared" si="4"/>
        <v>0</v>
      </c>
      <c r="Y20" s="215"/>
      <c r="Z20" s="217"/>
      <c r="AA20" s="217"/>
      <c r="AB20" s="217"/>
      <c r="AC20" s="217"/>
      <c r="AD20" s="217"/>
      <c r="AE20" s="217"/>
      <c r="AF20" s="218"/>
      <c r="AG20" s="37"/>
      <c r="AH20" s="1209"/>
      <c r="AI20" s="1209"/>
      <c r="AJ20" s="1209"/>
      <c r="AK20" s="1209"/>
      <c r="AL20" s="1209"/>
      <c r="AM20" s="1209"/>
      <c r="AN20" s="1209"/>
      <c r="AO20" s="68"/>
      <c r="AP20" s="768"/>
      <c r="AQ20" s="768"/>
      <c r="AR20" s="768"/>
      <c r="AS20" s="768"/>
      <c r="AT20" s="768"/>
      <c r="AU20" s="768"/>
      <c r="AV20" s="768"/>
      <c r="AW20" s="768"/>
      <c r="AX20" s="768"/>
      <c r="AY20" s="768"/>
      <c r="AZ20" s="768"/>
      <c r="BA20" s="768"/>
      <c r="BB20" s="768"/>
      <c r="BC20" s="768"/>
      <c r="BD20" s="768"/>
      <c r="BE20" s="768"/>
      <c r="BF20" s="768"/>
      <c r="BG20" s="768"/>
      <c r="BH20" s="768"/>
      <c r="BI20" s="768"/>
      <c r="CM20" s="768"/>
      <c r="CN20" s="768"/>
      <c r="CO20" s="768"/>
      <c r="CP20" s="768"/>
      <c r="CQ20" s="768"/>
      <c r="CR20" s="768"/>
      <c r="CS20" s="768"/>
      <c r="CT20" s="768"/>
      <c r="CU20" s="768"/>
      <c r="IK20" s="495"/>
      <c r="IL20" s="495"/>
      <c r="IM20" s="495"/>
      <c r="IN20" s="495"/>
      <c r="IO20" s="495"/>
      <c r="IP20" s="495"/>
    </row>
    <row r="21" spans="2:250" s="520" customFormat="1" ht="15">
      <c r="B21" s="310"/>
      <c r="C21" s="1164">
        <f t="shared" si="7"/>
        <v>9</v>
      </c>
      <c r="D21" s="168" t="s">
        <v>2184</v>
      </c>
      <c r="E21" s="316"/>
      <c r="F21" s="316"/>
      <c r="G21" s="316"/>
      <c r="H21" s="316"/>
      <c r="I21" s="317"/>
      <c r="J21" s="317"/>
      <c r="K21" s="317"/>
      <c r="L21" s="317"/>
      <c r="M21" s="317"/>
      <c r="N21" s="317"/>
      <c r="O21" s="317"/>
      <c r="P21" s="364">
        <f t="shared" si="0"/>
        <v>0</v>
      </c>
      <c r="Q21" s="364">
        <f t="shared" si="1"/>
        <v>0</v>
      </c>
      <c r="R21" s="364">
        <f t="shared" si="2"/>
        <v>0</v>
      </c>
      <c r="S21" s="364">
        <f t="shared" si="3"/>
        <v>0</v>
      </c>
      <c r="T21" s="364">
        <f t="shared" si="8"/>
        <v>0</v>
      </c>
      <c r="U21" s="116">
        <f t="shared" si="5"/>
        <v>0</v>
      </c>
      <c r="V21" s="291"/>
      <c r="W21" s="116">
        <f t="shared" si="6"/>
        <v>0</v>
      </c>
      <c r="X21" s="165">
        <f t="shared" si="4"/>
        <v>0</v>
      </c>
      <c r="Y21" s="215"/>
      <c r="Z21" s="217"/>
      <c r="AA21" s="217"/>
      <c r="AB21" s="217"/>
      <c r="AC21" s="217"/>
      <c r="AD21" s="217"/>
      <c r="AE21" s="217"/>
      <c r="AF21" s="218"/>
      <c r="AG21" s="37"/>
      <c r="AH21" s="1209"/>
      <c r="AI21" s="1209"/>
      <c r="AJ21" s="1209"/>
      <c r="AK21" s="1209"/>
      <c r="AL21" s="1209"/>
      <c r="AM21" s="1209"/>
      <c r="AN21" s="1209"/>
      <c r="AO21" s="68"/>
      <c r="AP21" s="768"/>
      <c r="AQ21" s="768"/>
      <c r="AR21" s="768"/>
      <c r="AS21" s="768"/>
      <c r="AT21" s="768"/>
      <c r="AU21" s="768"/>
      <c r="AV21" s="768"/>
      <c r="AW21" s="768"/>
      <c r="AX21" s="768"/>
      <c r="AY21" s="768"/>
      <c r="AZ21" s="768"/>
      <c r="BA21" s="768"/>
      <c r="BB21" s="768"/>
      <c r="BC21" s="768"/>
      <c r="BD21" s="768"/>
      <c r="BE21" s="768"/>
      <c r="BF21" s="768"/>
      <c r="BG21" s="768"/>
      <c r="BH21" s="768"/>
      <c r="BI21" s="768"/>
      <c r="CM21" s="768"/>
      <c r="CN21" s="768"/>
      <c r="CO21" s="768"/>
      <c r="CP21" s="768"/>
      <c r="CQ21" s="768"/>
      <c r="CR21" s="768"/>
      <c r="CS21" s="768"/>
      <c r="CT21" s="768"/>
      <c r="CU21" s="768"/>
      <c r="IK21" s="495"/>
      <c r="IL21" s="495"/>
      <c r="IM21" s="495"/>
      <c r="IN21" s="495"/>
      <c r="IO21" s="495"/>
      <c r="IP21" s="495"/>
    </row>
    <row r="22" spans="2:250" s="520" customFormat="1" ht="15">
      <c r="B22" s="310"/>
      <c r="C22" s="1164">
        <f t="shared" si="7"/>
        <v>10</v>
      </c>
      <c r="D22" s="168" t="s">
        <v>2185</v>
      </c>
      <c r="E22" s="316"/>
      <c r="F22" s="316"/>
      <c r="G22" s="316"/>
      <c r="H22" s="316"/>
      <c r="I22" s="317"/>
      <c r="J22" s="317"/>
      <c r="K22" s="317"/>
      <c r="L22" s="317"/>
      <c r="M22" s="317"/>
      <c r="N22" s="317"/>
      <c r="O22" s="317"/>
      <c r="P22" s="364">
        <f t="shared" si="0"/>
        <v>0</v>
      </c>
      <c r="Q22" s="364">
        <f t="shared" si="1"/>
        <v>0</v>
      </c>
      <c r="R22" s="364">
        <f t="shared" si="2"/>
        <v>0</v>
      </c>
      <c r="S22" s="364">
        <f t="shared" si="3"/>
        <v>0</v>
      </c>
      <c r="T22" s="364">
        <f t="shared" si="8"/>
        <v>0</v>
      </c>
      <c r="U22" s="116">
        <f t="shared" si="5"/>
        <v>0</v>
      </c>
      <c r="V22" s="291"/>
      <c r="W22" s="116">
        <f t="shared" si="6"/>
        <v>0</v>
      </c>
      <c r="X22" s="165">
        <f t="shared" si="4"/>
        <v>0</v>
      </c>
      <c r="Y22" s="215"/>
      <c r="Z22" s="217"/>
      <c r="AA22" s="217"/>
      <c r="AB22" s="217"/>
      <c r="AC22" s="217"/>
      <c r="AD22" s="217"/>
      <c r="AE22" s="217"/>
      <c r="AF22" s="218"/>
      <c r="AG22" s="37"/>
      <c r="AH22" s="1209"/>
      <c r="AI22" s="1209"/>
      <c r="AJ22" s="1209"/>
      <c r="AK22" s="1209"/>
      <c r="AL22" s="1209"/>
      <c r="AM22" s="1209"/>
      <c r="AN22" s="1209"/>
      <c r="AO22" s="68"/>
      <c r="AP22" s="768"/>
      <c r="AQ22" s="768"/>
      <c r="AR22" s="768"/>
      <c r="AS22" s="768"/>
      <c r="AT22" s="768"/>
      <c r="AU22" s="768"/>
      <c r="AV22" s="768"/>
      <c r="AW22" s="768"/>
      <c r="AX22" s="768"/>
      <c r="AY22" s="768"/>
      <c r="AZ22" s="768"/>
      <c r="BA22" s="768"/>
      <c r="BB22" s="768"/>
      <c r="BC22" s="768"/>
      <c r="BD22" s="768"/>
      <c r="BE22" s="768"/>
      <c r="BF22" s="768"/>
      <c r="BG22" s="768"/>
      <c r="BH22" s="768"/>
      <c r="BI22" s="768"/>
      <c r="CM22" s="768"/>
      <c r="CN22" s="768"/>
      <c r="CO22" s="768"/>
      <c r="CP22" s="768"/>
      <c r="CQ22" s="768"/>
      <c r="CR22" s="768"/>
      <c r="CS22" s="768"/>
      <c r="CT22" s="768"/>
      <c r="CU22" s="768"/>
      <c r="IK22" s="495"/>
      <c r="IL22" s="495"/>
      <c r="IM22" s="495"/>
      <c r="IN22" s="495"/>
      <c r="IO22" s="495"/>
      <c r="IP22" s="495"/>
    </row>
    <row r="23" spans="2:250" s="520" customFormat="1" ht="15">
      <c r="B23" s="310"/>
      <c r="C23" s="1164">
        <f t="shared" si="7"/>
        <v>11</v>
      </c>
      <c r="D23" s="168" t="s">
        <v>2186</v>
      </c>
      <c r="E23" s="316"/>
      <c r="F23" s="316"/>
      <c r="G23" s="316"/>
      <c r="H23" s="316"/>
      <c r="I23" s="317"/>
      <c r="J23" s="317"/>
      <c r="K23" s="317"/>
      <c r="L23" s="317"/>
      <c r="M23" s="317"/>
      <c r="N23" s="317"/>
      <c r="O23" s="317"/>
      <c r="P23" s="364">
        <f t="shared" si="0"/>
        <v>0</v>
      </c>
      <c r="Q23" s="364">
        <f t="shared" si="1"/>
        <v>0</v>
      </c>
      <c r="R23" s="364">
        <f t="shared" si="2"/>
        <v>0</v>
      </c>
      <c r="S23" s="364">
        <f t="shared" si="3"/>
        <v>0</v>
      </c>
      <c r="T23" s="364">
        <f t="shared" si="8"/>
        <v>0</v>
      </c>
      <c r="U23" s="116">
        <f t="shared" si="5"/>
        <v>0</v>
      </c>
      <c r="V23" s="291"/>
      <c r="W23" s="116">
        <f t="shared" si="6"/>
        <v>0</v>
      </c>
      <c r="X23" s="165">
        <f t="shared" si="4"/>
        <v>0</v>
      </c>
      <c r="Y23" s="215"/>
      <c r="Z23" s="217"/>
      <c r="AA23" s="217"/>
      <c r="AB23" s="217"/>
      <c r="AC23" s="217"/>
      <c r="AD23" s="217"/>
      <c r="AE23" s="217"/>
      <c r="AF23" s="218"/>
      <c r="AG23" s="37"/>
      <c r="AH23" s="1210"/>
      <c r="AI23" s="1210"/>
      <c r="AJ23" s="1210"/>
      <c r="AK23" s="1210"/>
      <c r="AL23" s="1210"/>
      <c r="AM23" s="1209"/>
      <c r="AN23" s="1209"/>
      <c r="AO23" s="68"/>
      <c r="AP23" s="768"/>
      <c r="AQ23" s="768"/>
      <c r="AR23" s="768"/>
      <c r="AS23" s="768"/>
      <c r="AT23" s="768"/>
      <c r="AU23" s="768"/>
      <c r="AV23" s="768"/>
      <c r="AW23" s="768"/>
      <c r="AX23" s="768"/>
      <c r="AY23" s="768"/>
      <c r="AZ23" s="768"/>
      <c r="BA23" s="768"/>
      <c r="BB23" s="768"/>
      <c r="BC23" s="768"/>
      <c r="BD23" s="768"/>
      <c r="BE23" s="768"/>
      <c r="BF23" s="768"/>
      <c r="BG23" s="768"/>
      <c r="BH23" s="768"/>
      <c r="BI23" s="768"/>
      <c r="CM23" s="768"/>
      <c r="CN23" s="768"/>
      <c r="CO23" s="768"/>
      <c r="CP23" s="768"/>
      <c r="CQ23" s="768"/>
      <c r="CR23" s="768"/>
      <c r="CS23" s="768"/>
      <c r="CT23" s="768"/>
      <c r="CU23" s="768"/>
      <c r="IK23" s="495"/>
      <c r="IL23" s="495"/>
      <c r="IM23" s="495"/>
      <c r="IN23" s="495"/>
      <c r="IO23" s="495"/>
      <c r="IP23" s="495"/>
    </row>
    <row r="24" spans="2:250" s="520" customFormat="1" ht="15">
      <c r="B24" s="310"/>
      <c r="C24" s="1164">
        <f t="shared" si="7"/>
        <v>12</v>
      </c>
      <c r="D24" s="168" t="s">
        <v>2187</v>
      </c>
      <c r="E24" s="316"/>
      <c r="F24" s="316"/>
      <c r="G24" s="316"/>
      <c r="H24" s="316"/>
      <c r="I24" s="317"/>
      <c r="J24" s="317"/>
      <c r="K24" s="317"/>
      <c r="L24" s="317"/>
      <c r="M24" s="317"/>
      <c r="N24" s="317"/>
      <c r="O24" s="317"/>
      <c r="P24" s="364">
        <f t="shared" si="0"/>
        <v>0</v>
      </c>
      <c r="Q24" s="364">
        <f t="shared" si="1"/>
        <v>0</v>
      </c>
      <c r="R24" s="364">
        <f t="shared" si="2"/>
        <v>0</v>
      </c>
      <c r="S24" s="364">
        <f t="shared" si="3"/>
        <v>0</v>
      </c>
      <c r="T24" s="364">
        <f t="shared" si="8"/>
        <v>0</v>
      </c>
      <c r="U24" s="116">
        <f t="shared" si="5"/>
        <v>0</v>
      </c>
      <c r="V24" s="291"/>
      <c r="W24" s="116">
        <f t="shared" si="6"/>
        <v>0</v>
      </c>
      <c r="X24" s="165">
        <f t="shared" si="4"/>
        <v>0</v>
      </c>
      <c r="Y24" s="215"/>
      <c r="Z24" s="217"/>
      <c r="AA24" s="217"/>
      <c r="AB24" s="217"/>
      <c r="AC24" s="217"/>
      <c r="AD24" s="217"/>
      <c r="AE24" s="217"/>
      <c r="AF24" s="218"/>
      <c r="AG24" s="37"/>
      <c r="AH24" s="1209"/>
      <c r="AI24" s="1209"/>
      <c r="AJ24" s="1209"/>
      <c r="AK24" s="1209"/>
      <c r="AL24" s="1209"/>
      <c r="AM24" s="1209"/>
      <c r="AN24" s="1209"/>
      <c r="AO24" s="68"/>
      <c r="AP24" s="768"/>
      <c r="AQ24" s="768"/>
      <c r="AR24" s="768"/>
      <c r="AS24" s="768"/>
      <c r="AT24" s="768"/>
      <c r="AU24" s="768"/>
      <c r="AV24" s="768"/>
      <c r="AW24" s="768"/>
      <c r="AX24" s="768"/>
      <c r="AY24" s="768"/>
      <c r="AZ24" s="768"/>
      <c r="BA24" s="768"/>
      <c r="BB24" s="768"/>
      <c r="BC24" s="768"/>
      <c r="BD24" s="768"/>
      <c r="BE24" s="768"/>
      <c r="BF24" s="768"/>
      <c r="BG24" s="768"/>
      <c r="BH24" s="768"/>
      <c r="BI24" s="768"/>
      <c r="CM24" s="768"/>
      <c r="CN24" s="768"/>
      <c r="CO24" s="768"/>
      <c r="CP24" s="768"/>
      <c r="CQ24" s="768"/>
      <c r="CR24" s="768"/>
      <c r="CS24" s="768"/>
      <c r="CT24" s="768"/>
      <c r="CU24" s="768"/>
      <c r="IK24" s="495"/>
      <c r="IL24" s="495"/>
      <c r="IM24" s="495"/>
      <c r="IN24" s="495"/>
      <c r="IO24" s="495"/>
      <c r="IP24" s="495"/>
    </row>
    <row r="25" spans="2:250" s="520" customFormat="1" ht="15">
      <c r="B25" s="310"/>
      <c r="C25" s="1164">
        <f t="shared" si="7"/>
        <v>13</v>
      </c>
      <c r="D25" s="168" t="s">
        <v>2188</v>
      </c>
      <c r="E25" s="316"/>
      <c r="F25" s="316"/>
      <c r="G25" s="316"/>
      <c r="H25" s="316"/>
      <c r="I25" s="317"/>
      <c r="J25" s="317"/>
      <c r="K25" s="317"/>
      <c r="L25" s="317"/>
      <c r="M25" s="317"/>
      <c r="N25" s="317"/>
      <c r="O25" s="317"/>
      <c r="P25" s="364">
        <f t="shared" si="0"/>
        <v>0</v>
      </c>
      <c r="Q25" s="364">
        <f t="shared" si="1"/>
        <v>0</v>
      </c>
      <c r="R25" s="364">
        <f t="shared" si="2"/>
        <v>0</v>
      </c>
      <c r="S25" s="364">
        <f t="shared" si="3"/>
        <v>0</v>
      </c>
      <c r="T25" s="364">
        <f t="shared" si="8"/>
        <v>0</v>
      </c>
      <c r="U25" s="116">
        <f t="shared" si="5"/>
        <v>0</v>
      </c>
      <c r="V25" s="291"/>
      <c r="W25" s="116">
        <f t="shared" si="6"/>
        <v>0</v>
      </c>
      <c r="X25" s="165">
        <f t="shared" si="4"/>
        <v>0</v>
      </c>
      <c r="Y25" s="215"/>
      <c r="Z25" s="217"/>
      <c r="AA25" s="217"/>
      <c r="AB25" s="217"/>
      <c r="AC25" s="217"/>
      <c r="AD25" s="217"/>
      <c r="AE25" s="217"/>
      <c r="AF25" s="218"/>
      <c r="AG25" s="37"/>
      <c r="AH25" s="1209"/>
      <c r="AI25" s="1209"/>
      <c r="AJ25" s="1209"/>
      <c r="AK25" s="1209"/>
      <c r="AL25" s="1209"/>
      <c r="AM25" s="1209"/>
      <c r="AN25" s="1209"/>
      <c r="AO25" s="68"/>
      <c r="AP25" s="768"/>
      <c r="AQ25" s="768"/>
      <c r="AR25" s="768"/>
      <c r="AS25" s="768"/>
      <c r="AT25" s="768"/>
      <c r="AU25" s="768"/>
      <c r="AV25" s="768"/>
      <c r="AW25" s="768"/>
      <c r="AX25" s="768"/>
      <c r="AY25" s="768"/>
      <c r="AZ25" s="768"/>
      <c r="BA25" s="768"/>
      <c r="BB25" s="768"/>
      <c r="BC25" s="768"/>
      <c r="BD25" s="768"/>
      <c r="BE25" s="768"/>
      <c r="BF25" s="768"/>
      <c r="BG25" s="768"/>
      <c r="BH25" s="768"/>
      <c r="BI25" s="768"/>
      <c r="CM25" s="768"/>
      <c r="CN25" s="768"/>
      <c r="CO25" s="768"/>
      <c r="CP25" s="768"/>
      <c r="CQ25" s="768"/>
      <c r="CR25" s="768"/>
      <c r="CS25" s="768"/>
      <c r="CT25" s="768"/>
      <c r="CU25" s="768"/>
      <c r="IK25" s="495"/>
      <c r="IL25" s="495"/>
      <c r="IM25" s="495"/>
      <c r="IN25" s="495"/>
      <c r="IO25" s="495"/>
      <c r="IP25" s="495"/>
    </row>
    <row r="26" spans="2:250" s="520" customFormat="1" ht="15">
      <c r="B26" s="310"/>
      <c r="C26" s="1164">
        <f t="shared" si="7"/>
        <v>14</v>
      </c>
      <c r="D26" s="168" t="s">
        <v>2189</v>
      </c>
      <c r="E26" s="316"/>
      <c r="F26" s="316"/>
      <c r="G26" s="316"/>
      <c r="H26" s="316"/>
      <c r="I26" s="317"/>
      <c r="J26" s="317"/>
      <c r="K26" s="317"/>
      <c r="L26" s="317"/>
      <c r="M26" s="317"/>
      <c r="N26" s="317"/>
      <c r="O26" s="317"/>
      <c r="P26" s="364">
        <f t="shared" si="0"/>
        <v>0</v>
      </c>
      <c r="Q26" s="364">
        <f t="shared" si="1"/>
        <v>0</v>
      </c>
      <c r="R26" s="364">
        <f t="shared" si="2"/>
        <v>0</v>
      </c>
      <c r="S26" s="364">
        <f t="shared" si="3"/>
        <v>0</v>
      </c>
      <c r="T26" s="364">
        <f t="shared" si="8"/>
        <v>0</v>
      </c>
      <c r="U26" s="116">
        <f t="shared" si="5"/>
        <v>0</v>
      </c>
      <c r="V26" s="291"/>
      <c r="W26" s="116">
        <f t="shared" si="6"/>
        <v>0</v>
      </c>
      <c r="X26" s="165">
        <f t="shared" si="4"/>
        <v>0</v>
      </c>
      <c r="Y26" s="215"/>
      <c r="Z26" s="217"/>
      <c r="AA26" s="217"/>
      <c r="AB26" s="217"/>
      <c r="AC26" s="217"/>
      <c r="AD26" s="217"/>
      <c r="AE26" s="217"/>
      <c r="AF26" s="218"/>
      <c r="AG26" s="37"/>
      <c r="AH26" s="1209"/>
      <c r="AI26" s="1209"/>
      <c r="AJ26" s="1209"/>
      <c r="AK26" s="1209"/>
      <c r="AL26" s="1209"/>
      <c r="AM26" s="1209"/>
      <c r="AN26" s="1209"/>
      <c r="AO26" s="68"/>
      <c r="AP26" s="768"/>
      <c r="AQ26" s="768"/>
      <c r="AR26" s="768"/>
      <c r="AS26" s="768"/>
      <c r="AT26" s="768"/>
      <c r="AU26" s="768"/>
      <c r="AV26" s="768"/>
      <c r="AW26" s="768"/>
      <c r="AX26" s="768"/>
      <c r="AY26" s="768"/>
      <c r="AZ26" s="768"/>
      <c r="BA26" s="768"/>
      <c r="BB26" s="768"/>
      <c r="BC26" s="768"/>
      <c r="BD26" s="768"/>
      <c r="BE26" s="768"/>
      <c r="BF26" s="768"/>
      <c r="BG26" s="768"/>
      <c r="BH26" s="768"/>
      <c r="BI26" s="768"/>
      <c r="CM26" s="768"/>
      <c r="CN26" s="768"/>
      <c r="CO26" s="768"/>
      <c r="CP26" s="768"/>
      <c r="CQ26" s="768"/>
      <c r="CR26" s="768"/>
      <c r="CS26" s="768"/>
      <c r="CT26" s="768"/>
      <c r="CU26" s="768"/>
      <c r="IK26" s="495"/>
      <c r="IL26" s="495"/>
      <c r="IM26" s="495"/>
      <c r="IN26" s="495"/>
      <c r="IO26" s="495"/>
      <c r="IP26" s="495"/>
    </row>
    <row r="27" spans="2:250" s="520" customFormat="1" ht="15">
      <c r="B27" s="310"/>
      <c r="C27" s="1164">
        <f t="shared" si="7"/>
        <v>15</v>
      </c>
      <c r="D27" s="168" t="s">
        <v>2190</v>
      </c>
      <c r="E27" s="316"/>
      <c r="F27" s="316"/>
      <c r="G27" s="316"/>
      <c r="H27" s="316"/>
      <c r="I27" s="317"/>
      <c r="J27" s="317"/>
      <c r="K27" s="317"/>
      <c r="L27" s="317"/>
      <c r="M27" s="317"/>
      <c r="N27" s="317"/>
      <c r="O27" s="317"/>
      <c r="P27" s="364">
        <f t="shared" si="0"/>
        <v>0</v>
      </c>
      <c r="Q27" s="364">
        <f t="shared" si="1"/>
        <v>0</v>
      </c>
      <c r="R27" s="364">
        <f t="shared" si="2"/>
        <v>0</v>
      </c>
      <c r="S27" s="364">
        <f t="shared" si="3"/>
        <v>0</v>
      </c>
      <c r="T27" s="364">
        <f t="shared" si="8"/>
        <v>0</v>
      </c>
      <c r="U27" s="116">
        <f t="shared" si="5"/>
        <v>0</v>
      </c>
      <c r="V27" s="291"/>
      <c r="W27" s="116">
        <f t="shared" si="6"/>
        <v>0</v>
      </c>
      <c r="X27" s="165">
        <f t="shared" si="4"/>
        <v>0</v>
      </c>
      <c r="Y27" s="215"/>
      <c r="Z27" s="217"/>
      <c r="AA27" s="217"/>
      <c r="AB27" s="217"/>
      <c r="AC27" s="217"/>
      <c r="AD27" s="217"/>
      <c r="AE27" s="217"/>
      <c r="AF27" s="218"/>
      <c r="AG27" s="37"/>
      <c r="AH27" s="1209"/>
      <c r="AI27" s="1209"/>
      <c r="AJ27" s="1209"/>
      <c r="AK27" s="1209"/>
      <c r="AL27" s="1209"/>
      <c r="AM27" s="1209"/>
      <c r="AN27" s="1209"/>
      <c r="AO27" s="68"/>
      <c r="AP27" s="768"/>
      <c r="AQ27" s="768"/>
      <c r="AR27" s="768"/>
      <c r="AS27" s="768"/>
      <c r="AT27" s="768"/>
      <c r="AU27" s="768"/>
      <c r="AV27" s="768"/>
      <c r="AW27" s="768"/>
      <c r="AX27" s="768"/>
      <c r="AY27" s="768"/>
      <c r="AZ27" s="768"/>
      <c r="BA27" s="768"/>
      <c r="BB27" s="768"/>
      <c r="BC27" s="768"/>
      <c r="BD27" s="768"/>
      <c r="BE27" s="768"/>
      <c r="BF27" s="768"/>
      <c r="BG27" s="768"/>
      <c r="BH27" s="768"/>
      <c r="BI27" s="768"/>
      <c r="CM27" s="768"/>
      <c r="CN27" s="768"/>
      <c r="CO27" s="768"/>
      <c r="CP27" s="768"/>
      <c r="CQ27" s="768"/>
      <c r="CR27" s="768"/>
      <c r="CS27" s="768"/>
      <c r="CT27" s="768"/>
      <c r="CU27" s="768"/>
      <c r="IK27" s="495"/>
      <c r="IL27" s="495"/>
      <c r="IM27" s="495"/>
      <c r="IN27" s="495"/>
      <c r="IO27" s="495"/>
      <c r="IP27" s="495"/>
    </row>
    <row r="28" spans="2:250" s="520" customFormat="1" ht="15">
      <c r="B28" s="310"/>
      <c r="C28" s="1164">
        <f t="shared" si="7"/>
        <v>16</v>
      </c>
      <c r="D28" s="168" t="s">
        <v>2191</v>
      </c>
      <c r="E28" s="316"/>
      <c r="F28" s="316"/>
      <c r="G28" s="316"/>
      <c r="H28" s="316"/>
      <c r="I28" s="317"/>
      <c r="J28" s="317"/>
      <c r="K28" s="317"/>
      <c r="L28" s="317"/>
      <c r="M28" s="317"/>
      <c r="N28" s="317"/>
      <c r="O28" s="317"/>
      <c r="P28" s="364">
        <f t="shared" si="0"/>
        <v>0</v>
      </c>
      <c r="Q28" s="364">
        <f t="shared" si="1"/>
        <v>0</v>
      </c>
      <c r="R28" s="364">
        <f t="shared" si="2"/>
        <v>0</v>
      </c>
      <c r="S28" s="364">
        <f t="shared" si="3"/>
        <v>0</v>
      </c>
      <c r="T28" s="364">
        <f t="shared" si="8"/>
        <v>0</v>
      </c>
      <c r="U28" s="116">
        <f t="shared" si="5"/>
        <v>0</v>
      </c>
      <c r="V28" s="291"/>
      <c r="W28" s="116">
        <f t="shared" si="6"/>
        <v>0</v>
      </c>
      <c r="X28" s="165">
        <f t="shared" si="4"/>
        <v>0</v>
      </c>
      <c r="Y28" s="215"/>
      <c r="Z28" s="217"/>
      <c r="AA28" s="217"/>
      <c r="AB28" s="217"/>
      <c r="AC28" s="217"/>
      <c r="AD28" s="217"/>
      <c r="AE28" s="217"/>
      <c r="AF28" s="218"/>
      <c r="AG28" s="37"/>
      <c r="AH28" s="1209"/>
      <c r="AI28" s="1209"/>
      <c r="AJ28" s="1209"/>
      <c r="AK28" s="1209"/>
      <c r="AL28" s="1209"/>
      <c r="AM28" s="1209"/>
      <c r="AN28" s="1209"/>
      <c r="AO28" s="68"/>
      <c r="AP28" s="768"/>
      <c r="AQ28" s="768"/>
      <c r="AR28" s="768"/>
      <c r="AS28" s="768"/>
      <c r="AT28" s="768"/>
      <c r="AU28" s="768"/>
      <c r="AV28" s="768"/>
      <c r="AW28" s="768"/>
      <c r="AX28" s="768"/>
      <c r="AY28" s="768"/>
      <c r="AZ28" s="768"/>
      <c r="BA28" s="768"/>
      <c r="BB28" s="768"/>
      <c r="BC28" s="768"/>
      <c r="BD28" s="768"/>
      <c r="BE28" s="768"/>
      <c r="BF28" s="768"/>
      <c r="BG28" s="768"/>
      <c r="BH28" s="768"/>
      <c r="BI28" s="768"/>
      <c r="CM28" s="768"/>
      <c r="CN28" s="768"/>
      <c r="CO28" s="768"/>
      <c r="CP28" s="768"/>
      <c r="CQ28" s="768"/>
      <c r="CR28" s="768"/>
      <c r="CS28" s="768"/>
      <c r="CT28" s="768"/>
      <c r="CU28" s="768"/>
      <c r="IK28" s="495"/>
      <c r="IL28" s="495"/>
      <c r="IM28" s="495"/>
      <c r="IN28" s="495"/>
      <c r="IO28" s="495"/>
      <c r="IP28" s="495"/>
    </row>
    <row r="29" spans="2:250" s="520" customFormat="1" ht="15">
      <c r="B29" s="310"/>
      <c r="C29" s="1164">
        <f t="shared" si="7"/>
        <v>17</v>
      </c>
      <c r="D29" s="168" t="s">
        <v>2192</v>
      </c>
      <c r="E29" s="316"/>
      <c r="F29" s="316"/>
      <c r="G29" s="316"/>
      <c r="H29" s="316"/>
      <c r="I29" s="317"/>
      <c r="J29" s="317"/>
      <c r="K29" s="317"/>
      <c r="L29" s="317"/>
      <c r="M29" s="317"/>
      <c r="N29" s="317"/>
      <c r="O29" s="317"/>
      <c r="P29" s="364">
        <f t="shared" si="0"/>
        <v>0</v>
      </c>
      <c r="Q29" s="364">
        <f t="shared" si="1"/>
        <v>0</v>
      </c>
      <c r="R29" s="364">
        <f t="shared" si="2"/>
        <v>0</v>
      </c>
      <c r="S29" s="364">
        <f t="shared" si="3"/>
        <v>0</v>
      </c>
      <c r="T29" s="364">
        <f t="shared" si="8"/>
        <v>0</v>
      </c>
      <c r="U29" s="116">
        <f t="shared" si="5"/>
        <v>0</v>
      </c>
      <c r="V29" s="291"/>
      <c r="W29" s="116">
        <f t="shared" si="6"/>
        <v>0</v>
      </c>
      <c r="X29" s="165">
        <f t="shared" si="4"/>
        <v>0</v>
      </c>
      <c r="Y29" s="215"/>
      <c r="Z29" s="217"/>
      <c r="AA29" s="217"/>
      <c r="AB29" s="217"/>
      <c r="AC29" s="217"/>
      <c r="AD29" s="217"/>
      <c r="AE29" s="217"/>
      <c r="AF29" s="218"/>
      <c r="AG29" s="37"/>
      <c r="AH29" s="1209"/>
      <c r="AI29" s="1209"/>
      <c r="AJ29" s="1209"/>
      <c r="AK29" s="1209"/>
      <c r="AL29" s="1209"/>
      <c r="AM29" s="1209"/>
      <c r="AN29" s="1209"/>
      <c r="AO29" s="68"/>
      <c r="AP29" s="768"/>
      <c r="AQ29" s="768"/>
      <c r="AR29" s="768"/>
      <c r="AS29" s="768"/>
      <c r="AT29" s="768"/>
      <c r="AU29" s="768"/>
      <c r="AV29" s="768"/>
      <c r="AW29" s="768"/>
      <c r="AX29" s="768"/>
      <c r="AY29" s="768"/>
      <c r="AZ29" s="768"/>
      <c r="BA29" s="768"/>
      <c r="BB29" s="768"/>
      <c r="BC29" s="768"/>
      <c r="BD29" s="768"/>
      <c r="BE29" s="768"/>
      <c r="BF29" s="768"/>
      <c r="BG29" s="768"/>
      <c r="BH29" s="768"/>
      <c r="BI29" s="768"/>
      <c r="CM29" s="768"/>
      <c r="CN29" s="768"/>
      <c r="CO29" s="768"/>
      <c r="CP29" s="768"/>
      <c r="CQ29" s="768"/>
      <c r="CR29" s="768"/>
      <c r="CS29" s="768"/>
      <c r="CT29" s="768"/>
      <c r="CU29" s="768"/>
      <c r="IK29" s="495"/>
      <c r="IL29" s="495"/>
      <c r="IM29" s="495"/>
      <c r="IN29" s="495"/>
      <c r="IO29" s="495"/>
      <c r="IP29" s="495"/>
    </row>
    <row r="30" spans="2:250" s="520" customFormat="1" ht="15">
      <c r="B30" s="310"/>
      <c r="C30" s="1164">
        <f t="shared" si="7"/>
        <v>18</v>
      </c>
      <c r="D30" s="168" t="s">
        <v>2193</v>
      </c>
      <c r="E30" s="316"/>
      <c r="F30" s="316"/>
      <c r="G30" s="316"/>
      <c r="H30" s="316"/>
      <c r="I30" s="317"/>
      <c r="J30" s="317"/>
      <c r="K30" s="317"/>
      <c r="L30" s="317"/>
      <c r="M30" s="317"/>
      <c r="N30" s="317"/>
      <c r="O30" s="317"/>
      <c r="P30" s="364">
        <f t="shared" si="0"/>
        <v>0</v>
      </c>
      <c r="Q30" s="364">
        <f t="shared" si="1"/>
        <v>0</v>
      </c>
      <c r="R30" s="364">
        <f t="shared" si="2"/>
        <v>0</v>
      </c>
      <c r="S30" s="364">
        <f t="shared" si="3"/>
        <v>0</v>
      </c>
      <c r="T30" s="364">
        <f t="shared" si="8"/>
        <v>0</v>
      </c>
      <c r="U30" s="116">
        <f t="shared" si="5"/>
        <v>0</v>
      </c>
      <c r="V30" s="291"/>
      <c r="W30" s="116">
        <f t="shared" si="6"/>
        <v>0</v>
      </c>
      <c r="X30" s="165">
        <f t="shared" si="4"/>
        <v>0</v>
      </c>
      <c r="Y30" s="215"/>
      <c r="Z30" s="217"/>
      <c r="AA30" s="217"/>
      <c r="AB30" s="217"/>
      <c r="AC30" s="217"/>
      <c r="AD30" s="217"/>
      <c r="AE30" s="217"/>
      <c r="AF30" s="218"/>
      <c r="AG30" s="37"/>
      <c r="AH30" s="1209"/>
      <c r="AI30" s="1209"/>
      <c r="AJ30" s="1209"/>
      <c r="AK30" s="1209"/>
      <c r="AL30" s="1209"/>
      <c r="AM30" s="1209"/>
      <c r="AN30" s="1209"/>
      <c r="AO30" s="68"/>
      <c r="AP30" s="768"/>
      <c r="AQ30" s="768"/>
      <c r="AR30" s="768"/>
      <c r="AS30" s="768"/>
      <c r="AT30" s="768"/>
      <c r="AU30" s="768"/>
      <c r="AV30" s="768"/>
      <c r="AW30" s="768"/>
      <c r="AX30" s="768"/>
      <c r="AY30" s="768"/>
      <c r="AZ30" s="768"/>
      <c r="BA30" s="768"/>
      <c r="BB30" s="768"/>
      <c r="BC30" s="768"/>
      <c r="BD30" s="768"/>
      <c r="BE30" s="768"/>
      <c r="BF30" s="768"/>
      <c r="BG30" s="768"/>
      <c r="BH30" s="768"/>
      <c r="BI30" s="768"/>
      <c r="CM30" s="768"/>
      <c r="CN30" s="768"/>
      <c r="CO30" s="768"/>
      <c r="CP30" s="768"/>
      <c r="CQ30" s="768"/>
      <c r="CR30" s="768"/>
      <c r="CS30" s="768"/>
      <c r="CT30" s="768"/>
      <c r="CU30" s="768"/>
      <c r="IK30" s="495"/>
      <c r="IL30" s="495"/>
      <c r="IM30" s="495"/>
      <c r="IN30" s="495"/>
      <c r="IO30" s="495"/>
      <c r="IP30" s="495"/>
    </row>
    <row r="31" spans="2:250" s="520" customFormat="1" ht="15">
      <c r="B31" s="310"/>
      <c r="C31" s="1164">
        <f t="shared" si="7"/>
        <v>19</v>
      </c>
      <c r="D31" s="168" t="s">
        <v>2194</v>
      </c>
      <c r="E31" s="316"/>
      <c r="F31" s="316"/>
      <c r="G31" s="316"/>
      <c r="H31" s="316"/>
      <c r="I31" s="317"/>
      <c r="J31" s="317"/>
      <c r="K31" s="317"/>
      <c r="L31" s="317"/>
      <c r="M31" s="317"/>
      <c r="N31" s="317"/>
      <c r="O31" s="317"/>
      <c r="P31" s="364">
        <f t="shared" si="0"/>
        <v>0</v>
      </c>
      <c r="Q31" s="364">
        <f t="shared" si="1"/>
        <v>0</v>
      </c>
      <c r="R31" s="364">
        <f t="shared" si="2"/>
        <v>0</v>
      </c>
      <c r="S31" s="364">
        <f t="shared" si="3"/>
        <v>0</v>
      </c>
      <c r="T31" s="364">
        <f t="shared" si="8"/>
        <v>0</v>
      </c>
      <c r="U31" s="116">
        <f t="shared" si="5"/>
        <v>0</v>
      </c>
      <c r="V31" s="291"/>
      <c r="W31" s="116">
        <f t="shared" si="6"/>
        <v>0</v>
      </c>
      <c r="X31" s="165">
        <f t="shared" si="4"/>
        <v>0</v>
      </c>
      <c r="Y31" s="215"/>
      <c r="Z31" s="217"/>
      <c r="AA31" s="217"/>
      <c r="AB31" s="217"/>
      <c r="AC31" s="217"/>
      <c r="AD31" s="217"/>
      <c r="AE31" s="217"/>
      <c r="AF31" s="218"/>
      <c r="AG31" s="37"/>
      <c r="AH31" s="1209"/>
      <c r="AI31" s="1209"/>
      <c r="AJ31" s="1209"/>
      <c r="AK31" s="1209"/>
      <c r="AL31" s="1209"/>
      <c r="AM31" s="1209"/>
      <c r="AN31" s="1209"/>
      <c r="AO31" s="68"/>
      <c r="AP31" s="768"/>
      <c r="AQ31" s="768"/>
      <c r="AR31" s="768"/>
      <c r="AS31" s="768"/>
      <c r="AT31" s="768"/>
      <c r="AU31" s="768"/>
      <c r="AV31" s="768"/>
      <c r="AW31" s="768"/>
      <c r="AX31" s="768"/>
      <c r="AY31" s="768"/>
      <c r="AZ31" s="768"/>
      <c r="BA31" s="768"/>
      <c r="BB31" s="768"/>
      <c r="BC31" s="768"/>
      <c r="BD31" s="768"/>
      <c r="BE31" s="768"/>
      <c r="BF31" s="768"/>
      <c r="BG31" s="768"/>
      <c r="BH31" s="768"/>
      <c r="BI31" s="768"/>
      <c r="CM31" s="768"/>
      <c r="CN31" s="768"/>
      <c r="CO31" s="768"/>
      <c r="CP31" s="768"/>
      <c r="CQ31" s="768"/>
      <c r="CR31" s="768"/>
      <c r="CS31" s="768"/>
      <c r="CT31" s="768"/>
      <c r="CU31" s="768"/>
      <c r="IK31" s="495"/>
      <c r="IL31" s="495"/>
      <c r="IM31" s="495"/>
      <c r="IN31" s="495"/>
      <c r="IO31" s="495"/>
      <c r="IP31" s="495"/>
    </row>
    <row r="32" spans="2:250" s="520" customFormat="1" ht="15">
      <c r="B32" s="301"/>
      <c r="C32" s="1164">
        <f t="shared" si="7"/>
        <v>20</v>
      </c>
      <c r="D32" s="168" t="s">
        <v>2195</v>
      </c>
      <c r="E32" s="316"/>
      <c r="F32" s="316"/>
      <c r="G32" s="316"/>
      <c r="H32" s="316"/>
      <c r="I32" s="317"/>
      <c r="J32" s="317"/>
      <c r="K32" s="317"/>
      <c r="L32" s="317"/>
      <c r="M32" s="317"/>
      <c r="N32" s="317"/>
      <c r="O32" s="317"/>
      <c r="P32" s="364">
        <f t="shared" si="0"/>
        <v>0</v>
      </c>
      <c r="Q32" s="364">
        <f t="shared" si="1"/>
        <v>0</v>
      </c>
      <c r="R32" s="364">
        <f t="shared" si="2"/>
        <v>0</v>
      </c>
      <c r="S32" s="364">
        <f t="shared" si="3"/>
        <v>0</v>
      </c>
      <c r="T32" s="364">
        <f t="shared" si="8"/>
        <v>0</v>
      </c>
      <c r="U32" s="116">
        <f t="shared" si="5"/>
        <v>0</v>
      </c>
      <c r="V32" s="291"/>
      <c r="W32" s="116">
        <f t="shared" si="6"/>
        <v>0</v>
      </c>
      <c r="X32" s="165">
        <f t="shared" si="4"/>
        <v>0</v>
      </c>
      <c r="Y32" s="215"/>
      <c r="Z32" s="217"/>
      <c r="AA32" s="217"/>
      <c r="AB32" s="217"/>
      <c r="AC32" s="217"/>
      <c r="AD32" s="217"/>
      <c r="AE32" s="217"/>
      <c r="AF32" s="218"/>
      <c r="AG32" s="37"/>
      <c r="AH32" s="1209"/>
      <c r="AI32" s="1209"/>
      <c r="AJ32" s="1209"/>
      <c r="AK32" s="1209"/>
      <c r="AL32" s="1209"/>
      <c r="AM32" s="1209"/>
      <c r="AN32" s="1209"/>
      <c r="AO32" s="68"/>
      <c r="AP32" s="768"/>
      <c r="AQ32" s="768"/>
      <c r="AR32" s="768"/>
      <c r="AS32" s="768"/>
      <c r="AT32" s="768"/>
      <c r="AU32" s="768"/>
      <c r="AV32" s="768"/>
      <c r="AW32" s="768"/>
      <c r="AX32" s="768"/>
      <c r="AY32" s="768"/>
      <c r="AZ32" s="768"/>
      <c r="BA32" s="768"/>
      <c r="BB32" s="768"/>
      <c r="BC32" s="768"/>
      <c r="BD32" s="768"/>
      <c r="BE32" s="768"/>
      <c r="BF32" s="768"/>
      <c r="BG32" s="768"/>
      <c r="BH32" s="768"/>
      <c r="BI32" s="768"/>
      <c r="CM32" s="768"/>
      <c r="CN32" s="768"/>
      <c r="CO32" s="768"/>
      <c r="CP32" s="768"/>
      <c r="CQ32" s="768"/>
      <c r="CR32" s="768"/>
      <c r="CS32" s="768"/>
      <c r="CT32" s="768"/>
      <c r="CU32" s="768"/>
      <c r="IK32" s="495"/>
      <c r="IL32" s="495"/>
      <c r="IM32" s="495"/>
      <c r="IN32" s="495"/>
      <c r="IO32" s="495"/>
      <c r="IP32" s="495"/>
    </row>
    <row r="33" spans="2:258" s="520" customFormat="1" ht="18" customHeight="1">
      <c r="E33" s="868"/>
      <c r="F33" s="868"/>
      <c r="G33" s="868"/>
      <c r="H33" s="868"/>
      <c r="I33" s="868"/>
      <c r="J33" s="868"/>
      <c r="K33" s="869"/>
      <c r="L33" s="869"/>
      <c r="M33" s="869"/>
      <c r="N33" s="868"/>
      <c r="O33" s="868"/>
      <c r="P33" s="791"/>
      <c r="Q33" s="872"/>
      <c r="R33" s="872"/>
      <c r="S33" s="872"/>
      <c r="T33" s="872"/>
      <c r="U33" s="872"/>
      <c r="V33" s="882"/>
      <c r="W33" s="882"/>
      <c r="X33" s="882"/>
      <c r="Y33" s="882"/>
      <c r="AA33" s="495"/>
      <c r="AC33" s="768"/>
      <c r="AD33" s="768"/>
      <c r="AE33" s="768"/>
      <c r="AF33" s="768"/>
      <c r="AG33" s="768"/>
      <c r="AH33" s="768"/>
      <c r="AI33" s="768"/>
      <c r="AJ33" s="768"/>
      <c r="AK33" s="768"/>
      <c r="AL33" s="768"/>
      <c r="AM33" s="768"/>
      <c r="AN33" s="768"/>
      <c r="AO33" s="768"/>
      <c r="AP33" s="768"/>
      <c r="AQ33" s="768"/>
      <c r="AR33" s="768"/>
      <c r="AS33" s="768"/>
      <c r="AT33" s="768"/>
      <c r="AU33" s="768"/>
      <c r="AV33" s="768"/>
      <c r="AW33" s="768"/>
      <c r="AX33" s="768"/>
      <c r="AY33" s="768"/>
      <c r="AZ33" s="768"/>
      <c r="BA33" s="768"/>
      <c r="BB33" s="768"/>
      <c r="BC33" s="768"/>
      <c r="BD33" s="768"/>
      <c r="BE33" s="768"/>
      <c r="BF33" s="768"/>
      <c r="BG33" s="768"/>
      <c r="BH33" s="768"/>
      <c r="BI33" s="768"/>
      <c r="CM33" s="768"/>
      <c r="CN33" s="768"/>
      <c r="CO33" s="768"/>
      <c r="CP33" s="768"/>
      <c r="CQ33" s="768"/>
      <c r="CR33" s="768"/>
      <c r="CS33" s="768"/>
      <c r="CT33" s="768"/>
      <c r="CU33" s="768"/>
      <c r="IK33" s="495"/>
      <c r="IL33" s="495"/>
      <c r="IM33" s="495"/>
      <c r="IN33" s="495"/>
      <c r="IO33" s="495"/>
      <c r="IP33" s="495"/>
      <c r="IQ33" s="734"/>
      <c r="IR33" s="734"/>
      <c r="IS33" s="734"/>
      <c r="IT33" s="734"/>
      <c r="IU33" s="734"/>
      <c r="IV33" s="734"/>
      <c r="IW33" s="897"/>
    </row>
    <row r="34" spans="2:258" s="520" customFormat="1" ht="18" customHeight="1">
      <c r="D34" s="1183"/>
      <c r="E34" s="372">
        <f>SUM(E12:E33)</f>
        <v>0</v>
      </c>
      <c r="F34" s="372">
        <f>SUM(F12:F33)</f>
        <v>0</v>
      </c>
      <c r="G34" s="372">
        <f t="shared" ref="G34:I34" si="9">SUM(G12:G33)</f>
        <v>0</v>
      </c>
      <c r="H34" s="372">
        <f t="shared" si="9"/>
        <v>0</v>
      </c>
      <c r="I34" s="372">
        <f t="shared" si="9"/>
        <v>0</v>
      </c>
      <c r="J34" s="372">
        <f t="shared" ref="J34:U34" si="10">SUM(J12:J33)</f>
        <v>0</v>
      </c>
      <c r="K34" s="372">
        <f t="shared" si="10"/>
        <v>0</v>
      </c>
      <c r="L34" s="372">
        <f t="shared" si="10"/>
        <v>0</v>
      </c>
      <c r="M34" s="372">
        <f t="shared" si="10"/>
        <v>0</v>
      </c>
      <c r="N34" s="372">
        <f t="shared" si="10"/>
        <v>0</v>
      </c>
      <c r="O34" s="372">
        <f t="shared" si="10"/>
        <v>0</v>
      </c>
      <c r="P34" s="1184">
        <f t="shared" si="10"/>
        <v>0</v>
      </c>
      <c r="Q34" s="1184">
        <f t="shared" si="10"/>
        <v>0</v>
      </c>
      <c r="R34" s="1184">
        <f t="shared" si="10"/>
        <v>0</v>
      </c>
      <c r="S34" s="1184">
        <f t="shared" si="10"/>
        <v>0</v>
      </c>
      <c r="T34" s="1185">
        <f t="shared" si="10"/>
        <v>0</v>
      </c>
      <c r="U34" s="1186">
        <f t="shared" si="10"/>
        <v>0</v>
      </c>
      <c r="V34" s="1187">
        <f>SUM(V13:V32)</f>
        <v>0</v>
      </c>
      <c r="W34" s="1186">
        <f>SUM(W13:W32)</f>
        <v>0</v>
      </c>
      <c r="X34" s="165">
        <f>IF(E34=0,0,W34/E34)</f>
        <v>0</v>
      </c>
      <c r="Y34" s="793" t="s">
        <v>95</v>
      </c>
      <c r="AA34" s="495"/>
      <c r="AB34" s="768"/>
      <c r="AC34" s="768"/>
      <c r="AD34" s="768"/>
      <c r="AE34" s="768"/>
      <c r="AF34" s="768"/>
      <c r="AG34" s="768"/>
      <c r="AH34" s="768"/>
      <c r="AI34" s="768"/>
      <c r="AJ34" s="768"/>
      <c r="AK34" s="768"/>
      <c r="AL34" s="768"/>
      <c r="AM34" s="768"/>
      <c r="AN34" s="768"/>
      <c r="AO34" s="768"/>
      <c r="AP34" s="768"/>
      <c r="AQ34" s="768"/>
      <c r="AR34" s="768"/>
      <c r="AS34" s="768"/>
      <c r="AT34" s="768"/>
      <c r="AU34" s="768"/>
      <c r="AV34" s="768"/>
      <c r="AW34" s="768"/>
      <c r="AX34" s="768"/>
      <c r="AY34" s="768"/>
      <c r="AZ34" s="768"/>
      <c r="BA34" s="768"/>
      <c r="BB34" s="768"/>
      <c r="BC34" s="768"/>
      <c r="BD34" s="768"/>
      <c r="BE34" s="768"/>
      <c r="BF34" s="768"/>
      <c r="BG34" s="768"/>
      <c r="BH34" s="768"/>
      <c r="BI34" s="768"/>
      <c r="CM34" s="768"/>
      <c r="CN34" s="768"/>
      <c r="CO34" s="768"/>
      <c r="CP34" s="768"/>
      <c r="CQ34" s="768"/>
      <c r="CR34" s="768"/>
      <c r="CS34" s="768"/>
      <c r="CT34" s="768"/>
      <c r="CU34" s="768"/>
      <c r="IK34" s="495"/>
      <c r="IL34" s="495"/>
      <c r="IM34" s="495"/>
      <c r="IN34" s="495"/>
      <c r="IO34" s="495"/>
      <c r="IP34" s="495"/>
    </row>
    <row r="35" spans="2:258" s="520" customFormat="1" ht="18" customHeight="1">
      <c r="E35" s="927"/>
      <c r="F35" s="927"/>
      <c r="G35" s="768"/>
      <c r="H35" s="768"/>
      <c r="I35" s="768"/>
      <c r="J35" s="768"/>
      <c r="K35" s="768"/>
      <c r="L35" s="768"/>
      <c r="M35" s="768"/>
      <c r="N35" s="768"/>
      <c r="O35" s="768"/>
      <c r="P35" s="797">
        <f>AA67</f>
        <v>0</v>
      </c>
      <c r="Q35" s="797">
        <f>E100</f>
        <v>0</v>
      </c>
      <c r="R35" s="797">
        <f>K34</f>
        <v>0</v>
      </c>
      <c r="S35" s="797">
        <f>N34</f>
        <v>0</v>
      </c>
      <c r="T35" s="797">
        <f>I197</f>
        <v>0</v>
      </c>
      <c r="U35" s="882"/>
      <c r="W35" s="495"/>
      <c r="AC35" s="768"/>
      <c r="AD35" s="768"/>
      <c r="AE35" s="768"/>
      <c r="AF35" s="768"/>
      <c r="AG35" s="768"/>
      <c r="AH35" s="768"/>
      <c r="AI35" s="768"/>
      <c r="AJ35" s="768"/>
      <c r="AK35" s="768"/>
      <c r="AL35" s="768"/>
      <c r="AM35" s="768"/>
      <c r="AN35" s="768"/>
      <c r="AO35" s="768"/>
      <c r="AP35" s="768"/>
      <c r="AQ35" s="768"/>
      <c r="AR35" s="768"/>
      <c r="AS35" s="768"/>
      <c r="AT35" s="768"/>
      <c r="AU35" s="768"/>
      <c r="AV35" s="768"/>
      <c r="AW35" s="768"/>
      <c r="AX35" s="768"/>
      <c r="AY35" s="768"/>
      <c r="AZ35" s="768"/>
      <c r="BA35" s="768"/>
      <c r="BB35" s="768"/>
      <c r="BC35" s="768"/>
      <c r="BD35" s="768"/>
      <c r="BE35" s="768"/>
      <c r="BF35" s="768"/>
      <c r="BG35" s="768"/>
      <c r="BH35" s="768"/>
      <c r="BI35" s="768"/>
      <c r="CM35" s="768"/>
      <c r="CN35" s="768"/>
      <c r="CO35" s="768"/>
      <c r="CP35" s="768"/>
      <c r="CQ35" s="768"/>
      <c r="CR35" s="768"/>
      <c r="CS35" s="768"/>
      <c r="CT35" s="768"/>
      <c r="CU35" s="768"/>
      <c r="IK35" s="495"/>
      <c r="IL35" s="495"/>
      <c r="IM35" s="495"/>
      <c r="IN35" s="495"/>
      <c r="IO35" s="495"/>
      <c r="IP35" s="495"/>
    </row>
    <row r="36" spans="2:258" ht="18" customHeight="1">
      <c r="E36" s="1048"/>
      <c r="S36" s="475"/>
      <c r="T36" s="475"/>
      <c r="U36" s="475"/>
      <c r="V36" s="475"/>
      <c r="W36" s="475"/>
      <c r="X36" s="475"/>
      <c r="Y36" s="475"/>
      <c r="Z36" s="475"/>
      <c r="AA36" s="475"/>
      <c r="BC36" s="474"/>
      <c r="BD36" s="474"/>
      <c r="BE36" s="474"/>
      <c r="BF36" s="474"/>
      <c r="BG36" s="474"/>
      <c r="BH36" s="474"/>
      <c r="CF36" s="475"/>
      <c r="CG36" s="475"/>
      <c r="CH36" s="475"/>
      <c r="CI36" s="475"/>
      <c r="CJ36" s="475"/>
      <c r="CK36" s="475"/>
      <c r="CO36" s="474"/>
      <c r="CP36" s="474"/>
      <c r="CQ36" s="474"/>
      <c r="CR36" s="474"/>
      <c r="CS36" s="474"/>
      <c r="CT36" s="474"/>
      <c r="IJ36" s="434"/>
      <c r="IK36" s="434"/>
      <c r="IL36" s="434"/>
      <c r="IM36" s="434"/>
      <c r="IN36" s="434"/>
      <c r="IO36" s="434"/>
    </row>
    <row r="37" spans="2:258" ht="18" customHeight="1">
      <c r="E37" s="1048"/>
      <c r="N37" s="1075" t="str">
        <f>IF(N40="","No Alert","Enter justification")</f>
        <v>No Alert</v>
      </c>
      <c r="O37" s="1067"/>
      <c r="P37" s="1075" t="str">
        <f>IF(P40="","No Alert","Enter justification")</f>
        <v>No Alert</v>
      </c>
      <c r="X37" s="906" t="str">
        <f>IF(X40="","No Alert","Enter justification")</f>
        <v>No Alert</v>
      </c>
      <c r="Y37" s="906" t="str">
        <f>IF(Y40="","No Alert","Enter justification")</f>
        <v>No Alert</v>
      </c>
      <c r="BC37" s="474"/>
      <c r="BD37" s="474"/>
      <c r="BE37" s="474"/>
      <c r="BF37" s="474"/>
      <c r="BG37" s="474"/>
      <c r="CF37" s="475"/>
      <c r="CG37" s="475"/>
      <c r="CH37" s="475"/>
      <c r="CI37" s="475"/>
      <c r="CJ37" s="475"/>
      <c r="CO37" s="474"/>
      <c r="CP37" s="474"/>
      <c r="CQ37" s="474"/>
      <c r="CR37" s="474"/>
      <c r="CS37" s="474"/>
      <c r="IJ37" s="434"/>
      <c r="IK37" s="434"/>
      <c r="IL37" s="434"/>
      <c r="IM37" s="434"/>
      <c r="IN37" s="434"/>
      <c r="IO37" s="434"/>
    </row>
    <row r="38" spans="2:258" ht="18" customHeight="1">
      <c r="E38" s="1048"/>
      <c r="G38" s="1032"/>
      <c r="K38" s="848"/>
      <c r="L38" s="289" t="str">
        <f>Subrates_Table_6</f>
        <v>Subrates Table 6</v>
      </c>
      <c r="M38" s="848" t="s">
        <v>1596</v>
      </c>
      <c r="N38" s="828" t="str">
        <f>TOV!$C484</f>
        <v>#10.02</v>
      </c>
      <c r="O38" s="848" t="s">
        <v>1596</v>
      </c>
      <c r="P38" s="828" t="str">
        <f>TOV!$C485</f>
        <v>#10.03</v>
      </c>
      <c r="Q38" s="475"/>
      <c r="W38" s="848" t="s">
        <v>1596</v>
      </c>
      <c r="X38" s="828" t="str">
        <f>_xlfn.CONCAT(TOV!$C$487," + ",TOV!$C$488)</f>
        <v>#10.05 + #10.06</v>
      </c>
      <c r="Y38" s="828" t="str">
        <f>_xlfn.CONCAT(TOV!$C$486," + ",TOV!$C$488)</f>
        <v>#10.04 + #10.06</v>
      </c>
      <c r="Z38" s="475"/>
      <c r="AJ38" s="475"/>
      <c r="AK38" s="475"/>
      <c r="AL38" s="475"/>
      <c r="AM38" s="475"/>
      <c r="AN38" s="475"/>
      <c r="AO38" s="475"/>
      <c r="AP38" s="475"/>
      <c r="AQ38" s="475"/>
      <c r="AR38" s="475"/>
      <c r="AS38" s="475"/>
      <c r="AT38" s="475"/>
      <c r="AU38" s="475"/>
      <c r="AV38" s="475"/>
      <c r="AW38" s="475"/>
      <c r="AX38" s="475"/>
      <c r="AY38" s="475"/>
      <c r="AZ38" s="475"/>
      <c r="BA38" s="475"/>
      <c r="BC38" s="474"/>
      <c r="CF38" s="475"/>
      <c r="CG38" s="475"/>
      <c r="CH38" s="475"/>
      <c r="CO38" s="474"/>
      <c r="CP38" s="474"/>
      <c r="CQ38" s="474"/>
      <c r="IH38" s="434"/>
      <c r="II38" s="434"/>
      <c r="IJ38" s="434"/>
      <c r="IK38" s="434"/>
      <c r="IL38" s="434"/>
      <c r="IM38" s="434"/>
    </row>
    <row r="39" spans="2:258" ht="18" customHeight="1">
      <c r="E39" s="1048"/>
      <c r="G39" s="1032"/>
      <c r="K39" s="848"/>
      <c r="L39" s="81">
        <f>Subrates!$C$105</f>
        <v>2885.2856380177936</v>
      </c>
      <c r="M39" s="848" t="s">
        <v>35</v>
      </c>
      <c r="N39" s="81">
        <f>VLOOKUP(N38,TOV!$C$483:$G$489,TOV!$F$1,FALSE)</f>
        <v>24.04779639015516</v>
      </c>
      <c r="O39" s="848" t="s">
        <v>35</v>
      </c>
      <c r="P39" s="81">
        <f>VLOOKUP(P38,TOV!$C$483:$G$489,4,FALSE)</f>
        <v>47.775250750387507</v>
      </c>
      <c r="S39" s="475"/>
      <c r="T39" s="475"/>
      <c r="U39" s="475"/>
      <c r="W39" s="848" t="s">
        <v>35</v>
      </c>
      <c r="X39" s="81">
        <f>TOV!$F$487+(TOV!$F$488*1000)</f>
        <v>16995</v>
      </c>
      <c r="Y39" s="81">
        <f>TOV!$F$486+TOV!$F$488</f>
        <v>224.97200000000004</v>
      </c>
      <c r="AE39" s="475"/>
      <c r="AF39" s="475"/>
      <c r="AG39" s="475"/>
      <c r="AH39" s="475"/>
      <c r="AI39" s="475"/>
      <c r="AJ39" s="475"/>
      <c r="AK39" s="475"/>
      <c r="AL39" s="475"/>
      <c r="AM39" s="475"/>
      <c r="AN39" s="475"/>
      <c r="AO39" s="475"/>
      <c r="AP39" s="475"/>
      <c r="AQ39" s="475"/>
      <c r="AR39" s="475"/>
      <c r="AS39" s="475"/>
      <c r="AT39" s="475"/>
      <c r="AU39" s="475"/>
      <c r="AV39" s="475"/>
      <c r="AY39" s="475"/>
      <c r="AZ39" s="475"/>
      <c r="BA39" s="475"/>
      <c r="BB39" s="475"/>
      <c r="CD39" s="474"/>
      <c r="CE39" s="474"/>
      <c r="CM39" s="475"/>
      <c r="CN39" s="475"/>
      <c r="IC39" s="434"/>
      <c r="ID39" s="434"/>
      <c r="IE39" s="434"/>
      <c r="IF39" s="434"/>
      <c r="IG39" s="434"/>
      <c r="IH39" s="434"/>
    </row>
    <row r="40" spans="2:258" ht="18" customHeight="1">
      <c r="G40" s="1032"/>
      <c r="J40" s="848" t="s">
        <v>2196</v>
      </c>
      <c r="K40" s="848"/>
      <c r="L40" s="1188"/>
      <c r="M40" s="848" t="s">
        <v>1556</v>
      </c>
      <c r="N40" s="292"/>
      <c r="O40" s="848" t="s">
        <v>1556</v>
      </c>
      <c r="P40" s="292"/>
      <c r="S40" s="475"/>
      <c r="T40" s="475"/>
      <c r="U40" s="475"/>
      <c r="W40" s="848" t="s">
        <v>1556</v>
      </c>
      <c r="X40" s="117"/>
      <c r="Y40" s="117"/>
      <c r="AE40" s="475"/>
      <c r="AF40" s="475"/>
      <c r="AG40" s="475"/>
      <c r="AH40" s="475"/>
      <c r="AI40" s="475"/>
      <c r="AJ40" s="475"/>
      <c r="AK40" s="475"/>
      <c r="AL40" s="475"/>
      <c r="AM40" s="1162"/>
      <c r="AN40" s="1162"/>
      <c r="AO40" s="1162"/>
      <c r="AP40" s="1162"/>
      <c r="AQ40" s="1162"/>
      <c r="AR40" s="1162"/>
      <c r="AS40" s="1162"/>
      <c r="AT40" s="1162"/>
      <c r="AU40" s="1162"/>
      <c r="AV40" s="1162"/>
      <c r="AW40" s="475"/>
      <c r="AX40" s="475"/>
      <c r="AY40" s="475"/>
      <c r="AZ40" s="475"/>
      <c r="BA40" s="475"/>
      <c r="BB40" s="475"/>
      <c r="CD40" s="474"/>
      <c r="CE40" s="474"/>
      <c r="CM40" s="475"/>
      <c r="CN40" s="475"/>
      <c r="IC40" s="434"/>
      <c r="ID40" s="434"/>
      <c r="IE40" s="434"/>
      <c r="IF40" s="434"/>
      <c r="IG40" s="434"/>
      <c r="IH40" s="434"/>
    </row>
    <row r="41" spans="2:258" ht="18" customHeight="1">
      <c r="B41" s="288" t="s">
        <v>26</v>
      </c>
      <c r="C41" s="761" t="s">
        <v>2197</v>
      </c>
      <c r="D41" s="761"/>
      <c r="F41" s="768" t="s">
        <v>1599</v>
      </c>
      <c r="G41" s="824">
        <v>2.5</v>
      </c>
      <c r="H41" s="851">
        <v>5</v>
      </c>
      <c r="I41" s="851">
        <v>2</v>
      </c>
      <c r="J41" s="1189">
        <v>0.15</v>
      </c>
      <c r="K41" s="848" t="s">
        <v>1597</v>
      </c>
      <c r="L41" s="82" t="str">
        <f>Subrates!D105</f>
        <v>ha</v>
      </c>
      <c r="M41" s="848" t="s">
        <v>1597</v>
      </c>
      <c r="N41" s="82" t="str">
        <f>VLOOKUP(N38,TOV!$C$483:$G$489,TOV!$G$1,FALSE)</f>
        <v>m</v>
      </c>
      <c r="O41" s="848" t="s">
        <v>1597</v>
      </c>
      <c r="P41" s="82" t="str">
        <f>VLOOKUP(P38,TOV!$C$483:$G$489,TOV!$G$1,FALSE)</f>
        <v>m</v>
      </c>
      <c r="Q41" s="1032"/>
      <c r="R41" s="1032"/>
      <c r="S41" s="1032"/>
      <c r="T41" s="475"/>
      <c r="U41" s="475"/>
      <c r="W41" s="848" t="s">
        <v>1597</v>
      </c>
      <c r="X41" s="828" t="str">
        <f>TOV!$G$488</f>
        <v>m</v>
      </c>
      <c r="Y41" s="828" t="str">
        <f>TOV!$G$488</f>
        <v>m</v>
      </c>
      <c r="AB41" s="1032"/>
      <c r="AC41" s="1032"/>
      <c r="AD41" s="1032"/>
      <c r="AE41" s="770"/>
      <c r="AF41" s="770"/>
      <c r="AG41" s="770"/>
      <c r="AH41" s="770"/>
      <c r="CD41" s="474"/>
      <c r="CE41" s="474"/>
      <c r="CM41" s="475"/>
      <c r="CN41" s="475"/>
    </row>
    <row r="42" spans="2:258" ht="18" customHeight="1">
      <c r="B42" s="1176" t="s">
        <v>2152</v>
      </c>
      <c r="C42" s="1177"/>
      <c r="D42" s="1178"/>
      <c r="E42" s="1177"/>
      <c r="F42" s="1176" t="s">
        <v>2198</v>
      </c>
      <c r="G42" s="1177"/>
      <c r="H42" s="1177"/>
      <c r="I42" s="1177"/>
      <c r="J42" s="1177"/>
      <c r="K42" s="1177"/>
      <c r="L42" s="1177"/>
      <c r="M42" s="1176" t="s">
        <v>2199</v>
      </c>
      <c r="N42" s="1177"/>
      <c r="O42" s="1177"/>
      <c r="P42" s="1177"/>
      <c r="Q42" s="1177"/>
      <c r="R42" s="1177"/>
      <c r="S42" s="1177"/>
      <c r="T42" s="1177"/>
      <c r="U42" s="1177"/>
      <c r="V42" s="1176" t="s">
        <v>2200</v>
      </c>
      <c r="W42" s="1177"/>
      <c r="X42" s="1177"/>
      <c r="Y42" s="1177"/>
      <c r="Z42" s="1178"/>
      <c r="AE42" s="770"/>
      <c r="AF42" s="770"/>
      <c r="AG42" s="770"/>
      <c r="AH42" s="770"/>
      <c r="CE42" s="474"/>
      <c r="CN42" s="475"/>
    </row>
    <row r="43" spans="2:258" ht="72">
      <c r="B43" s="774" t="s">
        <v>1517</v>
      </c>
      <c r="C43" s="774" t="s">
        <v>27</v>
      </c>
      <c r="D43" s="774" t="s">
        <v>1583</v>
      </c>
      <c r="E43" s="773" t="s">
        <v>2201</v>
      </c>
      <c r="F43" s="773" t="s">
        <v>2202</v>
      </c>
      <c r="G43" s="773" t="s">
        <v>2203</v>
      </c>
      <c r="H43" s="773" t="s">
        <v>2204</v>
      </c>
      <c r="I43" s="773" t="s">
        <v>2205</v>
      </c>
      <c r="J43" s="773" t="s">
        <v>2206</v>
      </c>
      <c r="K43" s="773" t="s">
        <v>2207</v>
      </c>
      <c r="L43" s="773" t="s">
        <v>2208</v>
      </c>
      <c r="M43" s="773" t="s">
        <v>2209</v>
      </c>
      <c r="N43" s="773" t="s">
        <v>2210</v>
      </c>
      <c r="O43" s="773" t="s">
        <v>2211</v>
      </c>
      <c r="P43" s="773" t="s">
        <v>2212</v>
      </c>
      <c r="Q43" s="812" t="s">
        <v>2213</v>
      </c>
      <c r="R43" s="773" t="s">
        <v>1701</v>
      </c>
      <c r="S43" s="773" t="s">
        <v>2214</v>
      </c>
      <c r="T43" s="773" t="s">
        <v>2215</v>
      </c>
      <c r="U43" s="773" t="s">
        <v>2216</v>
      </c>
      <c r="V43" s="773" t="s">
        <v>2217</v>
      </c>
      <c r="W43" s="773" t="s">
        <v>2218</v>
      </c>
      <c r="X43" s="773" t="s">
        <v>2219</v>
      </c>
      <c r="Y43" s="774" t="s">
        <v>2220</v>
      </c>
      <c r="Z43" s="773" t="s">
        <v>2221</v>
      </c>
      <c r="AA43" s="775" t="str">
        <f>C41</f>
        <v>Safety Bund, Fencing, Signs</v>
      </c>
      <c r="AB43" s="776" t="s">
        <v>1645</v>
      </c>
      <c r="AC43" s="777"/>
      <c r="AD43" s="777"/>
      <c r="AE43" s="777"/>
      <c r="AF43" s="777"/>
      <c r="AG43" s="777"/>
      <c r="AH43" s="777"/>
      <c r="AI43" s="778"/>
      <c r="AJ43" s="475"/>
      <c r="AK43" s="475"/>
      <c r="AL43" s="475"/>
      <c r="AM43" s="475"/>
      <c r="AN43" s="475"/>
      <c r="AO43" s="475"/>
      <c r="AP43" s="475"/>
      <c r="AQ43" s="475"/>
      <c r="AR43" s="475"/>
      <c r="AS43" s="475"/>
      <c r="AT43" s="475"/>
      <c r="AU43" s="475"/>
      <c r="AV43" s="475"/>
      <c r="AW43" s="475"/>
      <c r="AX43" s="475"/>
      <c r="AY43" s="475"/>
      <c r="AZ43" s="475"/>
      <c r="BA43" s="475"/>
      <c r="BB43" s="475"/>
      <c r="CF43" s="475"/>
      <c r="CG43" s="475"/>
      <c r="CH43" s="475"/>
      <c r="CI43" s="475"/>
      <c r="CJ43" s="475"/>
      <c r="CK43" s="475"/>
      <c r="CL43" s="475"/>
      <c r="CM43" s="475"/>
      <c r="CN43" s="475"/>
      <c r="IC43" s="434"/>
      <c r="ID43" s="434"/>
      <c r="IE43" s="434"/>
      <c r="IF43" s="434"/>
      <c r="IG43" s="434"/>
      <c r="IH43" s="434"/>
    </row>
    <row r="44" spans="2:258" ht="18" customHeight="1">
      <c r="B44" s="474"/>
      <c r="C44" s="474"/>
      <c r="D44" s="474"/>
      <c r="L44" s="768"/>
      <c r="M44" s="125" t="s">
        <v>1646</v>
      </c>
      <c r="N44" s="768"/>
      <c r="O44" s="125" t="s">
        <v>1646</v>
      </c>
      <c r="Q44" s="125" t="s">
        <v>1646</v>
      </c>
      <c r="R44" s="125" t="s">
        <v>1646</v>
      </c>
      <c r="S44" s="225" t="str">
        <f>Subrates_Table_1</f>
        <v>Subrates Table 1</v>
      </c>
      <c r="V44" s="1040"/>
      <c r="W44" s="1040"/>
      <c r="AB44" s="748"/>
      <c r="AI44" s="779"/>
      <c r="AJ44" s="475"/>
      <c r="AK44" s="475"/>
      <c r="AL44" s="475"/>
      <c r="AM44" s="475"/>
      <c r="AN44" s="475"/>
      <c r="AO44" s="475"/>
      <c r="AP44" s="475"/>
      <c r="AQ44" s="475"/>
      <c r="AR44" s="475"/>
      <c r="AS44" s="475"/>
      <c r="AT44" s="475"/>
      <c r="AU44" s="475"/>
      <c r="AV44" s="475"/>
      <c r="AW44" s="475"/>
      <c r="AX44" s="475"/>
      <c r="AY44" s="475"/>
      <c r="AZ44" s="475"/>
      <c r="BA44" s="475"/>
      <c r="BB44" s="475"/>
      <c r="CF44" s="475"/>
      <c r="CG44" s="475"/>
      <c r="CH44" s="475"/>
      <c r="CI44" s="475"/>
      <c r="CJ44" s="475"/>
      <c r="CK44" s="475"/>
      <c r="CL44" s="475"/>
      <c r="CM44" s="475"/>
      <c r="CN44" s="475"/>
      <c r="IC44" s="434"/>
      <c r="ID44" s="434"/>
      <c r="IE44" s="434"/>
      <c r="IF44" s="434"/>
      <c r="IG44" s="434"/>
      <c r="IH44" s="434"/>
      <c r="IP44" s="474"/>
      <c r="IQ44" s="474"/>
      <c r="IR44" s="474"/>
      <c r="IS44" s="474"/>
      <c r="IT44" s="474"/>
      <c r="IU44" s="474"/>
      <c r="IV44" s="474"/>
      <c r="IW44" s="474"/>
      <c r="IX44" s="474"/>
    </row>
    <row r="45" spans="2:258" s="520" customFormat="1" ht="15">
      <c r="B45" s="616" t="str">
        <f>IF(B13="","",B13)</f>
        <v/>
      </c>
      <c r="C45" s="1164">
        <v>1</v>
      </c>
      <c r="D45" s="750" t="str">
        <f t="shared" ref="D45:D64" si="11">IF(D13="","",D13)</f>
        <v>Pit 1</v>
      </c>
      <c r="E45" s="324">
        <f t="shared" ref="E45:F64" si="12">E13</f>
        <v>0</v>
      </c>
      <c r="F45" s="324">
        <f>F13</f>
        <v>0</v>
      </c>
      <c r="G45" s="316"/>
      <c r="H45" s="316"/>
      <c r="I45" s="316"/>
      <c r="J45" s="135">
        <f>IF(F45=0,0,IF(G45="",$G$41/2,G45/2)*(IF(H45="",$H$41,H45)+IF(I45="",$I$41,I45)*(1+$J$41)))</f>
        <v>0</v>
      </c>
      <c r="K45" s="324">
        <f t="shared" ref="K45:K64" si="13">J45*F45</f>
        <v>0</v>
      </c>
      <c r="L45" s="351">
        <f>$L$39*(F45*IF(H45="",$H$41,H45)/10000)*1.1</f>
        <v>0</v>
      </c>
      <c r="M45" s="37" t="s">
        <v>2222</v>
      </c>
      <c r="N45" s="347">
        <f>IF(M45=Lists!$B$43,F45*IF($N$40="",$N$39,$N$40),0)</f>
        <v>0</v>
      </c>
      <c r="O45" s="40" t="s">
        <v>2223</v>
      </c>
      <c r="P45" s="347">
        <f>IF(M45=Lists!$B$42,IF(O45="N",F45*IF($P$40="",$P$39,$P$40),0),0)</f>
        <v>0</v>
      </c>
      <c r="Q45" s="37" t="s">
        <v>125</v>
      </c>
      <c r="R45" s="47" t="s">
        <v>349</v>
      </c>
      <c r="S45" s="63">
        <f t="shared" ref="S45:S64" si="14">INDEX(Load_and_Haul_Values,MATCH(Q45,Load_and_Haul,0),MATCH(R45,Load_Haul_Fleet_size,0))</f>
        <v>6.2664411871606829</v>
      </c>
      <c r="T45" s="347">
        <f>IF(M45=Lists!$B$43,0,IF(O45="Y",S45*K45,0))</f>
        <v>0</v>
      </c>
      <c r="U45" s="347">
        <f t="shared" ref="U45:U64" si="15">L45+N45+P45+T45</f>
        <v>0</v>
      </c>
      <c r="V45" s="316">
        <f t="shared" ref="V45:V64" si="16">F45*1.2/1000</f>
        <v>0</v>
      </c>
      <c r="W45" s="316"/>
      <c r="X45" s="351">
        <f t="shared" ref="X45:X64" si="17">V45*IF($X$40="",$X$39,$X$40)</f>
        <v>0</v>
      </c>
      <c r="Y45" s="351">
        <f t="shared" ref="Y45:Y64" si="18">W45*IF($Y$40="",$Y$39,$Y$40)</f>
        <v>0</v>
      </c>
      <c r="Z45" s="351">
        <f>X45+Y45</f>
        <v>0</v>
      </c>
      <c r="AA45" s="366">
        <f>U45+Z45</f>
        <v>0</v>
      </c>
      <c r="AB45" s="215"/>
      <c r="AC45" s="217"/>
      <c r="AD45" s="217"/>
      <c r="AE45" s="217"/>
      <c r="AF45" s="217"/>
      <c r="AG45" s="217"/>
      <c r="AH45" s="217"/>
      <c r="AI45" s="218"/>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c r="GD45" s="1190"/>
      <c r="GE45" s="1190"/>
      <c r="GF45" s="1190"/>
      <c r="GG45" s="1190"/>
      <c r="GH45" s="1190"/>
      <c r="GI45" s="1190"/>
      <c r="GJ45" s="1190"/>
      <c r="GK45" s="1190"/>
      <c r="GL45" s="1190"/>
      <c r="GM45" s="1190"/>
      <c r="GN45" s="1190"/>
      <c r="GO45" s="1190"/>
      <c r="GP45" s="1190"/>
      <c r="GQ45" s="1190"/>
      <c r="GR45" s="1190"/>
      <c r="GS45" s="1190"/>
      <c r="GT45" s="1190"/>
      <c r="GU45" s="1190"/>
      <c r="GV45" s="1190"/>
      <c r="GW45" s="1190"/>
      <c r="GX45" s="1190"/>
      <c r="GY45" s="1190"/>
      <c r="GZ45" s="1190"/>
      <c r="HA45" s="1190"/>
      <c r="HB45" s="1190"/>
      <c r="HC45" s="1190"/>
      <c r="HD45" s="1190"/>
      <c r="HE45" s="1190"/>
      <c r="HF45" s="1190"/>
      <c r="HG45" s="1190"/>
      <c r="HH45" s="1190"/>
      <c r="HI45" s="1190"/>
      <c r="HJ45" s="1190"/>
      <c r="HK45" s="1190"/>
      <c r="HL45" s="1190"/>
      <c r="HM45" s="1190"/>
      <c r="HN45" s="1190"/>
      <c r="HO45" s="1190"/>
      <c r="HP45" s="1190"/>
      <c r="HQ45" s="1190"/>
      <c r="HR45" s="1190"/>
      <c r="HS45" s="1190"/>
      <c r="HT45" s="1190"/>
      <c r="IC45" s="495"/>
      <c r="ID45" s="495"/>
      <c r="IE45" s="495"/>
      <c r="IF45" s="495"/>
      <c r="IG45" s="495"/>
      <c r="IH45" s="495"/>
    </row>
    <row r="46" spans="2:258" s="520" customFormat="1" ht="15">
      <c r="B46" s="616" t="str">
        <f t="shared" ref="B46:B64" si="19">IF(B14="","",B14)</f>
        <v/>
      </c>
      <c r="C46" s="1164">
        <f>C45+1</f>
        <v>2</v>
      </c>
      <c r="D46" s="750" t="str">
        <f t="shared" si="11"/>
        <v>Pit 2</v>
      </c>
      <c r="E46" s="324">
        <f t="shared" si="12"/>
        <v>0</v>
      </c>
      <c r="F46" s="324">
        <f t="shared" si="12"/>
        <v>0</v>
      </c>
      <c r="G46" s="316"/>
      <c r="H46" s="316"/>
      <c r="I46" s="316"/>
      <c r="J46" s="135">
        <f t="shared" ref="J46:J64" si="20">IF(F46=0,0,IF(G46="",$G$41/2,G46/2)*(IF(H46="",$H$41,H46)+IF(I46="",$I$41,I46)*(1+$J$41)))</f>
        <v>0</v>
      </c>
      <c r="K46" s="324">
        <f t="shared" si="13"/>
        <v>0</v>
      </c>
      <c r="L46" s="351">
        <f>$L$39*(F46*IF(H46="",$H$41,H46)/10000)*1.1</f>
        <v>0</v>
      </c>
      <c r="M46" s="37" t="s">
        <v>2222</v>
      </c>
      <c r="N46" s="347">
        <f>IF(M46=Lists!$B$43,F46*IF($N$40="",$N$39,$N$40),0)</f>
        <v>0</v>
      </c>
      <c r="O46" s="40" t="s">
        <v>2223</v>
      </c>
      <c r="P46" s="347">
        <f>IF(M46=Lists!$B$42,IF(O46="N",F46*IF($P$40="",$P$39,$P$40),0),0)</f>
        <v>0</v>
      </c>
      <c r="Q46" s="37" t="s">
        <v>125</v>
      </c>
      <c r="R46" s="47" t="s">
        <v>349</v>
      </c>
      <c r="S46" s="63">
        <f t="shared" si="14"/>
        <v>6.2664411871606829</v>
      </c>
      <c r="T46" s="347">
        <f>IF(M46=Lists!$B$43,0,IF(O46="Y",S46*K46,0))</f>
        <v>0</v>
      </c>
      <c r="U46" s="347">
        <f t="shared" si="15"/>
        <v>0</v>
      </c>
      <c r="V46" s="316">
        <f t="shared" si="16"/>
        <v>0</v>
      </c>
      <c r="W46" s="316"/>
      <c r="X46" s="351">
        <f t="shared" si="17"/>
        <v>0</v>
      </c>
      <c r="Y46" s="351">
        <f t="shared" si="18"/>
        <v>0</v>
      </c>
      <c r="Z46" s="351">
        <f t="shared" ref="Z46:Z64" si="21">X46+Y46</f>
        <v>0</v>
      </c>
      <c r="AA46" s="366">
        <f t="shared" ref="AA46:AA64" si="22">U46+Z46</f>
        <v>0</v>
      </c>
      <c r="AB46" s="215"/>
      <c r="AC46" s="217"/>
      <c r="AD46" s="217"/>
      <c r="AE46" s="217"/>
      <c r="AF46" s="217"/>
      <c r="AG46" s="217"/>
      <c r="AH46" s="217"/>
      <c r="AI46" s="218"/>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c r="GD46" s="1190"/>
      <c r="GE46" s="1190"/>
      <c r="GF46" s="1190"/>
      <c r="GG46" s="1190"/>
      <c r="GH46" s="1190"/>
      <c r="GI46" s="1190"/>
      <c r="GJ46" s="1190"/>
      <c r="GK46" s="1190"/>
      <c r="GL46" s="1190"/>
      <c r="GM46" s="1190"/>
      <c r="GN46" s="1190"/>
      <c r="GO46" s="1190"/>
      <c r="GP46" s="1190"/>
      <c r="GQ46" s="1190"/>
      <c r="GR46" s="1190"/>
      <c r="GS46" s="1190"/>
      <c r="GT46" s="1190"/>
      <c r="GU46" s="1190"/>
      <c r="GV46" s="1190"/>
      <c r="GW46" s="1190"/>
      <c r="GX46" s="1190"/>
      <c r="GY46" s="1190"/>
      <c r="GZ46" s="1190"/>
      <c r="HA46" s="1190"/>
      <c r="HB46" s="1190"/>
      <c r="HC46" s="1190"/>
      <c r="HD46" s="1190"/>
      <c r="HE46" s="1190"/>
      <c r="HF46" s="1190"/>
      <c r="HG46" s="1190"/>
      <c r="HH46" s="1190"/>
      <c r="HI46" s="1190"/>
      <c r="HJ46" s="1190"/>
      <c r="HK46" s="1190"/>
      <c r="HL46" s="1190"/>
      <c r="HM46" s="1190"/>
      <c r="HN46" s="1190"/>
      <c r="HO46" s="1190"/>
      <c r="HP46" s="1190"/>
      <c r="HQ46" s="1190"/>
      <c r="HR46" s="1190"/>
      <c r="HS46" s="1190"/>
      <c r="HT46" s="1190"/>
      <c r="IC46" s="495"/>
      <c r="ID46" s="495"/>
      <c r="IE46" s="495"/>
      <c r="IF46" s="495"/>
      <c r="IG46" s="495"/>
      <c r="IH46" s="495"/>
    </row>
    <row r="47" spans="2:258" s="520" customFormat="1" ht="15">
      <c r="B47" s="616" t="str">
        <f t="shared" si="19"/>
        <v/>
      </c>
      <c r="C47" s="1164">
        <f t="shared" ref="C47:C64" si="23">C46+1</f>
        <v>3</v>
      </c>
      <c r="D47" s="750" t="str">
        <f t="shared" si="11"/>
        <v>Pit 3</v>
      </c>
      <c r="E47" s="324">
        <f t="shared" si="12"/>
        <v>0</v>
      </c>
      <c r="F47" s="324">
        <f t="shared" si="12"/>
        <v>0</v>
      </c>
      <c r="G47" s="316"/>
      <c r="H47" s="316"/>
      <c r="I47" s="316"/>
      <c r="J47" s="135">
        <f t="shared" si="20"/>
        <v>0</v>
      </c>
      <c r="K47" s="324">
        <f t="shared" si="13"/>
        <v>0</v>
      </c>
      <c r="L47" s="351">
        <f t="shared" ref="L47:L64" si="24">$L$39*(F47*IF(H47="",$H$41,H47)/10000)*1.1</f>
        <v>0</v>
      </c>
      <c r="M47" s="37" t="s">
        <v>2222</v>
      </c>
      <c r="N47" s="347">
        <f>IF(M47=Lists!$B$43,F47*IF($N$40="",$N$39,$N$40),0)</f>
        <v>0</v>
      </c>
      <c r="O47" s="40" t="s">
        <v>2223</v>
      </c>
      <c r="P47" s="347">
        <f>IF(M47=Lists!$B$42,IF(O47="N",F47*IF($P$40="",$P$39,$P$40),0),0)</f>
        <v>0</v>
      </c>
      <c r="Q47" s="37" t="s">
        <v>125</v>
      </c>
      <c r="R47" s="47" t="s">
        <v>349</v>
      </c>
      <c r="S47" s="63">
        <f t="shared" si="14"/>
        <v>6.2664411871606829</v>
      </c>
      <c r="T47" s="347">
        <f>IF(M47=Lists!$B$43,0,IF(O47="Y",S47*K47,0))</f>
        <v>0</v>
      </c>
      <c r="U47" s="347">
        <f t="shared" si="15"/>
        <v>0</v>
      </c>
      <c r="V47" s="316">
        <f t="shared" si="16"/>
        <v>0</v>
      </c>
      <c r="W47" s="316"/>
      <c r="X47" s="351">
        <f t="shared" si="17"/>
        <v>0</v>
      </c>
      <c r="Y47" s="351">
        <f t="shared" si="18"/>
        <v>0</v>
      </c>
      <c r="Z47" s="351">
        <f t="shared" si="21"/>
        <v>0</v>
      </c>
      <c r="AA47" s="366">
        <f t="shared" si="22"/>
        <v>0</v>
      </c>
      <c r="AB47" s="215"/>
      <c r="AC47" s="217"/>
      <c r="AD47" s="217"/>
      <c r="AE47" s="217"/>
      <c r="AF47" s="217"/>
      <c r="AG47" s="217"/>
      <c r="AH47" s="217"/>
      <c r="AI47" s="218"/>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c r="GD47" s="1190"/>
      <c r="GE47" s="1190"/>
      <c r="GF47" s="1190"/>
      <c r="GG47" s="1190"/>
      <c r="GH47" s="1190"/>
      <c r="GI47" s="1190"/>
      <c r="GJ47" s="1190"/>
      <c r="GK47" s="1190"/>
      <c r="GL47" s="1190"/>
      <c r="GM47" s="1190"/>
      <c r="GN47" s="1190"/>
      <c r="GO47" s="1190"/>
      <c r="GP47" s="1190"/>
      <c r="GQ47" s="1190"/>
      <c r="GR47" s="1190"/>
      <c r="GS47" s="1190"/>
      <c r="GT47" s="1190"/>
      <c r="GU47" s="1190"/>
      <c r="GV47" s="1190"/>
      <c r="GW47" s="1190"/>
      <c r="GX47" s="1190"/>
      <c r="GY47" s="1190"/>
      <c r="GZ47" s="1190"/>
      <c r="HA47" s="1190"/>
      <c r="HB47" s="1190"/>
      <c r="HC47" s="1190"/>
      <c r="HD47" s="1190"/>
      <c r="HE47" s="1190"/>
      <c r="HF47" s="1190"/>
      <c r="HG47" s="1190"/>
      <c r="HH47" s="1190"/>
      <c r="HI47" s="1190"/>
      <c r="HJ47" s="1190"/>
      <c r="HK47" s="1190"/>
      <c r="HL47" s="1190"/>
      <c r="HM47" s="1190"/>
      <c r="HN47" s="1190"/>
      <c r="HO47" s="1190"/>
      <c r="HP47" s="1190"/>
      <c r="HQ47" s="1190"/>
      <c r="HR47" s="1190"/>
      <c r="HS47" s="1190"/>
      <c r="HT47" s="1190"/>
      <c r="IC47" s="495"/>
      <c r="ID47" s="495"/>
      <c r="IE47" s="495"/>
      <c r="IF47" s="495"/>
      <c r="IG47" s="495"/>
      <c r="IH47" s="495"/>
    </row>
    <row r="48" spans="2:258" s="520" customFormat="1" ht="15">
      <c r="B48" s="616" t="str">
        <f t="shared" si="19"/>
        <v/>
      </c>
      <c r="C48" s="1164">
        <f t="shared" si="23"/>
        <v>4</v>
      </c>
      <c r="D48" s="750" t="str">
        <f t="shared" si="11"/>
        <v>Pit 4</v>
      </c>
      <c r="E48" s="324">
        <f t="shared" si="12"/>
        <v>0</v>
      </c>
      <c r="F48" s="324">
        <f t="shared" si="12"/>
        <v>0</v>
      </c>
      <c r="G48" s="316"/>
      <c r="H48" s="316"/>
      <c r="I48" s="316"/>
      <c r="J48" s="135">
        <f t="shared" si="20"/>
        <v>0</v>
      </c>
      <c r="K48" s="324">
        <f t="shared" si="13"/>
        <v>0</v>
      </c>
      <c r="L48" s="351">
        <f t="shared" si="24"/>
        <v>0</v>
      </c>
      <c r="M48" s="37" t="s">
        <v>2222</v>
      </c>
      <c r="N48" s="347">
        <f>IF(M48=Lists!$B$43,F48*IF($N$40="",$N$39,$N$40),0)</f>
        <v>0</v>
      </c>
      <c r="O48" s="40" t="s">
        <v>2223</v>
      </c>
      <c r="P48" s="347">
        <f>IF(M48=Lists!$B$42,IF(O48="N",F48*IF($P$40="",$P$39,$P$40),0),0)</f>
        <v>0</v>
      </c>
      <c r="Q48" s="37" t="s">
        <v>125</v>
      </c>
      <c r="R48" s="47" t="s">
        <v>349</v>
      </c>
      <c r="S48" s="63">
        <f t="shared" si="14"/>
        <v>6.2664411871606829</v>
      </c>
      <c r="T48" s="347">
        <f>IF(M48=Lists!$B$43,0,IF(O48="Y",S48*K48,0))</f>
        <v>0</v>
      </c>
      <c r="U48" s="347">
        <f t="shared" si="15"/>
        <v>0</v>
      </c>
      <c r="V48" s="316">
        <f t="shared" si="16"/>
        <v>0</v>
      </c>
      <c r="W48" s="316"/>
      <c r="X48" s="351">
        <f t="shared" si="17"/>
        <v>0</v>
      </c>
      <c r="Y48" s="351">
        <f t="shared" si="18"/>
        <v>0</v>
      </c>
      <c r="Z48" s="351">
        <f t="shared" si="21"/>
        <v>0</v>
      </c>
      <c r="AA48" s="366">
        <f t="shared" si="22"/>
        <v>0</v>
      </c>
      <c r="AB48" s="215"/>
      <c r="AC48" s="217"/>
      <c r="AD48" s="217"/>
      <c r="AE48" s="217"/>
      <c r="AF48" s="217"/>
      <c r="AG48" s="217"/>
      <c r="AH48" s="217"/>
      <c r="AI48" s="218"/>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c r="GD48" s="1190"/>
      <c r="GE48" s="1190"/>
      <c r="GF48" s="1190"/>
      <c r="GG48" s="1190"/>
      <c r="GH48" s="1190"/>
      <c r="GI48" s="1190"/>
      <c r="GJ48" s="1190"/>
      <c r="GK48" s="1190"/>
      <c r="GL48" s="1190"/>
      <c r="GM48" s="1190"/>
      <c r="GN48" s="1190"/>
      <c r="GO48" s="1190"/>
      <c r="GP48" s="1190"/>
      <c r="GQ48" s="1190"/>
      <c r="GR48" s="1190"/>
      <c r="GS48" s="1190"/>
      <c r="GT48" s="1190"/>
      <c r="GU48" s="1190"/>
      <c r="GV48" s="1190"/>
      <c r="GW48" s="1190"/>
      <c r="GX48" s="1190"/>
      <c r="GY48" s="1190"/>
      <c r="GZ48" s="1190"/>
      <c r="HA48" s="1190"/>
      <c r="HB48" s="1190"/>
      <c r="HC48" s="1190"/>
      <c r="HD48" s="1190"/>
      <c r="HE48" s="1190"/>
      <c r="HF48" s="1190"/>
      <c r="HG48" s="1190"/>
      <c r="HH48" s="1190"/>
      <c r="HI48" s="1190"/>
      <c r="HJ48" s="1190"/>
      <c r="HK48" s="1190"/>
      <c r="HL48" s="1190"/>
      <c r="HM48" s="1190"/>
      <c r="HN48" s="1190"/>
      <c r="HO48" s="1190"/>
      <c r="HP48" s="1190"/>
      <c r="HQ48" s="1190"/>
      <c r="HR48" s="1190"/>
      <c r="HS48" s="1190"/>
      <c r="HT48" s="1190"/>
      <c r="IC48" s="495"/>
      <c r="ID48" s="495"/>
      <c r="IE48" s="495"/>
      <c r="IF48" s="495"/>
      <c r="IG48" s="495"/>
      <c r="IH48" s="495"/>
    </row>
    <row r="49" spans="2:242" s="520" customFormat="1" ht="15">
      <c r="B49" s="616" t="str">
        <f t="shared" si="19"/>
        <v/>
      </c>
      <c r="C49" s="1164">
        <f t="shared" si="23"/>
        <v>5</v>
      </c>
      <c r="D49" s="750" t="str">
        <f t="shared" si="11"/>
        <v>Pit 5</v>
      </c>
      <c r="E49" s="324">
        <f t="shared" si="12"/>
        <v>0</v>
      </c>
      <c r="F49" s="324">
        <f t="shared" si="12"/>
        <v>0</v>
      </c>
      <c r="G49" s="316"/>
      <c r="H49" s="316"/>
      <c r="I49" s="316"/>
      <c r="J49" s="135">
        <f t="shared" si="20"/>
        <v>0</v>
      </c>
      <c r="K49" s="324">
        <f t="shared" si="13"/>
        <v>0</v>
      </c>
      <c r="L49" s="351">
        <f t="shared" si="24"/>
        <v>0</v>
      </c>
      <c r="M49" s="37" t="s">
        <v>2222</v>
      </c>
      <c r="N49" s="347">
        <f>IF(M49=Lists!$B$43,F49*IF($N$40="",$N$39,$N$40),0)</f>
        <v>0</v>
      </c>
      <c r="O49" s="40" t="s">
        <v>2223</v>
      </c>
      <c r="P49" s="347">
        <f>IF(M49=Lists!$B$42,IF(O49="N",F49*IF($P$40="",$P$39,$P$40),0),0)</f>
        <v>0</v>
      </c>
      <c r="Q49" s="37" t="s">
        <v>125</v>
      </c>
      <c r="R49" s="47" t="s">
        <v>349</v>
      </c>
      <c r="S49" s="63">
        <f t="shared" si="14"/>
        <v>6.2664411871606829</v>
      </c>
      <c r="T49" s="347">
        <f>IF(M49=Lists!$B$43,0,IF(O49="Y",S49*K49,0))</f>
        <v>0</v>
      </c>
      <c r="U49" s="347">
        <f t="shared" si="15"/>
        <v>0</v>
      </c>
      <c r="V49" s="316">
        <f t="shared" si="16"/>
        <v>0</v>
      </c>
      <c r="W49" s="316"/>
      <c r="X49" s="351">
        <f t="shared" si="17"/>
        <v>0</v>
      </c>
      <c r="Y49" s="351">
        <f t="shared" si="18"/>
        <v>0</v>
      </c>
      <c r="Z49" s="351">
        <f t="shared" si="21"/>
        <v>0</v>
      </c>
      <c r="AA49" s="366">
        <f t="shared" si="22"/>
        <v>0</v>
      </c>
      <c r="AB49" s="215"/>
      <c r="AC49" s="217"/>
      <c r="AD49" s="217"/>
      <c r="AE49" s="217"/>
      <c r="AF49" s="217"/>
      <c r="AG49" s="217"/>
      <c r="AH49" s="217"/>
      <c r="AI49" s="218"/>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c r="GD49" s="1190"/>
      <c r="GE49" s="1190"/>
      <c r="GF49" s="1190"/>
      <c r="GG49" s="1190"/>
      <c r="GH49" s="1190"/>
      <c r="GI49" s="1190"/>
      <c r="GJ49" s="1190"/>
      <c r="GK49" s="1190"/>
      <c r="GL49" s="1190"/>
      <c r="GM49" s="1190"/>
      <c r="GN49" s="1190"/>
      <c r="GO49" s="1190"/>
      <c r="GP49" s="1190"/>
      <c r="GQ49" s="1190"/>
      <c r="GR49" s="1190"/>
      <c r="GS49" s="1190"/>
      <c r="GT49" s="1190"/>
      <c r="GU49" s="1190"/>
      <c r="GV49" s="1190"/>
      <c r="GW49" s="1190"/>
      <c r="GX49" s="1190"/>
      <c r="GY49" s="1190"/>
      <c r="GZ49" s="1190"/>
      <c r="HA49" s="1190"/>
      <c r="HB49" s="1190"/>
      <c r="HC49" s="1190"/>
      <c r="HD49" s="1190"/>
      <c r="HE49" s="1190"/>
      <c r="HF49" s="1190"/>
      <c r="HG49" s="1190"/>
      <c r="HH49" s="1190"/>
      <c r="HI49" s="1190"/>
      <c r="HJ49" s="1190"/>
      <c r="HK49" s="1190"/>
      <c r="HL49" s="1190"/>
      <c r="HM49" s="1190"/>
      <c r="HN49" s="1190"/>
      <c r="HO49" s="1190"/>
      <c r="HP49" s="1190"/>
      <c r="HQ49" s="1190"/>
      <c r="HR49" s="1190"/>
      <c r="HS49" s="1190"/>
      <c r="HT49" s="1190"/>
      <c r="IC49" s="495"/>
      <c r="ID49" s="495"/>
      <c r="IE49" s="495"/>
      <c r="IF49" s="495"/>
      <c r="IG49" s="495"/>
      <c r="IH49" s="495"/>
    </row>
    <row r="50" spans="2:242" s="520" customFormat="1" ht="15">
      <c r="B50" s="616" t="str">
        <f t="shared" si="19"/>
        <v/>
      </c>
      <c r="C50" s="1164">
        <f t="shared" si="23"/>
        <v>6</v>
      </c>
      <c r="D50" s="750" t="str">
        <f t="shared" si="11"/>
        <v>Pit 6</v>
      </c>
      <c r="E50" s="324">
        <f t="shared" si="12"/>
        <v>0</v>
      </c>
      <c r="F50" s="324">
        <f t="shared" si="12"/>
        <v>0</v>
      </c>
      <c r="G50" s="316"/>
      <c r="H50" s="316"/>
      <c r="I50" s="316"/>
      <c r="J50" s="135">
        <f t="shared" si="20"/>
        <v>0</v>
      </c>
      <c r="K50" s="324">
        <f t="shared" si="13"/>
        <v>0</v>
      </c>
      <c r="L50" s="351">
        <f t="shared" si="24"/>
        <v>0</v>
      </c>
      <c r="M50" s="37" t="s">
        <v>2222</v>
      </c>
      <c r="N50" s="347">
        <f>IF(M50=Lists!$B$43,F50*IF($N$40="",$N$39,$N$40),0)</f>
        <v>0</v>
      </c>
      <c r="O50" s="40" t="s">
        <v>2223</v>
      </c>
      <c r="P50" s="347">
        <f>IF(M50=Lists!$B$42,IF(O50="N",F50*IF($P$40="",$P$39,$P$40),0),0)</f>
        <v>0</v>
      </c>
      <c r="Q50" s="37" t="s">
        <v>125</v>
      </c>
      <c r="R50" s="47" t="s">
        <v>349</v>
      </c>
      <c r="S50" s="63">
        <f t="shared" si="14"/>
        <v>6.2664411871606829</v>
      </c>
      <c r="T50" s="347">
        <f>IF(M50=Lists!$B$43,0,IF(O50="Y",S50*K50,0))</f>
        <v>0</v>
      </c>
      <c r="U50" s="347">
        <f t="shared" si="15"/>
        <v>0</v>
      </c>
      <c r="V50" s="316">
        <f t="shared" si="16"/>
        <v>0</v>
      </c>
      <c r="W50" s="316"/>
      <c r="X50" s="351">
        <f t="shared" si="17"/>
        <v>0</v>
      </c>
      <c r="Y50" s="351">
        <f t="shared" si="18"/>
        <v>0</v>
      </c>
      <c r="Z50" s="351">
        <f t="shared" si="21"/>
        <v>0</v>
      </c>
      <c r="AA50" s="366">
        <f t="shared" si="22"/>
        <v>0</v>
      </c>
      <c r="AB50" s="215"/>
      <c r="AC50" s="217"/>
      <c r="AD50" s="217"/>
      <c r="AE50" s="217"/>
      <c r="AF50" s="217"/>
      <c r="AG50" s="217"/>
      <c r="AH50" s="217"/>
      <c r="AI50" s="218"/>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c r="GD50" s="1190"/>
      <c r="GE50" s="1190"/>
      <c r="GF50" s="1190"/>
      <c r="GG50" s="1190"/>
      <c r="GH50" s="1190"/>
      <c r="GI50" s="1190"/>
      <c r="GJ50" s="1190"/>
      <c r="GK50" s="1190"/>
      <c r="GL50" s="1190"/>
      <c r="GM50" s="1190"/>
      <c r="GN50" s="1190"/>
      <c r="GO50" s="1190"/>
      <c r="GP50" s="1190"/>
      <c r="GQ50" s="1190"/>
      <c r="GR50" s="1190"/>
      <c r="GS50" s="1190"/>
      <c r="GT50" s="1190"/>
      <c r="GU50" s="1190"/>
      <c r="GV50" s="1190"/>
      <c r="GW50" s="1190"/>
      <c r="GX50" s="1190"/>
      <c r="GY50" s="1190"/>
      <c r="GZ50" s="1190"/>
      <c r="HA50" s="1190"/>
      <c r="HB50" s="1190"/>
      <c r="HC50" s="1190"/>
      <c r="HD50" s="1190"/>
      <c r="HE50" s="1190"/>
      <c r="HF50" s="1190"/>
      <c r="HG50" s="1190"/>
      <c r="HH50" s="1190"/>
      <c r="HI50" s="1190"/>
      <c r="HJ50" s="1190"/>
      <c r="HK50" s="1190"/>
      <c r="HL50" s="1190"/>
      <c r="HM50" s="1190"/>
      <c r="HN50" s="1190"/>
      <c r="HO50" s="1190"/>
      <c r="HP50" s="1190"/>
      <c r="HQ50" s="1190"/>
      <c r="HR50" s="1190"/>
      <c r="HS50" s="1190"/>
      <c r="HT50" s="1190"/>
      <c r="IC50" s="495"/>
      <c r="ID50" s="495"/>
      <c r="IE50" s="495"/>
      <c r="IF50" s="495"/>
      <c r="IG50" s="495"/>
      <c r="IH50" s="495"/>
    </row>
    <row r="51" spans="2:242" s="520" customFormat="1" ht="15">
      <c r="B51" s="616" t="str">
        <f t="shared" si="19"/>
        <v/>
      </c>
      <c r="C51" s="1164">
        <f t="shared" si="23"/>
        <v>7</v>
      </c>
      <c r="D51" s="750" t="str">
        <f t="shared" si="11"/>
        <v>Pit 7</v>
      </c>
      <c r="E51" s="324">
        <f t="shared" si="12"/>
        <v>0</v>
      </c>
      <c r="F51" s="324">
        <f t="shared" si="12"/>
        <v>0</v>
      </c>
      <c r="G51" s="316"/>
      <c r="H51" s="316"/>
      <c r="I51" s="316"/>
      <c r="J51" s="135">
        <f t="shared" si="20"/>
        <v>0</v>
      </c>
      <c r="K51" s="324">
        <f t="shared" si="13"/>
        <v>0</v>
      </c>
      <c r="L51" s="351">
        <f t="shared" si="24"/>
        <v>0</v>
      </c>
      <c r="M51" s="37" t="s">
        <v>2222</v>
      </c>
      <c r="N51" s="347">
        <f>IF(M51=Lists!$B$43,F51*IF($N$40="",$N$39,$N$40),0)</f>
        <v>0</v>
      </c>
      <c r="O51" s="40" t="s">
        <v>2223</v>
      </c>
      <c r="P51" s="347">
        <f>IF(M51=Lists!$B$42,IF(O51="N",F51*IF($P$40="",$P$39,$P$40),0),0)</f>
        <v>0</v>
      </c>
      <c r="Q51" s="37" t="s">
        <v>125</v>
      </c>
      <c r="R51" s="47" t="s">
        <v>349</v>
      </c>
      <c r="S51" s="63">
        <f t="shared" si="14"/>
        <v>6.2664411871606829</v>
      </c>
      <c r="T51" s="347">
        <f>IF(M51=Lists!$B$43,0,IF(O51="Y",S51*K51,0))</f>
        <v>0</v>
      </c>
      <c r="U51" s="347">
        <f t="shared" si="15"/>
        <v>0</v>
      </c>
      <c r="V51" s="316">
        <f t="shared" si="16"/>
        <v>0</v>
      </c>
      <c r="W51" s="316"/>
      <c r="X51" s="351">
        <f t="shared" si="17"/>
        <v>0</v>
      </c>
      <c r="Y51" s="351">
        <f t="shared" si="18"/>
        <v>0</v>
      </c>
      <c r="Z51" s="351">
        <f t="shared" si="21"/>
        <v>0</v>
      </c>
      <c r="AA51" s="366">
        <f t="shared" si="22"/>
        <v>0</v>
      </c>
      <c r="AB51" s="215"/>
      <c r="AC51" s="217"/>
      <c r="AD51" s="217"/>
      <c r="AE51" s="217"/>
      <c r="AF51" s="217"/>
      <c r="AG51" s="217"/>
      <c r="AH51" s="217"/>
      <c r="AI51" s="218"/>
      <c r="AK51" s="768"/>
      <c r="BE51" s="734"/>
      <c r="BF51" s="152"/>
      <c r="BG51" s="152"/>
      <c r="BH51" s="734"/>
      <c r="BI51" s="734"/>
      <c r="BJ51" s="734"/>
      <c r="BK51" s="734"/>
      <c r="BL51" s="734"/>
      <c r="BM51" s="734"/>
      <c r="BN51" s="734"/>
      <c r="BO51" s="734"/>
      <c r="BP51" s="734"/>
      <c r="BQ51" s="734"/>
      <c r="BR51" s="734"/>
      <c r="BS51" s="897"/>
      <c r="BT51" s="734"/>
      <c r="BU51" s="152"/>
      <c r="BV51" s="152"/>
      <c r="BW51" s="734"/>
      <c r="BX51" s="734"/>
      <c r="BY51" s="734"/>
      <c r="BZ51" s="734"/>
      <c r="CA51" s="768"/>
      <c r="CB51" s="768"/>
      <c r="CC51" s="768"/>
      <c r="CN51" s="768"/>
      <c r="CO51" s="768"/>
      <c r="CP51" s="768"/>
      <c r="CQ51" s="768"/>
      <c r="CR51" s="768"/>
      <c r="CS51" s="768"/>
      <c r="CT51" s="768"/>
      <c r="CU51" s="768"/>
      <c r="CV51" s="768"/>
      <c r="DE51" s="734"/>
      <c r="DF51" s="734"/>
      <c r="DG51" s="734"/>
      <c r="DH51" s="734"/>
      <c r="DI51" s="734"/>
      <c r="DJ51" s="734"/>
      <c r="DK51" s="734"/>
    </row>
    <row r="52" spans="2:242" s="520" customFormat="1" ht="15">
      <c r="B52" s="616" t="str">
        <f t="shared" si="19"/>
        <v/>
      </c>
      <c r="C52" s="1164">
        <f t="shared" si="23"/>
        <v>8</v>
      </c>
      <c r="D52" s="750" t="str">
        <f t="shared" si="11"/>
        <v>Pit 8</v>
      </c>
      <c r="E52" s="324">
        <f t="shared" si="12"/>
        <v>0</v>
      </c>
      <c r="F52" s="324">
        <f t="shared" si="12"/>
        <v>0</v>
      </c>
      <c r="G52" s="316"/>
      <c r="H52" s="316"/>
      <c r="I52" s="316"/>
      <c r="J52" s="135">
        <f t="shared" si="20"/>
        <v>0</v>
      </c>
      <c r="K52" s="324">
        <f t="shared" si="13"/>
        <v>0</v>
      </c>
      <c r="L52" s="351">
        <f t="shared" si="24"/>
        <v>0</v>
      </c>
      <c r="M52" s="37" t="s">
        <v>2222</v>
      </c>
      <c r="N52" s="347">
        <f>IF(M52=Lists!$B$43,F52*IF($N$40="",$N$39,$N$40),0)</f>
        <v>0</v>
      </c>
      <c r="O52" s="40" t="s">
        <v>2223</v>
      </c>
      <c r="P52" s="347">
        <f>IF(M52=Lists!$B$42,IF(O52="N",F52*IF($P$40="",$P$39,$P$40),0),0)</f>
        <v>0</v>
      </c>
      <c r="Q52" s="37" t="s">
        <v>125</v>
      </c>
      <c r="R52" s="47" t="s">
        <v>349</v>
      </c>
      <c r="S52" s="63">
        <f t="shared" si="14"/>
        <v>6.2664411871606829</v>
      </c>
      <c r="T52" s="347">
        <f>IF(M52=Lists!$B$43,0,IF(O52="Y",S52*K52,0))</f>
        <v>0</v>
      </c>
      <c r="U52" s="347">
        <f t="shared" si="15"/>
        <v>0</v>
      </c>
      <c r="V52" s="316">
        <f t="shared" si="16"/>
        <v>0</v>
      </c>
      <c r="W52" s="316"/>
      <c r="X52" s="351">
        <f t="shared" si="17"/>
        <v>0</v>
      </c>
      <c r="Y52" s="351">
        <f t="shared" si="18"/>
        <v>0</v>
      </c>
      <c r="Z52" s="351">
        <f t="shared" si="21"/>
        <v>0</v>
      </c>
      <c r="AA52" s="366">
        <f t="shared" si="22"/>
        <v>0</v>
      </c>
      <c r="AB52" s="215"/>
      <c r="AC52" s="217"/>
      <c r="AD52" s="217"/>
      <c r="AE52" s="217"/>
      <c r="AF52" s="217"/>
      <c r="AG52" s="217"/>
      <c r="AH52" s="217"/>
      <c r="AI52" s="218"/>
      <c r="AK52" s="768"/>
      <c r="BE52" s="734"/>
      <c r="BF52" s="152"/>
      <c r="BG52" s="152"/>
      <c r="BH52" s="734"/>
      <c r="BI52" s="734"/>
      <c r="BJ52" s="734"/>
      <c r="BK52" s="734"/>
      <c r="BL52" s="734"/>
      <c r="BM52" s="734"/>
      <c r="BN52" s="734"/>
      <c r="BO52" s="734"/>
      <c r="BP52" s="734"/>
      <c r="BQ52" s="734"/>
      <c r="BR52" s="734"/>
      <c r="BS52" s="897"/>
      <c r="BT52" s="734"/>
      <c r="BU52" s="152"/>
      <c r="BV52" s="152"/>
      <c r="BW52" s="734"/>
      <c r="BX52" s="734"/>
      <c r="BY52" s="734"/>
      <c r="BZ52" s="734"/>
      <c r="CA52" s="768"/>
      <c r="CB52" s="768"/>
      <c r="CC52" s="768"/>
      <c r="CN52" s="768"/>
      <c r="CO52" s="768"/>
      <c r="CP52" s="768"/>
      <c r="CQ52" s="768"/>
      <c r="CR52" s="768"/>
      <c r="CS52" s="768"/>
      <c r="CT52" s="768"/>
      <c r="CU52" s="768"/>
      <c r="CV52" s="768"/>
      <c r="DE52" s="734"/>
      <c r="DF52" s="734"/>
      <c r="DG52" s="734"/>
      <c r="DH52" s="734"/>
      <c r="DI52" s="734"/>
      <c r="DJ52" s="734"/>
      <c r="DK52" s="734"/>
    </row>
    <row r="53" spans="2:242" s="520" customFormat="1" ht="15">
      <c r="B53" s="616" t="str">
        <f t="shared" si="19"/>
        <v/>
      </c>
      <c r="C53" s="1164">
        <f t="shared" si="23"/>
        <v>9</v>
      </c>
      <c r="D53" s="750" t="str">
        <f t="shared" si="11"/>
        <v>Pit 9</v>
      </c>
      <c r="E53" s="324">
        <f t="shared" si="12"/>
        <v>0</v>
      </c>
      <c r="F53" s="324">
        <f t="shared" si="12"/>
        <v>0</v>
      </c>
      <c r="G53" s="316"/>
      <c r="H53" s="316"/>
      <c r="I53" s="316"/>
      <c r="J53" s="135">
        <f t="shared" si="20"/>
        <v>0</v>
      </c>
      <c r="K53" s="324">
        <f t="shared" si="13"/>
        <v>0</v>
      </c>
      <c r="L53" s="351">
        <f t="shared" si="24"/>
        <v>0</v>
      </c>
      <c r="M53" s="37" t="s">
        <v>2222</v>
      </c>
      <c r="N53" s="347">
        <f>IF(M53=Lists!$B$43,F53*IF($N$40="",$N$39,$N$40),0)</f>
        <v>0</v>
      </c>
      <c r="O53" s="40" t="s">
        <v>2223</v>
      </c>
      <c r="P53" s="347">
        <f>IF(M53=Lists!$B$42,IF(O53="N",F53*IF($P$40="",$P$39,$P$40),0),0)</f>
        <v>0</v>
      </c>
      <c r="Q53" s="37" t="s">
        <v>125</v>
      </c>
      <c r="R53" s="47" t="s">
        <v>349</v>
      </c>
      <c r="S53" s="63">
        <f t="shared" si="14"/>
        <v>6.2664411871606829</v>
      </c>
      <c r="T53" s="347">
        <f>IF(M53=Lists!$B$43,0,IF(O53="Y",S53*K53,0))</f>
        <v>0</v>
      </c>
      <c r="U53" s="347">
        <f t="shared" si="15"/>
        <v>0</v>
      </c>
      <c r="V53" s="316">
        <f t="shared" si="16"/>
        <v>0</v>
      </c>
      <c r="W53" s="316"/>
      <c r="X53" s="351">
        <f t="shared" si="17"/>
        <v>0</v>
      </c>
      <c r="Y53" s="351">
        <f t="shared" si="18"/>
        <v>0</v>
      </c>
      <c r="Z53" s="351">
        <f t="shared" si="21"/>
        <v>0</v>
      </c>
      <c r="AA53" s="366">
        <f t="shared" si="22"/>
        <v>0</v>
      </c>
      <c r="AB53" s="215"/>
      <c r="AC53" s="217"/>
      <c r="AD53" s="217"/>
      <c r="AE53" s="217"/>
      <c r="AF53" s="217"/>
      <c r="AG53" s="217"/>
      <c r="AH53" s="217"/>
      <c r="AI53" s="218"/>
      <c r="AK53" s="768"/>
      <c r="BE53" s="734"/>
      <c r="BF53" s="152"/>
      <c r="BG53" s="152"/>
      <c r="BH53" s="734"/>
      <c r="BI53" s="734"/>
      <c r="BJ53" s="734"/>
      <c r="BK53" s="734"/>
      <c r="BL53" s="734"/>
      <c r="BM53" s="734"/>
      <c r="BN53" s="734"/>
      <c r="BO53" s="734"/>
      <c r="BP53" s="734"/>
      <c r="BQ53" s="734"/>
      <c r="BR53" s="734"/>
      <c r="BS53" s="897"/>
      <c r="BT53" s="734"/>
      <c r="BU53" s="152"/>
      <c r="BV53" s="152"/>
      <c r="BW53" s="734"/>
      <c r="BX53" s="734"/>
      <c r="BY53" s="734"/>
      <c r="BZ53" s="734"/>
      <c r="CA53" s="768"/>
      <c r="CB53" s="768"/>
      <c r="CC53" s="768"/>
      <c r="CN53" s="768"/>
      <c r="CO53" s="768"/>
      <c r="CP53" s="768"/>
      <c r="CQ53" s="768"/>
      <c r="CR53" s="768"/>
      <c r="CS53" s="768"/>
      <c r="CT53" s="768"/>
      <c r="CU53" s="768"/>
      <c r="CV53" s="768"/>
      <c r="DE53" s="734"/>
      <c r="DF53" s="734"/>
      <c r="DG53" s="734"/>
      <c r="DH53" s="734"/>
      <c r="DI53" s="734"/>
      <c r="DJ53" s="734"/>
      <c r="DK53" s="734"/>
    </row>
    <row r="54" spans="2:242" s="520" customFormat="1" ht="15">
      <c r="B54" s="616" t="str">
        <f t="shared" si="19"/>
        <v/>
      </c>
      <c r="C54" s="1164">
        <f t="shared" si="23"/>
        <v>10</v>
      </c>
      <c r="D54" s="750" t="str">
        <f t="shared" si="11"/>
        <v>Pit 10</v>
      </c>
      <c r="E54" s="324">
        <f t="shared" si="12"/>
        <v>0</v>
      </c>
      <c r="F54" s="324">
        <f t="shared" si="12"/>
        <v>0</v>
      </c>
      <c r="G54" s="316"/>
      <c r="H54" s="316"/>
      <c r="I54" s="316"/>
      <c r="J54" s="135">
        <f t="shared" si="20"/>
        <v>0</v>
      </c>
      <c r="K54" s="324">
        <f t="shared" si="13"/>
        <v>0</v>
      </c>
      <c r="L54" s="351">
        <f t="shared" si="24"/>
        <v>0</v>
      </c>
      <c r="M54" s="37" t="s">
        <v>2222</v>
      </c>
      <c r="N54" s="347">
        <f>IF(M54=Lists!$B$43,F54*IF($N$40="",$N$39,$N$40),0)</f>
        <v>0</v>
      </c>
      <c r="O54" s="40" t="s">
        <v>2223</v>
      </c>
      <c r="P54" s="347">
        <f>IF(M54=Lists!$B$42,IF(O54="N",F54*IF($P$40="",$P$39,$P$40),0),0)</f>
        <v>0</v>
      </c>
      <c r="Q54" s="37" t="s">
        <v>125</v>
      </c>
      <c r="R54" s="47" t="s">
        <v>349</v>
      </c>
      <c r="S54" s="63">
        <f t="shared" si="14"/>
        <v>6.2664411871606829</v>
      </c>
      <c r="T54" s="347">
        <f>IF(M54=Lists!$B$43,0,IF(O54="Y",S54*K54,0))</f>
        <v>0</v>
      </c>
      <c r="U54" s="347">
        <f t="shared" si="15"/>
        <v>0</v>
      </c>
      <c r="V54" s="316">
        <f t="shared" si="16"/>
        <v>0</v>
      </c>
      <c r="W54" s="316"/>
      <c r="X54" s="351">
        <f t="shared" si="17"/>
        <v>0</v>
      </c>
      <c r="Y54" s="351">
        <f t="shared" si="18"/>
        <v>0</v>
      </c>
      <c r="Z54" s="351">
        <f t="shared" si="21"/>
        <v>0</v>
      </c>
      <c r="AA54" s="366">
        <f t="shared" si="22"/>
        <v>0</v>
      </c>
      <c r="AB54" s="215"/>
      <c r="AC54" s="217"/>
      <c r="AD54" s="217"/>
      <c r="AE54" s="217"/>
      <c r="AF54" s="217"/>
      <c r="AG54" s="217"/>
      <c r="AH54" s="217"/>
      <c r="AI54" s="218"/>
      <c r="AK54" s="768"/>
      <c r="BE54" s="734"/>
      <c r="BF54" s="152"/>
      <c r="BG54" s="152"/>
      <c r="BH54" s="734"/>
      <c r="BI54" s="734"/>
      <c r="BJ54" s="734"/>
      <c r="BK54" s="734"/>
      <c r="BL54" s="734"/>
      <c r="BM54" s="734"/>
      <c r="BN54" s="734"/>
      <c r="BO54" s="734"/>
      <c r="BP54" s="734"/>
      <c r="BQ54" s="734"/>
      <c r="BR54" s="734"/>
      <c r="BS54" s="897"/>
      <c r="BT54" s="734"/>
      <c r="BU54" s="152"/>
      <c r="BV54" s="152"/>
      <c r="BW54" s="734"/>
      <c r="BX54" s="734"/>
      <c r="BY54" s="734"/>
      <c r="BZ54" s="734"/>
      <c r="CA54" s="768"/>
      <c r="CB54" s="768"/>
      <c r="CC54" s="768"/>
      <c r="CN54" s="768"/>
      <c r="CO54" s="768"/>
      <c r="CP54" s="768"/>
      <c r="CQ54" s="768"/>
      <c r="CR54" s="768"/>
      <c r="CS54" s="768"/>
      <c r="CT54" s="768"/>
      <c r="CU54" s="768"/>
      <c r="CV54" s="768"/>
      <c r="DE54" s="734"/>
      <c r="DF54" s="734"/>
      <c r="DG54" s="734"/>
      <c r="DH54" s="734"/>
      <c r="DI54" s="734"/>
      <c r="DJ54" s="734"/>
      <c r="DK54" s="734"/>
    </row>
    <row r="55" spans="2:242" s="520" customFormat="1" ht="15">
      <c r="B55" s="616" t="str">
        <f t="shared" si="19"/>
        <v/>
      </c>
      <c r="C55" s="1164">
        <f t="shared" si="23"/>
        <v>11</v>
      </c>
      <c r="D55" s="750" t="str">
        <f t="shared" si="11"/>
        <v>Pit 11</v>
      </c>
      <c r="E55" s="324">
        <f t="shared" si="12"/>
        <v>0</v>
      </c>
      <c r="F55" s="324">
        <f t="shared" si="12"/>
        <v>0</v>
      </c>
      <c r="G55" s="316"/>
      <c r="H55" s="316"/>
      <c r="I55" s="316"/>
      <c r="J55" s="135">
        <f t="shared" si="20"/>
        <v>0</v>
      </c>
      <c r="K55" s="324">
        <f t="shared" si="13"/>
        <v>0</v>
      </c>
      <c r="L55" s="351">
        <f t="shared" si="24"/>
        <v>0</v>
      </c>
      <c r="M55" s="37" t="s">
        <v>2222</v>
      </c>
      <c r="N55" s="347">
        <f>IF(M55=Lists!$B$43,F55*IF($N$40="",$N$39,$N$40),0)</f>
        <v>0</v>
      </c>
      <c r="O55" s="40" t="s">
        <v>2223</v>
      </c>
      <c r="P55" s="347">
        <f>IF(M55=Lists!$B$42,IF(O55="N",F55*IF($P$40="",$P$39,$P$40),0),0)</f>
        <v>0</v>
      </c>
      <c r="Q55" s="37" t="s">
        <v>125</v>
      </c>
      <c r="R55" s="47" t="s">
        <v>349</v>
      </c>
      <c r="S55" s="63">
        <f t="shared" si="14"/>
        <v>6.2664411871606829</v>
      </c>
      <c r="T55" s="347">
        <f>IF(M55=Lists!$B$43,0,IF(O55="Y",S55*K55,0))</f>
        <v>0</v>
      </c>
      <c r="U55" s="347">
        <f t="shared" si="15"/>
        <v>0</v>
      </c>
      <c r="V55" s="316">
        <f t="shared" si="16"/>
        <v>0</v>
      </c>
      <c r="W55" s="316"/>
      <c r="X55" s="351">
        <f t="shared" si="17"/>
        <v>0</v>
      </c>
      <c r="Y55" s="351">
        <f t="shared" si="18"/>
        <v>0</v>
      </c>
      <c r="Z55" s="351">
        <f t="shared" si="21"/>
        <v>0</v>
      </c>
      <c r="AA55" s="366">
        <f t="shared" si="22"/>
        <v>0</v>
      </c>
      <c r="AB55" s="215"/>
      <c r="AC55" s="217"/>
      <c r="AD55" s="217"/>
      <c r="AE55" s="217"/>
      <c r="AF55" s="217"/>
      <c r="AG55" s="217"/>
      <c r="AH55" s="217"/>
      <c r="AI55" s="218"/>
      <c r="AK55" s="768"/>
      <c r="BE55" s="734"/>
      <c r="BF55" s="152"/>
      <c r="BG55" s="152"/>
      <c r="BH55" s="734"/>
      <c r="BI55" s="734"/>
      <c r="BJ55" s="734"/>
      <c r="BK55" s="734"/>
      <c r="BL55" s="734"/>
      <c r="BM55" s="734"/>
      <c r="BN55" s="734"/>
      <c r="BO55" s="734"/>
      <c r="BP55" s="734"/>
      <c r="BQ55" s="734"/>
      <c r="BR55" s="734"/>
      <c r="BS55" s="897"/>
      <c r="BT55" s="734"/>
      <c r="BU55" s="152"/>
      <c r="BV55" s="152"/>
      <c r="BW55" s="734"/>
      <c r="BX55" s="734"/>
      <c r="BY55" s="734"/>
      <c r="BZ55" s="734"/>
      <c r="CA55" s="768"/>
      <c r="CB55" s="768"/>
      <c r="CC55" s="768"/>
      <c r="CN55" s="768"/>
      <c r="CO55" s="768"/>
      <c r="CP55" s="768"/>
      <c r="CQ55" s="768"/>
      <c r="CR55" s="768"/>
      <c r="CS55" s="768"/>
      <c r="CT55" s="768"/>
      <c r="CU55" s="768"/>
      <c r="CV55" s="768"/>
      <c r="DE55" s="734"/>
      <c r="DF55" s="734"/>
      <c r="DG55" s="734"/>
      <c r="DH55" s="734"/>
      <c r="DI55" s="734"/>
      <c r="DJ55" s="734"/>
      <c r="DK55" s="734"/>
    </row>
    <row r="56" spans="2:242" s="520" customFormat="1" ht="15">
      <c r="B56" s="616" t="str">
        <f t="shared" si="19"/>
        <v/>
      </c>
      <c r="C56" s="1164">
        <f t="shared" si="23"/>
        <v>12</v>
      </c>
      <c r="D56" s="750" t="str">
        <f t="shared" si="11"/>
        <v>Pit 12</v>
      </c>
      <c r="E56" s="324">
        <f t="shared" si="12"/>
        <v>0</v>
      </c>
      <c r="F56" s="324">
        <f t="shared" si="12"/>
        <v>0</v>
      </c>
      <c r="G56" s="316"/>
      <c r="H56" s="316"/>
      <c r="I56" s="316"/>
      <c r="J56" s="135">
        <f t="shared" si="20"/>
        <v>0</v>
      </c>
      <c r="K56" s="324">
        <f t="shared" si="13"/>
        <v>0</v>
      </c>
      <c r="L56" s="351">
        <f t="shared" si="24"/>
        <v>0</v>
      </c>
      <c r="M56" s="37" t="s">
        <v>2222</v>
      </c>
      <c r="N56" s="347">
        <f>IF(M56=Lists!$B$43,F56*IF($N$40="",$N$39,$N$40),0)</f>
        <v>0</v>
      </c>
      <c r="O56" s="40" t="s">
        <v>2223</v>
      </c>
      <c r="P56" s="347">
        <f>IF(M56=Lists!$B$42,IF(O56="N",F56*IF($P$40="",$P$39,$P$40),0),0)</f>
        <v>0</v>
      </c>
      <c r="Q56" s="37" t="s">
        <v>125</v>
      </c>
      <c r="R56" s="47" t="s">
        <v>349</v>
      </c>
      <c r="S56" s="63">
        <f t="shared" si="14"/>
        <v>6.2664411871606829</v>
      </c>
      <c r="T56" s="347">
        <f>IF(M56=Lists!$B$43,0,IF(O56="Y",S56*K56,0))</f>
        <v>0</v>
      </c>
      <c r="U56" s="347">
        <f t="shared" si="15"/>
        <v>0</v>
      </c>
      <c r="V56" s="316">
        <f t="shared" si="16"/>
        <v>0</v>
      </c>
      <c r="W56" s="316"/>
      <c r="X56" s="351">
        <f t="shared" si="17"/>
        <v>0</v>
      </c>
      <c r="Y56" s="351">
        <f t="shared" si="18"/>
        <v>0</v>
      </c>
      <c r="Z56" s="351">
        <f t="shared" si="21"/>
        <v>0</v>
      </c>
      <c r="AA56" s="366">
        <f t="shared" si="22"/>
        <v>0</v>
      </c>
      <c r="AB56" s="215"/>
      <c r="AC56" s="217"/>
      <c r="AD56" s="217"/>
      <c r="AE56" s="217"/>
      <c r="AF56" s="217"/>
      <c r="AG56" s="217"/>
      <c r="AH56" s="217"/>
      <c r="AI56" s="218"/>
      <c r="AK56" s="768"/>
      <c r="BE56" s="734"/>
      <c r="BF56" s="152"/>
      <c r="BG56" s="152"/>
      <c r="BH56" s="734"/>
      <c r="BI56" s="734"/>
      <c r="BJ56" s="734"/>
      <c r="BK56" s="734"/>
      <c r="BL56" s="734"/>
      <c r="BM56" s="734"/>
      <c r="BN56" s="734"/>
      <c r="BO56" s="734"/>
      <c r="BP56" s="734"/>
      <c r="BQ56" s="734"/>
      <c r="BR56" s="734"/>
      <c r="BS56" s="897"/>
      <c r="BT56" s="734"/>
      <c r="BU56" s="152"/>
      <c r="BV56" s="152"/>
      <c r="BW56" s="734"/>
      <c r="BX56" s="734"/>
      <c r="BY56" s="734"/>
      <c r="BZ56" s="734"/>
      <c r="CA56" s="768"/>
      <c r="CB56" s="768"/>
      <c r="CC56" s="768"/>
      <c r="CN56" s="768"/>
      <c r="CO56" s="768"/>
      <c r="CP56" s="768"/>
      <c r="CQ56" s="768"/>
      <c r="CR56" s="768"/>
      <c r="CS56" s="768"/>
      <c r="CT56" s="768"/>
      <c r="CU56" s="768"/>
      <c r="CV56" s="768"/>
      <c r="DE56" s="734"/>
      <c r="DF56" s="734"/>
      <c r="DG56" s="734"/>
      <c r="DH56" s="734"/>
      <c r="DI56" s="734"/>
      <c r="DJ56" s="734"/>
      <c r="DK56" s="734"/>
    </row>
    <row r="57" spans="2:242" s="520" customFormat="1" ht="15">
      <c r="B57" s="616" t="str">
        <f t="shared" si="19"/>
        <v/>
      </c>
      <c r="C57" s="1164">
        <f t="shared" si="23"/>
        <v>13</v>
      </c>
      <c r="D57" s="750" t="str">
        <f t="shared" si="11"/>
        <v>Pit 13</v>
      </c>
      <c r="E57" s="324">
        <f t="shared" si="12"/>
        <v>0</v>
      </c>
      <c r="F57" s="324">
        <f t="shared" si="12"/>
        <v>0</v>
      </c>
      <c r="G57" s="316"/>
      <c r="H57" s="316"/>
      <c r="I57" s="316"/>
      <c r="J57" s="135">
        <f t="shared" si="20"/>
        <v>0</v>
      </c>
      <c r="K57" s="324">
        <f t="shared" si="13"/>
        <v>0</v>
      </c>
      <c r="L57" s="351">
        <f t="shared" si="24"/>
        <v>0</v>
      </c>
      <c r="M57" s="37" t="s">
        <v>2222</v>
      </c>
      <c r="N57" s="347">
        <f>IF(M57=Lists!$B$43,F57*IF($N$40="",$N$39,$N$40),0)</f>
        <v>0</v>
      </c>
      <c r="O57" s="40" t="s">
        <v>2223</v>
      </c>
      <c r="P57" s="347">
        <f>IF(M57=Lists!$B$42,IF(O57="N",F57*IF($P$40="",$P$39,$P$40),0),0)</f>
        <v>0</v>
      </c>
      <c r="Q57" s="37" t="s">
        <v>125</v>
      </c>
      <c r="R57" s="47" t="s">
        <v>349</v>
      </c>
      <c r="S57" s="63">
        <f t="shared" si="14"/>
        <v>6.2664411871606829</v>
      </c>
      <c r="T57" s="347">
        <f>IF(M57=Lists!$B$43,0,IF(O57="Y",S57*K57,0))</f>
        <v>0</v>
      </c>
      <c r="U57" s="347">
        <f t="shared" si="15"/>
        <v>0</v>
      </c>
      <c r="V57" s="316">
        <f t="shared" si="16"/>
        <v>0</v>
      </c>
      <c r="W57" s="316"/>
      <c r="X57" s="351">
        <f t="shared" si="17"/>
        <v>0</v>
      </c>
      <c r="Y57" s="351">
        <f t="shared" si="18"/>
        <v>0</v>
      </c>
      <c r="Z57" s="351">
        <f t="shared" si="21"/>
        <v>0</v>
      </c>
      <c r="AA57" s="366">
        <f t="shared" si="22"/>
        <v>0</v>
      </c>
      <c r="AB57" s="215"/>
      <c r="AC57" s="217"/>
      <c r="AD57" s="217"/>
      <c r="AE57" s="217"/>
      <c r="AF57" s="217"/>
      <c r="AG57" s="217"/>
      <c r="AH57" s="217"/>
      <c r="AI57" s="218"/>
      <c r="AJ57" s="152"/>
      <c r="AK57" s="768"/>
      <c r="AL57" s="734"/>
      <c r="AM57" s="734"/>
      <c r="AN57" s="734"/>
      <c r="AO57" s="734"/>
      <c r="AP57" s="734"/>
      <c r="AQ57" s="734"/>
      <c r="AR57" s="734"/>
      <c r="AS57" s="734"/>
      <c r="AT57" s="734"/>
      <c r="AU57" s="734"/>
      <c r="AV57" s="734"/>
      <c r="AW57" s="734"/>
      <c r="AX57" s="734"/>
      <c r="AY57" s="897"/>
      <c r="AZ57" s="734"/>
      <c r="BA57" s="152"/>
      <c r="BB57" s="152"/>
      <c r="BC57" s="734"/>
      <c r="BD57" s="734"/>
      <c r="BE57" s="734"/>
      <c r="BF57" s="768"/>
      <c r="BG57" s="768"/>
      <c r="BH57" s="768"/>
      <c r="BI57" s="768"/>
      <c r="BJ57" s="768"/>
      <c r="BK57" s="768"/>
      <c r="BL57" s="768"/>
      <c r="BM57" s="768"/>
      <c r="BN57" s="768"/>
      <c r="BO57" s="768"/>
      <c r="BP57" s="768"/>
      <c r="BQ57" s="768"/>
      <c r="BR57" s="768"/>
      <c r="BS57" s="768"/>
      <c r="BT57" s="768"/>
      <c r="BU57" s="768"/>
      <c r="BV57" s="768"/>
      <c r="BW57" s="768"/>
      <c r="BX57" s="768"/>
      <c r="BY57" s="768"/>
      <c r="CE57" s="734"/>
      <c r="CF57" s="734"/>
      <c r="CG57" s="734"/>
      <c r="CH57" s="734"/>
      <c r="CI57" s="734"/>
      <c r="CJ57" s="734"/>
      <c r="CK57" s="734"/>
      <c r="CL57" s="734"/>
      <c r="CM57" s="734"/>
      <c r="DE57" s="768"/>
      <c r="DF57" s="768"/>
      <c r="DG57" s="768"/>
      <c r="DH57" s="768"/>
      <c r="DI57" s="768"/>
      <c r="DJ57" s="768"/>
      <c r="DK57" s="768"/>
    </row>
    <row r="58" spans="2:242" s="520" customFormat="1" ht="15">
      <c r="B58" s="616" t="str">
        <f t="shared" si="19"/>
        <v/>
      </c>
      <c r="C58" s="1164">
        <f t="shared" si="23"/>
        <v>14</v>
      </c>
      <c r="D58" s="750" t="str">
        <f t="shared" si="11"/>
        <v>Pit 14</v>
      </c>
      <c r="E58" s="324">
        <f t="shared" si="12"/>
        <v>0</v>
      </c>
      <c r="F58" s="324">
        <f t="shared" si="12"/>
        <v>0</v>
      </c>
      <c r="G58" s="316"/>
      <c r="H58" s="316"/>
      <c r="I58" s="316"/>
      <c r="J58" s="135">
        <f t="shared" si="20"/>
        <v>0</v>
      </c>
      <c r="K58" s="324">
        <f t="shared" si="13"/>
        <v>0</v>
      </c>
      <c r="L58" s="351">
        <f t="shared" si="24"/>
        <v>0</v>
      </c>
      <c r="M58" s="37" t="s">
        <v>2222</v>
      </c>
      <c r="N58" s="347">
        <f>IF(M58=Lists!$B$43,F58*IF($N$40="",$N$39,$N$40),0)</f>
        <v>0</v>
      </c>
      <c r="O58" s="40" t="s">
        <v>2223</v>
      </c>
      <c r="P58" s="347">
        <f>IF(M58=Lists!$B$42,IF(O58="N",F58*IF($P$40="",$P$39,$P$40),0),0)</f>
        <v>0</v>
      </c>
      <c r="Q58" s="37" t="s">
        <v>125</v>
      </c>
      <c r="R58" s="47" t="s">
        <v>349</v>
      </c>
      <c r="S58" s="63">
        <f t="shared" si="14"/>
        <v>6.2664411871606829</v>
      </c>
      <c r="T58" s="347">
        <f>IF(M58=Lists!$B$43,0,IF(O58="Y",S58*K58,0))</f>
        <v>0</v>
      </c>
      <c r="U58" s="347">
        <f t="shared" si="15"/>
        <v>0</v>
      </c>
      <c r="V58" s="316">
        <f t="shared" si="16"/>
        <v>0</v>
      </c>
      <c r="W58" s="316"/>
      <c r="X58" s="351">
        <f t="shared" si="17"/>
        <v>0</v>
      </c>
      <c r="Y58" s="351">
        <f t="shared" si="18"/>
        <v>0</v>
      </c>
      <c r="Z58" s="351">
        <f t="shared" si="21"/>
        <v>0</v>
      </c>
      <c r="AA58" s="366">
        <f t="shared" si="22"/>
        <v>0</v>
      </c>
      <c r="AB58" s="215"/>
      <c r="AC58" s="217"/>
      <c r="AD58" s="217"/>
      <c r="AE58" s="217"/>
      <c r="AF58" s="217"/>
      <c r="AG58" s="217"/>
      <c r="AH58" s="217"/>
      <c r="AI58" s="218"/>
      <c r="AJ58" s="768"/>
      <c r="AK58" s="768"/>
      <c r="AL58" s="768"/>
      <c r="AM58" s="768"/>
      <c r="AN58" s="768"/>
      <c r="AO58" s="768"/>
      <c r="AP58" s="768"/>
      <c r="AQ58" s="768"/>
      <c r="AR58" s="768"/>
      <c r="AS58" s="768"/>
      <c r="AT58" s="768"/>
      <c r="AU58" s="768"/>
      <c r="AV58" s="768"/>
      <c r="AW58" s="768"/>
      <c r="AX58" s="768"/>
      <c r="AY58" s="768"/>
      <c r="AZ58" s="768"/>
      <c r="BA58" s="768"/>
      <c r="BB58" s="768"/>
      <c r="BC58" s="768"/>
      <c r="BD58" s="768"/>
      <c r="BE58" s="768"/>
      <c r="BF58" s="768"/>
      <c r="BG58" s="768"/>
      <c r="BH58" s="768"/>
      <c r="BI58" s="768"/>
      <c r="BJ58" s="768"/>
      <c r="BK58" s="768"/>
      <c r="BL58" s="768"/>
      <c r="BM58" s="768"/>
      <c r="BN58" s="768"/>
      <c r="BO58" s="768"/>
      <c r="BP58" s="768"/>
      <c r="BQ58" s="768"/>
      <c r="BR58" s="768"/>
      <c r="BS58" s="768"/>
      <c r="BT58" s="768"/>
      <c r="BU58" s="768"/>
      <c r="CE58" s="768"/>
      <c r="CF58" s="768"/>
      <c r="CG58" s="768"/>
      <c r="CH58" s="768"/>
      <c r="CI58" s="768"/>
      <c r="CJ58" s="768"/>
      <c r="CK58" s="768"/>
      <c r="CL58" s="768"/>
      <c r="CM58" s="768"/>
      <c r="DE58" s="768"/>
      <c r="DF58" s="768"/>
      <c r="DG58" s="768"/>
      <c r="DH58" s="768"/>
      <c r="DI58" s="768"/>
      <c r="DJ58" s="768"/>
      <c r="DK58" s="768"/>
    </row>
    <row r="59" spans="2:242" s="520" customFormat="1" ht="15">
      <c r="B59" s="616" t="str">
        <f t="shared" si="19"/>
        <v/>
      </c>
      <c r="C59" s="1164">
        <f t="shared" si="23"/>
        <v>15</v>
      </c>
      <c r="D59" s="750" t="str">
        <f t="shared" si="11"/>
        <v>Pit 15</v>
      </c>
      <c r="E59" s="324">
        <f t="shared" si="12"/>
        <v>0</v>
      </c>
      <c r="F59" s="324">
        <f t="shared" si="12"/>
        <v>0</v>
      </c>
      <c r="G59" s="316"/>
      <c r="H59" s="316"/>
      <c r="I59" s="316"/>
      <c r="J59" s="135">
        <f t="shared" si="20"/>
        <v>0</v>
      </c>
      <c r="K59" s="324">
        <f t="shared" si="13"/>
        <v>0</v>
      </c>
      <c r="L59" s="351">
        <f t="shared" si="24"/>
        <v>0</v>
      </c>
      <c r="M59" s="37" t="s">
        <v>2222</v>
      </c>
      <c r="N59" s="347">
        <f>IF(M59=Lists!$B$43,F59*IF($N$40="",$N$39,$N$40),0)</f>
        <v>0</v>
      </c>
      <c r="O59" s="40" t="s">
        <v>2223</v>
      </c>
      <c r="P59" s="347">
        <f>IF(M59=Lists!$B$42,IF(O59="N",F59*IF($P$40="",$P$39,$P$40),0),0)</f>
        <v>0</v>
      </c>
      <c r="Q59" s="37" t="s">
        <v>125</v>
      </c>
      <c r="R59" s="47" t="s">
        <v>349</v>
      </c>
      <c r="S59" s="63">
        <f t="shared" si="14"/>
        <v>6.2664411871606829</v>
      </c>
      <c r="T59" s="347">
        <f>IF(M59=Lists!$B$43,0,IF(O59="Y",S59*K59,0))</f>
        <v>0</v>
      </c>
      <c r="U59" s="347">
        <f t="shared" si="15"/>
        <v>0</v>
      </c>
      <c r="V59" s="316">
        <f t="shared" si="16"/>
        <v>0</v>
      </c>
      <c r="W59" s="316"/>
      <c r="X59" s="351">
        <f t="shared" si="17"/>
        <v>0</v>
      </c>
      <c r="Y59" s="351">
        <f t="shared" si="18"/>
        <v>0</v>
      </c>
      <c r="Z59" s="351">
        <f t="shared" si="21"/>
        <v>0</v>
      </c>
      <c r="AA59" s="366">
        <f t="shared" si="22"/>
        <v>0</v>
      </c>
      <c r="AB59" s="215"/>
      <c r="AC59" s="217"/>
      <c r="AD59" s="217"/>
      <c r="AE59" s="217"/>
      <c r="AF59" s="217"/>
      <c r="AG59" s="217"/>
      <c r="AH59" s="217"/>
      <c r="AI59" s="218"/>
      <c r="AJ59" s="768"/>
      <c r="AK59" s="768"/>
      <c r="AL59" s="768"/>
      <c r="AM59" s="768"/>
      <c r="AN59" s="768"/>
      <c r="AO59" s="768"/>
      <c r="AP59" s="768"/>
      <c r="AQ59" s="768"/>
      <c r="AR59" s="768"/>
      <c r="AS59" s="768"/>
      <c r="AT59" s="768"/>
      <c r="AU59" s="768"/>
      <c r="AV59" s="768"/>
      <c r="AW59" s="768"/>
      <c r="AX59" s="768"/>
      <c r="AY59" s="768"/>
      <c r="AZ59" s="768"/>
      <c r="BA59" s="768"/>
      <c r="CE59" s="768"/>
      <c r="CF59" s="768"/>
      <c r="CG59" s="768"/>
      <c r="CH59" s="768"/>
      <c r="CI59" s="768"/>
      <c r="CJ59" s="768"/>
      <c r="CK59" s="768"/>
      <c r="CL59" s="768"/>
      <c r="CM59" s="768"/>
    </row>
    <row r="60" spans="2:242" s="520" customFormat="1" ht="15">
      <c r="B60" s="616" t="str">
        <f t="shared" si="19"/>
        <v/>
      </c>
      <c r="C60" s="1164">
        <f t="shared" si="23"/>
        <v>16</v>
      </c>
      <c r="D60" s="750" t="str">
        <f t="shared" si="11"/>
        <v>Pit 16</v>
      </c>
      <c r="E60" s="324">
        <f t="shared" si="12"/>
        <v>0</v>
      </c>
      <c r="F60" s="324">
        <f t="shared" si="12"/>
        <v>0</v>
      </c>
      <c r="G60" s="316"/>
      <c r="H60" s="316"/>
      <c r="I60" s="316"/>
      <c r="J60" s="135">
        <f t="shared" si="20"/>
        <v>0</v>
      </c>
      <c r="K60" s="324">
        <f t="shared" si="13"/>
        <v>0</v>
      </c>
      <c r="L60" s="351">
        <f t="shared" si="24"/>
        <v>0</v>
      </c>
      <c r="M60" s="37" t="s">
        <v>2222</v>
      </c>
      <c r="N60" s="347">
        <f>IF(M60=Lists!$B$43,F60*IF($N$40="",$N$39,$N$40),0)</f>
        <v>0</v>
      </c>
      <c r="O60" s="40" t="s">
        <v>2223</v>
      </c>
      <c r="P60" s="347">
        <f>IF(M60=Lists!$B$42,IF(O60="N",F60*IF($P$40="",$P$39,$P$40),0),0)</f>
        <v>0</v>
      </c>
      <c r="Q60" s="37" t="s">
        <v>125</v>
      </c>
      <c r="R60" s="47" t="s">
        <v>349</v>
      </c>
      <c r="S60" s="63">
        <f t="shared" si="14"/>
        <v>6.2664411871606829</v>
      </c>
      <c r="T60" s="347">
        <f>IF(M60=Lists!$B$43,0,IF(O60="Y",S60*K60,0))</f>
        <v>0</v>
      </c>
      <c r="U60" s="347">
        <f t="shared" si="15"/>
        <v>0</v>
      </c>
      <c r="V60" s="316">
        <f t="shared" si="16"/>
        <v>0</v>
      </c>
      <c r="W60" s="316"/>
      <c r="X60" s="351">
        <f t="shared" si="17"/>
        <v>0</v>
      </c>
      <c r="Y60" s="351">
        <f t="shared" si="18"/>
        <v>0</v>
      </c>
      <c r="Z60" s="351">
        <f t="shared" si="21"/>
        <v>0</v>
      </c>
      <c r="AA60" s="366">
        <f t="shared" si="22"/>
        <v>0</v>
      </c>
      <c r="AB60" s="215"/>
      <c r="AC60" s="217"/>
      <c r="AD60" s="217"/>
      <c r="AE60" s="217"/>
      <c r="AF60" s="217"/>
      <c r="AG60" s="217"/>
      <c r="AH60" s="217"/>
      <c r="AI60" s="218"/>
      <c r="AJ60" s="768"/>
      <c r="AK60" s="768"/>
      <c r="AL60" s="768"/>
      <c r="AM60" s="768"/>
      <c r="AN60" s="768"/>
      <c r="AO60" s="768"/>
      <c r="AP60" s="768"/>
      <c r="AQ60" s="768"/>
      <c r="AR60" s="768"/>
      <c r="AS60" s="768"/>
      <c r="AT60" s="768"/>
      <c r="AU60" s="768"/>
      <c r="AV60" s="768"/>
      <c r="AW60" s="768"/>
      <c r="AX60" s="768"/>
      <c r="AY60" s="768"/>
      <c r="AZ60" s="768"/>
      <c r="BA60" s="768"/>
      <c r="CE60" s="768"/>
      <c r="CF60" s="768"/>
      <c r="CG60" s="768"/>
      <c r="CH60" s="768"/>
      <c r="CI60" s="768"/>
      <c r="CJ60" s="768"/>
      <c r="CK60" s="768"/>
      <c r="CL60" s="768"/>
      <c r="CM60" s="768"/>
    </row>
    <row r="61" spans="2:242" s="520" customFormat="1" ht="15">
      <c r="B61" s="616" t="str">
        <f t="shared" si="19"/>
        <v/>
      </c>
      <c r="C61" s="1164">
        <f t="shared" si="23"/>
        <v>17</v>
      </c>
      <c r="D61" s="750" t="str">
        <f t="shared" si="11"/>
        <v>Pit 17</v>
      </c>
      <c r="E61" s="324">
        <f t="shared" si="12"/>
        <v>0</v>
      </c>
      <c r="F61" s="324">
        <f t="shared" si="12"/>
        <v>0</v>
      </c>
      <c r="G61" s="316"/>
      <c r="H61" s="316"/>
      <c r="I61" s="316"/>
      <c r="J61" s="135">
        <f t="shared" si="20"/>
        <v>0</v>
      </c>
      <c r="K61" s="324">
        <f t="shared" si="13"/>
        <v>0</v>
      </c>
      <c r="L61" s="351">
        <f t="shared" si="24"/>
        <v>0</v>
      </c>
      <c r="M61" s="37" t="s">
        <v>2222</v>
      </c>
      <c r="N61" s="347">
        <f>IF(M61=Lists!$B$43,F61*IF($N$40="",$N$39,$N$40),0)</f>
        <v>0</v>
      </c>
      <c r="O61" s="40" t="s">
        <v>2223</v>
      </c>
      <c r="P61" s="347">
        <f>IF(M61=Lists!$B$42,IF(O61="N",F61*IF($P$40="",$P$39,$P$40),0),0)</f>
        <v>0</v>
      </c>
      <c r="Q61" s="37" t="s">
        <v>125</v>
      </c>
      <c r="R61" s="47" t="s">
        <v>349</v>
      </c>
      <c r="S61" s="63">
        <f t="shared" si="14"/>
        <v>6.2664411871606829</v>
      </c>
      <c r="T61" s="347">
        <f>IF(M61=Lists!$B$43,0,IF(O61="Y",S61*K61,0))</f>
        <v>0</v>
      </c>
      <c r="U61" s="347">
        <f t="shared" si="15"/>
        <v>0</v>
      </c>
      <c r="V61" s="316">
        <f t="shared" si="16"/>
        <v>0</v>
      </c>
      <c r="W61" s="316"/>
      <c r="X61" s="351">
        <f t="shared" si="17"/>
        <v>0</v>
      </c>
      <c r="Y61" s="351">
        <f t="shared" si="18"/>
        <v>0</v>
      </c>
      <c r="Z61" s="351">
        <f t="shared" si="21"/>
        <v>0</v>
      </c>
      <c r="AA61" s="366">
        <f t="shared" si="22"/>
        <v>0</v>
      </c>
      <c r="AB61" s="215"/>
      <c r="AC61" s="217"/>
      <c r="AD61" s="217"/>
      <c r="AE61" s="217"/>
      <c r="AF61" s="217"/>
      <c r="AG61" s="217"/>
      <c r="AH61" s="217"/>
      <c r="AI61" s="218"/>
      <c r="AJ61" s="897"/>
      <c r="AK61" s="897"/>
      <c r="AL61" s="897"/>
      <c r="AM61" s="897"/>
      <c r="AN61" s="897"/>
      <c r="AO61" s="897"/>
      <c r="AP61" s="897"/>
      <c r="AQ61" s="897"/>
      <c r="AR61" s="897"/>
      <c r="AS61" s="897"/>
      <c r="AT61" s="897"/>
      <c r="AU61" s="897"/>
      <c r="AV61" s="897"/>
      <c r="AW61" s="1191"/>
      <c r="AX61" s="1191"/>
      <c r="AY61" s="1191"/>
      <c r="AZ61" s="1191"/>
      <c r="BA61" s="1191"/>
      <c r="BB61" s="1191"/>
      <c r="CE61" s="897"/>
      <c r="CF61" s="897"/>
      <c r="CG61" s="897"/>
      <c r="CH61" s="897"/>
      <c r="CI61" s="897"/>
      <c r="CJ61" s="897"/>
      <c r="CK61" s="897"/>
      <c r="CL61" s="897"/>
      <c r="CM61" s="897"/>
    </row>
    <row r="62" spans="2:242" s="520" customFormat="1" ht="15">
      <c r="B62" s="616" t="str">
        <f t="shared" si="19"/>
        <v/>
      </c>
      <c r="C62" s="1164">
        <f t="shared" si="23"/>
        <v>18</v>
      </c>
      <c r="D62" s="750" t="str">
        <f t="shared" si="11"/>
        <v>Pit 18</v>
      </c>
      <c r="E62" s="324">
        <f t="shared" si="12"/>
        <v>0</v>
      </c>
      <c r="F62" s="324">
        <f t="shared" si="12"/>
        <v>0</v>
      </c>
      <c r="G62" s="316"/>
      <c r="H62" s="316"/>
      <c r="I62" s="316"/>
      <c r="J62" s="135">
        <f t="shared" si="20"/>
        <v>0</v>
      </c>
      <c r="K62" s="324">
        <f t="shared" si="13"/>
        <v>0</v>
      </c>
      <c r="L62" s="351">
        <f t="shared" si="24"/>
        <v>0</v>
      </c>
      <c r="M62" s="37" t="s">
        <v>2222</v>
      </c>
      <c r="N62" s="347">
        <f>IF(M62=Lists!$B$43,F62*IF($N$40="",$N$39,$N$40),0)</f>
        <v>0</v>
      </c>
      <c r="O62" s="40" t="s">
        <v>2223</v>
      </c>
      <c r="P62" s="347">
        <f>IF(M62=Lists!$B$42,IF(O62="N",F62*IF($P$40="",$P$39,$P$40),0),0)</f>
        <v>0</v>
      </c>
      <c r="Q62" s="37" t="s">
        <v>125</v>
      </c>
      <c r="R62" s="47" t="s">
        <v>349</v>
      </c>
      <c r="S62" s="63">
        <f t="shared" si="14"/>
        <v>6.2664411871606829</v>
      </c>
      <c r="T62" s="347">
        <f>IF(M62=Lists!$B$43,0,IF(O62="Y",S62*K62,0))</f>
        <v>0</v>
      </c>
      <c r="U62" s="347">
        <f t="shared" si="15"/>
        <v>0</v>
      </c>
      <c r="V62" s="316">
        <f t="shared" si="16"/>
        <v>0</v>
      </c>
      <c r="W62" s="316"/>
      <c r="X62" s="351">
        <f t="shared" si="17"/>
        <v>0</v>
      </c>
      <c r="Y62" s="351">
        <f t="shared" si="18"/>
        <v>0</v>
      </c>
      <c r="Z62" s="351">
        <f t="shared" si="21"/>
        <v>0</v>
      </c>
      <c r="AA62" s="366">
        <f t="shared" si="22"/>
        <v>0</v>
      </c>
      <c r="AB62" s="215"/>
      <c r="AC62" s="217"/>
      <c r="AD62" s="217"/>
      <c r="AE62" s="217"/>
      <c r="AF62" s="217"/>
      <c r="AG62" s="217"/>
      <c r="AH62" s="217"/>
      <c r="AI62" s="218"/>
      <c r="AJ62" s="897"/>
      <c r="AK62" s="897"/>
      <c r="AL62" s="897"/>
      <c r="AM62" s="897"/>
      <c r="AN62" s="897"/>
      <c r="AO62" s="897"/>
      <c r="AP62" s="897"/>
      <c r="AQ62" s="897"/>
      <c r="AR62" s="897"/>
      <c r="AS62" s="897"/>
      <c r="AT62" s="897"/>
      <c r="AU62" s="897"/>
      <c r="AV62" s="897"/>
      <c r="AW62" s="1191"/>
      <c r="AX62" s="1191"/>
      <c r="AY62" s="1191"/>
      <c r="AZ62" s="1191"/>
      <c r="BA62" s="1191"/>
      <c r="BB62" s="768"/>
      <c r="CE62" s="897"/>
      <c r="CF62" s="897"/>
      <c r="CG62" s="897"/>
      <c r="CH62" s="897"/>
      <c r="CI62" s="897"/>
      <c r="CJ62" s="897"/>
      <c r="CK62" s="897"/>
      <c r="CL62" s="897"/>
      <c r="CM62" s="897"/>
    </row>
    <row r="63" spans="2:242" s="520" customFormat="1" ht="15">
      <c r="B63" s="616" t="str">
        <f t="shared" si="19"/>
        <v/>
      </c>
      <c r="C63" s="1164">
        <f t="shared" si="23"/>
        <v>19</v>
      </c>
      <c r="D63" s="750" t="str">
        <f t="shared" si="11"/>
        <v>Pit 19</v>
      </c>
      <c r="E63" s="324">
        <f t="shared" si="12"/>
        <v>0</v>
      </c>
      <c r="F63" s="324">
        <f t="shared" si="12"/>
        <v>0</v>
      </c>
      <c r="G63" s="316"/>
      <c r="H63" s="316"/>
      <c r="I63" s="316"/>
      <c r="J63" s="135">
        <f t="shared" si="20"/>
        <v>0</v>
      </c>
      <c r="K63" s="324">
        <f t="shared" si="13"/>
        <v>0</v>
      </c>
      <c r="L63" s="351">
        <f t="shared" si="24"/>
        <v>0</v>
      </c>
      <c r="M63" s="37" t="s">
        <v>2222</v>
      </c>
      <c r="N63" s="347">
        <f>IF(M63=Lists!$B$43,F63*IF($N$40="",$N$39,$N$40),0)</f>
        <v>0</v>
      </c>
      <c r="O63" s="40" t="s">
        <v>2223</v>
      </c>
      <c r="P63" s="347">
        <f>IF(M63=Lists!$B$42,IF(O63="N",F63*IF($P$40="",$P$39,$P$40),0),0)</f>
        <v>0</v>
      </c>
      <c r="Q63" s="37" t="s">
        <v>125</v>
      </c>
      <c r="R63" s="47" t="s">
        <v>349</v>
      </c>
      <c r="S63" s="63">
        <f t="shared" si="14"/>
        <v>6.2664411871606829</v>
      </c>
      <c r="T63" s="347">
        <f>IF(M63=Lists!$B$43,0,IF(O63="Y",S63*K63,0))</f>
        <v>0</v>
      </c>
      <c r="U63" s="347">
        <f t="shared" si="15"/>
        <v>0</v>
      </c>
      <c r="V63" s="316">
        <f t="shared" si="16"/>
        <v>0</v>
      </c>
      <c r="W63" s="316"/>
      <c r="X63" s="351">
        <f t="shared" si="17"/>
        <v>0</v>
      </c>
      <c r="Y63" s="351">
        <f t="shared" si="18"/>
        <v>0</v>
      </c>
      <c r="Z63" s="351">
        <f t="shared" si="21"/>
        <v>0</v>
      </c>
      <c r="AA63" s="366">
        <f t="shared" si="22"/>
        <v>0</v>
      </c>
      <c r="AB63" s="215"/>
      <c r="AC63" s="217"/>
      <c r="AD63" s="217"/>
      <c r="AE63" s="217"/>
      <c r="AF63" s="217"/>
      <c r="AG63" s="217"/>
      <c r="AH63" s="217"/>
      <c r="AI63" s="218"/>
      <c r="BB63" s="152"/>
      <c r="BC63" s="152"/>
      <c r="BD63" s="734"/>
      <c r="BE63" s="734"/>
      <c r="BF63" s="734"/>
      <c r="BG63" s="768"/>
      <c r="BH63" s="768"/>
      <c r="BI63" s="768"/>
      <c r="BJ63" s="768"/>
      <c r="BK63" s="768"/>
      <c r="BL63" s="768"/>
      <c r="BM63" s="768"/>
      <c r="BN63" s="768"/>
      <c r="BO63" s="768"/>
      <c r="BP63" s="768"/>
      <c r="BQ63" s="768"/>
      <c r="BR63" s="768"/>
      <c r="BS63" s="768"/>
      <c r="BT63" s="768"/>
      <c r="BU63" s="768"/>
      <c r="BV63" s="768"/>
      <c r="BW63" s="768"/>
      <c r="BX63" s="768"/>
      <c r="BY63" s="768"/>
      <c r="BZ63" s="768"/>
      <c r="DE63" s="768"/>
      <c r="DF63" s="768"/>
      <c r="DG63" s="768"/>
      <c r="DH63" s="768"/>
      <c r="DI63" s="768"/>
      <c r="DJ63" s="768"/>
      <c r="DK63" s="768"/>
    </row>
    <row r="64" spans="2:242" s="520" customFormat="1" ht="15">
      <c r="B64" s="616" t="str">
        <f t="shared" si="19"/>
        <v/>
      </c>
      <c r="C64" s="1164">
        <f t="shared" si="23"/>
        <v>20</v>
      </c>
      <c r="D64" s="750" t="str">
        <f t="shared" si="11"/>
        <v>Pit 20</v>
      </c>
      <c r="E64" s="324">
        <f t="shared" si="12"/>
        <v>0</v>
      </c>
      <c r="F64" s="324">
        <f t="shared" si="12"/>
        <v>0</v>
      </c>
      <c r="G64" s="316"/>
      <c r="H64" s="316"/>
      <c r="I64" s="316"/>
      <c r="J64" s="135">
        <f t="shared" si="20"/>
        <v>0</v>
      </c>
      <c r="K64" s="324">
        <f t="shared" si="13"/>
        <v>0</v>
      </c>
      <c r="L64" s="351">
        <f t="shared" si="24"/>
        <v>0</v>
      </c>
      <c r="M64" s="37" t="s">
        <v>2222</v>
      </c>
      <c r="N64" s="347">
        <f>IF(M64=Lists!$B$43,F64*IF($N$40="",$N$39,$N$40),0)</f>
        <v>0</v>
      </c>
      <c r="O64" s="40" t="s">
        <v>2223</v>
      </c>
      <c r="P64" s="347">
        <f>IF(M64=Lists!$B$42,IF(O64="N",F64*IF($P$40="",$P$39,$P$40),0),0)</f>
        <v>0</v>
      </c>
      <c r="Q64" s="37" t="s">
        <v>125</v>
      </c>
      <c r="R64" s="47" t="s">
        <v>349</v>
      </c>
      <c r="S64" s="63">
        <f t="shared" si="14"/>
        <v>6.2664411871606829</v>
      </c>
      <c r="T64" s="347">
        <f>IF(M64=Lists!$B$43,0,IF(O64="Y",S64*K64,0))</f>
        <v>0</v>
      </c>
      <c r="U64" s="347">
        <f t="shared" si="15"/>
        <v>0</v>
      </c>
      <c r="V64" s="316">
        <f t="shared" si="16"/>
        <v>0</v>
      </c>
      <c r="W64" s="316"/>
      <c r="X64" s="351">
        <f t="shared" si="17"/>
        <v>0</v>
      </c>
      <c r="Y64" s="351">
        <f t="shared" si="18"/>
        <v>0</v>
      </c>
      <c r="Z64" s="351">
        <f t="shared" si="21"/>
        <v>0</v>
      </c>
      <c r="AA64" s="366">
        <f t="shared" si="22"/>
        <v>0</v>
      </c>
      <c r="AB64" s="215"/>
      <c r="AC64" s="217"/>
      <c r="AD64" s="217"/>
      <c r="AE64" s="217"/>
      <c r="AF64" s="217"/>
      <c r="AG64" s="217"/>
      <c r="AH64" s="217"/>
      <c r="AI64" s="218"/>
      <c r="AJ64" s="768"/>
      <c r="AK64" s="768"/>
      <c r="AL64" s="768"/>
      <c r="BB64" s="152"/>
      <c r="BC64" s="152"/>
      <c r="BD64" s="734"/>
      <c r="BE64" s="734"/>
      <c r="BF64" s="734"/>
      <c r="BG64" s="768"/>
      <c r="BH64" s="768"/>
      <c r="BI64" s="768"/>
      <c r="BJ64" s="768"/>
      <c r="BK64" s="768"/>
      <c r="BL64" s="768"/>
      <c r="BM64" s="768"/>
      <c r="BN64" s="768"/>
      <c r="BO64" s="768"/>
      <c r="BP64" s="768"/>
      <c r="BQ64" s="768"/>
      <c r="BR64" s="768"/>
      <c r="BS64" s="768"/>
      <c r="BT64" s="768"/>
      <c r="BU64" s="768"/>
      <c r="BV64" s="768"/>
      <c r="BW64" s="768"/>
      <c r="BX64" s="768"/>
      <c r="BY64" s="768"/>
      <c r="BZ64" s="768"/>
      <c r="DE64" s="768"/>
      <c r="DF64" s="768"/>
      <c r="DG64" s="768"/>
      <c r="DH64" s="768"/>
      <c r="DI64" s="768"/>
      <c r="DJ64" s="768"/>
      <c r="DK64" s="768"/>
    </row>
    <row r="65" spans="2:275" ht="18" customHeight="1">
      <c r="E65" s="795"/>
      <c r="F65" s="868"/>
      <c r="G65" s="898"/>
      <c r="H65" s="898"/>
      <c r="I65" s="898"/>
      <c r="J65" s="898"/>
      <c r="K65" s="868"/>
      <c r="L65" s="868"/>
      <c r="M65" s="868"/>
      <c r="N65" s="868"/>
      <c r="O65" s="868"/>
      <c r="P65" s="868"/>
      <c r="Q65" s="868"/>
      <c r="R65" s="475"/>
      <c r="S65" s="475"/>
      <c r="T65" s="475"/>
      <c r="U65" s="475"/>
      <c r="V65" s="869"/>
      <c r="W65" s="869"/>
      <c r="X65" s="1105"/>
      <c r="Y65" s="1105"/>
      <c r="Z65" s="737"/>
      <c r="AA65" s="1192"/>
      <c r="AM65" s="475"/>
      <c r="AN65" s="475"/>
      <c r="AO65" s="475"/>
      <c r="AP65" s="475"/>
      <c r="AQ65" s="475"/>
      <c r="AR65" s="475"/>
      <c r="AS65" s="475"/>
      <c r="AT65" s="475"/>
      <c r="AU65" s="475"/>
      <c r="AV65" s="475"/>
      <c r="AW65" s="475"/>
      <c r="AX65" s="475"/>
      <c r="AY65" s="475"/>
      <c r="AZ65" s="475"/>
      <c r="BA65" s="475"/>
      <c r="BB65" s="475"/>
      <c r="BS65" s="747"/>
      <c r="BT65" s="11"/>
      <c r="BU65" s="11"/>
      <c r="BV65" s="747"/>
      <c r="BW65" s="747"/>
      <c r="BX65" s="747"/>
      <c r="BY65" s="747"/>
      <c r="BZ65" s="747"/>
      <c r="CA65" s="747"/>
      <c r="CB65" s="747"/>
      <c r="CC65" s="11"/>
      <c r="CF65" s="475"/>
      <c r="CG65" s="475"/>
      <c r="CH65" s="475"/>
      <c r="CI65" s="475"/>
      <c r="CJ65" s="475"/>
      <c r="CK65" s="475"/>
      <c r="CL65" s="475"/>
      <c r="CM65" s="475"/>
      <c r="CN65" s="11"/>
      <c r="CO65" s="747"/>
      <c r="CP65" s="747"/>
      <c r="CQ65" s="747"/>
      <c r="CR65" s="474"/>
      <c r="CS65" s="474"/>
      <c r="CT65" s="474"/>
      <c r="CU65" s="474"/>
      <c r="CV65" s="474"/>
      <c r="CW65" s="474"/>
      <c r="CX65" s="474"/>
      <c r="CY65" s="474"/>
      <c r="CZ65" s="474"/>
      <c r="DA65" s="474"/>
      <c r="DB65" s="474"/>
      <c r="DC65" s="474"/>
      <c r="DD65" s="474"/>
    </row>
    <row r="66" spans="2:275" ht="18" customHeight="1">
      <c r="E66" s="795"/>
      <c r="F66" s="372">
        <f>SUM(F44:F65)</f>
        <v>0</v>
      </c>
      <c r="G66" s="475"/>
      <c r="H66" s="475"/>
      <c r="I66" s="475"/>
      <c r="J66" s="898"/>
      <c r="K66" s="372">
        <f>SUM(K44:K65)</f>
        <v>0</v>
      </c>
      <c r="L66" s="351">
        <f>SUM(L38:L65)</f>
        <v>2885.2856380177936</v>
      </c>
      <c r="M66" s="768"/>
      <c r="N66" s="347">
        <f>SUM(N44:N65)</f>
        <v>0</v>
      </c>
      <c r="O66" s="768"/>
      <c r="P66" s="347">
        <f>SUM(P44:P65)</f>
        <v>0</v>
      </c>
      <c r="Q66" s="475"/>
      <c r="R66" s="768"/>
      <c r="S66" s="768"/>
      <c r="T66" s="347">
        <f>SUM(T44:T64)</f>
        <v>0</v>
      </c>
      <c r="U66" s="43">
        <f>SUM(U44:U64)</f>
        <v>0</v>
      </c>
      <c r="V66" s="372">
        <f>SUM(V44:V65)</f>
        <v>0</v>
      </c>
      <c r="W66" s="372">
        <f>SUM(W44:W65)</f>
        <v>0</v>
      </c>
      <c r="X66" s="346">
        <f>SUM(X44:X65)</f>
        <v>0</v>
      </c>
      <c r="Y66" s="346">
        <f t="shared" ref="Y66:Z66" si="25">SUM(Y44:Y65)</f>
        <v>0</v>
      </c>
      <c r="Z66" s="346">
        <f t="shared" si="25"/>
        <v>0</v>
      </c>
      <c r="AA66" s="1046">
        <f>SUM(AA44:AA65)</f>
        <v>0</v>
      </c>
      <c r="AM66" s="475"/>
      <c r="AN66" s="475"/>
      <c r="AO66" s="475"/>
      <c r="AP66" s="475"/>
      <c r="AQ66" s="475"/>
      <c r="AR66" s="475"/>
      <c r="AS66" s="475"/>
      <c r="AT66" s="475"/>
      <c r="AU66" s="475"/>
      <c r="AV66" s="475"/>
      <c r="AW66" s="475"/>
      <c r="AX66" s="475"/>
      <c r="AY66" s="475"/>
      <c r="AZ66" s="475"/>
      <c r="BA66" s="475"/>
      <c r="BB66" s="475"/>
      <c r="BS66" s="747"/>
      <c r="BT66" s="11"/>
      <c r="BU66" s="11"/>
      <c r="BV66" s="747"/>
      <c r="BW66" s="747"/>
      <c r="BX66" s="747"/>
      <c r="BY66" s="747"/>
      <c r="BZ66" s="747"/>
      <c r="CA66" s="747"/>
      <c r="CB66" s="747"/>
      <c r="CC66" s="11"/>
      <c r="CF66" s="475"/>
      <c r="CG66" s="475"/>
      <c r="CH66" s="475"/>
      <c r="CI66" s="475"/>
      <c r="CJ66" s="475"/>
      <c r="CK66" s="475"/>
      <c r="CL66" s="475"/>
      <c r="CM66" s="475"/>
      <c r="CN66" s="11"/>
      <c r="CO66" s="747"/>
      <c r="CP66" s="747"/>
      <c r="CQ66" s="747"/>
      <c r="CR66" s="474"/>
      <c r="CS66" s="474"/>
      <c r="CT66" s="474"/>
      <c r="CU66" s="474"/>
      <c r="CV66" s="474"/>
      <c r="CW66" s="474"/>
      <c r="CX66" s="474"/>
      <c r="CY66" s="474"/>
      <c r="CZ66" s="474"/>
      <c r="DA66" s="474"/>
      <c r="DB66" s="474"/>
      <c r="DC66" s="474"/>
      <c r="DD66" s="474"/>
    </row>
    <row r="67" spans="2:275" ht="18" customHeight="1">
      <c r="F67" s="475"/>
      <c r="G67" s="475"/>
      <c r="H67" s="475"/>
      <c r="I67" s="475"/>
      <c r="J67" s="475"/>
      <c r="K67" s="475"/>
      <c r="L67" s="475"/>
      <c r="M67" s="475"/>
      <c r="N67" s="475"/>
      <c r="O67" s="475"/>
      <c r="P67" s="475"/>
      <c r="Q67" s="475"/>
      <c r="R67" s="475"/>
      <c r="S67" s="475"/>
      <c r="T67" s="475"/>
      <c r="U67" s="475"/>
      <c r="V67" s="475"/>
      <c r="W67" s="475"/>
      <c r="X67" s="475"/>
      <c r="Y67" s="475"/>
      <c r="Z67" s="475"/>
      <c r="AA67" s="814">
        <f>IF(F66=0,0,AA66/F66)</f>
        <v>0</v>
      </c>
      <c r="AB67" s="736" t="s">
        <v>1727</v>
      </c>
      <c r="AM67" s="475"/>
      <c r="AN67" s="475"/>
      <c r="AO67" s="475"/>
      <c r="AP67" s="475"/>
      <c r="AQ67" s="475"/>
      <c r="AR67" s="475"/>
      <c r="AS67" s="475"/>
      <c r="AT67" s="475"/>
      <c r="AU67" s="475"/>
      <c r="AV67" s="475"/>
      <c r="AW67" s="475"/>
      <c r="AX67" s="475"/>
      <c r="AY67" s="475"/>
      <c r="AZ67" s="475"/>
      <c r="BA67" s="475"/>
      <c r="BB67" s="475"/>
      <c r="BS67" s="747"/>
      <c r="BT67" s="11"/>
      <c r="BU67" s="11"/>
      <c r="BV67" s="747"/>
      <c r="BW67" s="747"/>
      <c r="BX67" s="747"/>
      <c r="BY67" s="747"/>
      <c r="BZ67" s="747"/>
      <c r="CA67" s="747"/>
      <c r="CB67" s="747"/>
      <c r="CC67" s="11"/>
      <c r="CF67" s="475"/>
      <c r="CG67" s="475"/>
      <c r="CH67" s="475"/>
      <c r="CI67" s="475"/>
      <c r="CJ67" s="475"/>
      <c r="CK67" s="475"/>
      <c r="CL67" s="475"/>
      <c r="CM67" s="475"/>
      <c r="CN67" s="11"/>
      <c r="CO67" s="747"/>
      <c r="CP67" s="747"/>
      <c r="CQ67" s="747"/>
      <c r="CR67" s="474"/>
      <c r="CS67" s="474"/>
      <c r="CT67" s="474"/>
      <c r="CU67" s="474"/>
      <c r="CV67" s="474"/>
      <c r="CW67" s="474"/>
      <c r="CX67" s="474"/>
      <c r="CY67" s="474"/>
      <c r="CZ67" s="474"/>
      <c r="DA67" s="474"/>
      <c r="DB67" s="474"/>
      <c r="DC67" s="474"/>
      <c r="DD67" s="474"/>
    </row>
    <row r="68" spans="2:275" ht="18" customHeight="1">
      <c r="F68" s="475"/>
      <c r="G68" s="475"/>
      <c r="H68" s="475"/>
      <c r="I68" s="475"/>
      <c r="J68" s="475"/>
      <c r="K68" s="475"/>
      <c r="L68" s="475"/>
      <c r="M68" s="475"/>
      <c r="N68" s="475"/>
      <c r="O68" s="475"/>
      <c r="P68" s="475"/>
      <c r="Q68" s="475"/>
      <c r="R68" s="475"/>
      <c r="S68" s="475"/>
      <c r="T68" s="475"/>
      <c r="U68" s="475"/>
      <c r="V68" s="475"/>
      <c r="W68" s="475"/>
      <c r="X68" s="475"/>
      <c r="Y68" s="475"/>
      <c r="Z68" s="475"/>
      <c r="AA68" s="475"/>
      <c r="AC68" s="475"/>
      <c r="AN68" s="747"/>
      <c r="AO68" s="747"/>
      <c r="AP68" s="747"/>
      <c r="AQ68" s="747"/>
      <c r="AR68" s="747"/>
      <c r="AS68" s="747"/>
      <c r="AT68" s="747"/>
      <c r="AU68" s="747"/>
      <c r="AV68" s="747"/>
      <c r="AW68" s="747"/>
      <c r="AX68" s="747"/>
      <c r="AY68" s="747"/>
      <c r="AZ68" s="1045"/>
      <c r="BA68" s="747"/>
      <c r="BB68" s="11"/>
      <c r="BC68" s="11"/>
      <c r="BD68" s="747"/>
      <c r="BE68" s="747"/>
      <c r="BF68" s="747"/>
      <c r="BG68" s="474"/>
      <c r="BH68" s="474"/>
      <c r="BI68" s="474"/>
      <c r="BJ68" s="474"/>
      <c r="BK68" s="474"/>
      <c r="BL68" s="474"/>
      <c r="BM68" s="474"/>
      <c r="BN68" s="474"/>
      <c r="BO68" s="474"/>
      <c r="BP68" s="474"/>
      <c r="BQ68" s="474"/>
      <c r="BR68" s="474"/>
      <c r="BS68" s="474"/>
      <c r="BT68" s="474"/>
      <c r="BU68" s="474"/>
      <c r="BV68" s="474"/>
      <c r="BW68" s="474"/>
      <c r="BX68" s="474"/>
      <c r="BY68" s="474"/>
      <c r="BZ68" s="474"/>
      <c r="CF68" s="747"/>
      <c r="CG68" s="747"/>
      <c r="CH68" s="747"/>
      <c r="CI68" s="747"/>
      <c r="CJ68" s="747"/>
      <c r="CK68" s="747"/>
      <c r="CL68" s="747"/>
      <c r="CM68" s="747"/>
      <c r="CN68" s="747"/>
      <c r="DF68" s="474"/>
      <c r="DG68" s="474"/>
      <c r="DH68" s="474"/>
      <c r="DI68" s="474"/>
      <c r="DJ68" s="474"/>
      <c r="DK68" s="474"/>
      <c r="DL68" s="474"/>
    </row>
    <row r="69" spans="2:275" ht="18" customHeight="1">
      <c r="F69" s="475"/>
      <c r="G69" s="475"/>
      <c r="I69" s="475"/>
      <c r="J69" s="475"/>
      <c r="K69" s="475"/>
      <c r="L69" s="475"/>
      <c r="M69" s="475"/>
      <c r="N69" s="475"/>
      <c r="O69" s="475"/>
      <c r="P69" s="475"/>
      <c r="Q69" s="475"/>
      <c r="R69" s="475"/>
      <c r="S69" s="475"/>
      <c r="T69" s="475"/>
      <c r="U69" s="475"/>
      <c r="V69" s="475"/>
      <c r="W69" s="475"/>
      <c r="X69" s="475"/>
      <c r="Y69" s="475"/>
      <c r="Z69" s="475"/>
      <c r="AA69" s="475"/>
      <c r="AB69" s="475"/>
      <c r="AC69" s="475"/>
      <c r="AD69" s="475"/>
      <c r="BC69" s="474"/>
      <c r="BD69" s="474"/>
      <c r="BE69" s="474"/>
      <c r="BF69" s="474"/>
    </row>
    <row r="70" spans="2:275" ht="18" customHeight="1">
      <c r="AL70" s="475"/>
      <c r="AZ70" s="747"/>
      <c r="BA70" s="747"/>
      <c r="BB70" s="747"/>
      <c r="BC70" s="747"/>
      <c r="BD70" s="1045"/>
      <c r="BE70" s="747"/>
      <c r="BF70" s="11"/>
      <c r="BG70" s="11"/>
      <c r="BH70" s="747"/>
      <c r="BI70" s="747"/>
      <c r="BJ70" s="474"/>
      <c r="BK70" s="474"/>
      <c r="BL70" s="474"/>
      <c r="BM70" s="474"/>
      <c r="BN70" s="474"/>
      <c r="BO70" s="474"/>
      <c r="BP70" s="474"/>
      <c r="BQ70" s="474"/>
      <c r="BR70" s="474"/>
      <c r="BS70" s="474"/>
      <c r="BT70" s="474"/>
      <c r="BU70" s="474"/>
      <c r="BV70" s="474"/>
      <c r="BW70" s="474"/>
      <c r="BX70" s="474"/>
      <c r="BY70" s="474"/>
      <c r="BZ70" s="474"/>
      <c r="CA70" s="474"/>
      <c r="CB70" s="474"/>
      <c r="CC70" s="474"/>
      <c r="DF70" s="474"/>
      <c r="DG70" s="474"/>
      <c r="DH70" s="474"/>
      <c r="DI70" s="474"/>
      <c r="DJ70" s="474"/>
      <c r="DK70" s="474"/>
      <c r="DL70" s="474"/>
    </row>
    <row r="71" spans="2:275" ht="18" customHeight="1">
      <c r="G71" s="906" t="str">
        <f>IF(G74="","No Alert","Enter justification")</f>
        <v>No Alert</v>
      </c>
      <c r="J71" s="475"/>
      <c r="K71" s="475"/>
      <c r="L71" s="475"/>
      <c r="M71" s="475"/>
      <c r="N71" s="475"/>
      <c r="O71" s="475"/>
      <c r="P71" s="475"/>
      <c r="Q71" s="475"/>
      <c r="R71" s="475"/>
      <c r="S71" s="475"/>
      <c r="T71" s="475"/>
      <c r="U71" s="475"/>
      <c r="V71" s="475"/>
      <c r="W71" s="475"/>
      <c r="X71" s="475"/>
      <c r="Y71" s="475"/>
      <c r="Z71" s="475"/>
      <c r="AC71" s="475"/>
      <c r="AD71" s="475"/>
      <c r="AE71" s="475"/>
      <c r="AF71" s="475"/>
      <c r="AG71" s="475"/>
      <c r="AH71" s="475"/>
      <c r="AM71" s="475"/>
      <c r="AN71" s="475"/>
      <c r="AO71" s="475"/>
      <c r="AP71" s="475"/>
      <c r="AQ71" s="475"/>
      <c r="AR71" s="906" t="str">
        <f>IF(AR74="","No Alert","Enter justification")</f>
        <v>No Alert</v>
      </c>
      <c r="AS71" s="906" t="str">
        <f>IF(AS74="","No Alert","Enter justification")</f>
        <v>No Alert</v>
      </c>
      <c r="AT71" s="475"/>
      <c r="AU71" s="475"/>
      <c r="AV71" s="475"/>
      <c r="AW71" s="475"/>
      <c r="AX71" s="475"/>
      <c r="AY71" s="475"/>
      <c r="AZ71" s="475"/>
      <c r="BA71" s="475"/>
      <c r="BB71" s="475"/>
      <c r="CF71" s="475"/>
      <c r="CG71" s="475"/>
      <c r="CH71" s="475"/>
      <c r="CI71" s="475"/>
      <c r="CJ71" s="475"/>
      <c r="CK71" s="475"/>
      <c r="CL71" s="475"/>
      <c r="CM71" s="475"/>
      <c r="CN71" s="475"/>
      <c r="CV71" s="474"/>
      <c r="CW71" s="474"/>
      <c r="CX71" s="474"/>
      <c r="CY71" s="474"/>
      <c r="CZ71" s="474"/>
      <c r="DA71" s="474"/>
      <c r="DB71" s="474"/>
    </row>
    <row r="72" spans="2:275" ht="18" customHeight="1">
      <c r="E72" s="475"/>
      <c r="F72" s="848" t="s">
        <v>1596</v>
      </c>
      <c r="G72" s="828" t="str">
        <f>TOV!$C483</f>
        <v>#10.01</v>
      </c>
      <c r="L72" s="475"/>
      <c r="N72" s="475"/>
      <c r="O72" s="475"/>
      <c r="P72" s="475"/>
      <c r="Q72" s="475"/>
      <c r="R72" s="475"/>
      <c r="S72" s="475"/>
      <c r="T72" s="475"/>
      <c r="U72" s="475"/>
      <c r="V72" s="475"/>
      <c r="W72" s="475"/>
      <c r="X72" s="475"/>
      <c r="Y72" s="475"/>
      <c r="Z72" s="475"/>
      <c r="AA72" s="475"/>
      <c r="AB72" s="475"/>
      <c r="AC72" s="475"/>
      <c r="AD72" s="475"/>
      <c r="AE72" s="475"/>
      <c r="AF72" s="475"/>
      <c r="AG72" s="475"/>
      <c r="AH72" s="475"/>
      <c r="AI72" s="475"/>
      <c r="AJ72" s="475"/>
      <c r="AN72" s="475"/>
      <c r="AQ72" s="848" t="s">
        <v>1596</v>
      </c>
      <c r="AR72" s="828" t="str">
        <f>TOV!$C$575</f>
        <v>#14.40</v>
      </c>
      <c r="AS72" s="828" t="str">
        <f>TOV!$C$576</f>
        <v>#14.41</v>
      </c>
      <c r="AT72" s="475"/>
      <c r="AV72" s="475"/>
      <c r="AW72" s="475"/>
      <c r="AX72" s="475"/>
      <c r="AY72" s="475"/>
      <c r="AZ72" s="475"/>
      <c r="BA72" s="475"/>
      <c r="BB72" s="475"/>
      <c r="CF72" s="475"/>
      <c r="CG72" s="475"/>
      <c r="CH72" s="475"/>
      <c r="CI72" s="475"/>
      <c r="CJ72" s="475"/>
      <c r="CK72" s="475"/>
      <c r="CL72" s="475"/>
      <c r="CM72" s="475"/>
      <c r="CN72" s="475"/>
    </row>
    <row r="73" spans="2:275" ht="18" customHeight="1">
      <c r="E73" s="475"/>
      <c r="F73" s="848" t="s">
        <v>35</v>
      </c>
      <c r="G73" s="81">
        <f>VLOOKUP(G72,TOV!$C$483:$G$489,TOV!$F$1,FALSE)</f>
        <v>1.9183431867367298</v>
      </c>
      <c r="L73" s="475"/>
      <c r="M73" s="475"/>
      <c r="N73" s="475"/>
      <c r="O73" s="475"/>
      <c r="Q73" s="475"/>
      <c r="R73" s="475"/>
      <c r="S73" s="475"/>
      <c r="T73" s="475"/>
      <c r="U73" s="475"/>
      <c r="V73" s="475"/>
      <c r="W73" s="475"/>
      <c r="X73" s="475"/>
      <c r="Y73" s="475"/>
      <c r="Z73" s="475"/>
      <c r="AA73" s="475"/>
      <c r="AB73" s="475"/>
      <c r="AC73" s="475"/>
      <c r="AD73" s="475"/>
      <c r="AE73" s="475"/>
      <c r="AF73" s="475"/>
      <c r="AG73" s="475"/>
      <c r="AH73" s="475"/>
      <c r="AI73" s="475"/>
      <c r="AJ73" s="475"/>
      <c r="AK73" s="475"/>
      <c r="AL73" s="475"/>
      <c r="AM73" s="475"/>
      <c r="AN73" s="475"/>
      <c r="AO73" s="475"/>
      <c r="AQ73" s="848" t="s">
        <v>35</v>
      </c>
      <c r="AR73" s="81">
        <f>VLOOKUP(AR72,TOV!$C$536:$G$585,TOV!$F$1,FALSE)</f>
        <v>1655.5</v>
      </c>
      <c r="AS73" s="81">
        <f>VLOOKUP(AS72,TOV!$C$536:$G$585,TOV!$F$1,FALSE)</f>
        <v>4196.5</v>
      </c>
      <c r="AT73" s="475"/>
      <c r="AV73" s="475"/>
      <c r="AW73" s="475"/>
      <c r="AX73" s="475"/>
      <c r="AY73" s="475"/>
      <c r="AZ73" s="475"/>
      <c r="BA73" s="475"/>
      <c r="BB73" s="475"/>
      <c r="CF73" s="475"/>
      <c r="CG73" s="475"/>
      <c r="CH73" s="475"/>
      <c r="CI73" s="475"/>
      <c r="CJ73" s="475"/>
      <c r="CK73" s="475"/>
      <c r="CL73" s="475"/>
      <c r="CM73" s="475"/>
      <c r="CN73" s="475"/>
    </row>
    <row r="74" spans="2:275" ht="18" customHeight="1">
      <c r="E74" s="475"/>
      <c r="F74" s="848" t="s">
        <v>1556</v>
      </c>
      <c r="G74" s="299"/>
      <c r="L74" s="475"/>
      <c r="M74" s="475"/>
      <c r="N74" s="475"/>
      <c r="O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Q74" s="848" t="s">
        <v>1556</v>
      </c>
      <c r="AR74" s="117"/>
      <c r="AS74" s="117"/>
      <c r="AT74" s="475"/>
      <c r="AV74" s="475"/>
      <c r="AW74" s="475"/>
      <c r="AX74" s="475"/>
      <c r="AY74" s="475"/>
      <c r="AZ74" s="475"/>
      <c r="BA74" s="475"/>
      <c r="BB74" s="475"/>
      <c r="CF74" s="475"/>
      <c r="CG74" s="475"/>
      <c r="CH74" s="475"/>
      <c r="CI74" s="475"/>
      <c r="CJ74" s="475"/>
      <c r="CK74" s="475"/>
      <c r="CL74" s="475"/>
      <c r="CM74" s="475"/>
      <c r="CN74" s="475"/>
    </row>
    <row r="75" spans="2:275" ht="18" customHeight="1">
      <c r="B75" s="288" t="s">
        <v>26</v>
      </c>
      <c r="C75" s="761" t="s">
        <v>2224</v>
      </c>
      <c r="D75" s="761"/>
      <c r="E75" s="475"/>
      <c r="F75" s="848" t="s">
        <v>1597</v>
      </c>
      <c r="G75" s="164" t="str">
        <f>VLOOKUP(G72,TOV!$C$483:$G$489,TOV!$G$1,FALSE)</f>
        <v>m3</v>
      </c>
      <c r="N75" s="475"/>
      <c r="P75" s="1193">
        <v>150</v>
      </c>
      <c r="Q75" s="475" t="s">
        <v>1543</v>
      </c>
      <c r="R75" s="475"/>
      <c r="S75" s="475"/>
      <c r="T75" s="475"/>
      <c r="U75" s="475"/>
      <c r="V75" s="475"/>
      <c r="W75" s="475"/>
      <c r="X75" s="475"/>
      <c r="Y75" s="475"/>
      <c r="Z75" s="475"/>
      <c r="AA75" s="475"/>
      <c r="AB75" s="475"/>
      <c r="AC75" s="475"/>
      <c r="AD75" s="475"/>
      <c r="AE75" s="475"/>
      <c r="AF75" s="475"/>
      <c r="AG75" s="475"/>
      <c r="AH75" s="475"/>
      <c r="AI75" s="475"/>
      <c r="AJ75" s="475"/>
      <c r="AK75" s="475"/>
      <c r="AL75" s="475"/>
      <c r="AM75" s="475"/>
      <c r="AN75" s="475"/>
      <c r="AO75" s="475"/>
      <c r="AQ75" s="848" t="s">
        <v>1597</v>
      </c>
      <c r="AR75" s="82" t="str">
        <f>VLOOKUP(AR72,TOV!$C$536:$G$585,TOV!$G$1,FALSE)</f>
        <v>ha</v>
      </c>
      <c r="AS75" s="82" t="str">
        <f>VLOOKUP(AS72,TOV!$C$536:$G$585,TOV!$G$1,FALSE)</f>
        <v>ha</v>
      </c>
      <c r="AT75" s="475"/>
      <c r="AV75" s="475"/>
      <c r="AW75" s="475"/>
      <c r="AX75" s="475"/>
      <c r="AY75" s="475"/>
      <c r="AZ75" s="475"/>
      <c r="BA75" s="475"/>
      <c r="BB75" s="475"/>
      <c r="CF75" s="475"/>
      <c r="CG75" s="475"/>
      <c r="CH75" s="475"/>
      <c r="CI75" s="475"/>
      <c r="CJ75" s="475"/>
      <c r="CK75" s="475"/>
      <c r="CL75" s="475"/>
      <c r="CM75" s="475"/>
      <c r="CN75" s="475"/>
    </row>
    <row r="76" spans="2:275" ht="18" customHeight="1">
      <c r="B76" s="1176" t="s">
        <v>2152</v>
      </c>
      <c r="C76" s="1177"/>
      <c r="D76" s="1178"/>
      <c r="E76" s="1177" t="s">
        <v>2225</v>
      </c>
      <c r="F76" s="1177"/>
      <c r="G76" s="1177"/>
      <c r="H76" s="1176" t="s">
        <v>2226</v>
      </c>
      <c r="I76" s="1177"/>
      <c r="J76" s="1177"/>
      <c r="K76" s="1194"/>
      <c r="L76" s="1177"/>
      <c r="M76" s="1177"/>
      <c r="N76" s="1177"/>
      <c r="O76" s="1177"/>
      <c r="P76" s="1176" t="s">
        <v>2227</v>
      </c>
      <c r="Q76" s="1177"/>
      <c r="R76" s="1177"/>
      <c r="S76" s="1177"/>
      <c r="T76" s="1177"/>
      <c r="U76" s="1177"/>
      <c r="V76" s="1177"/>
      <c r="W76" s="1177"/>
      <c r="X76" s="1177"/>
      <c r="Y76" s="1177"/>
      <c r="Z76" s="1177"/>
      <c r="AA76" s="1177"/>
      <c r="AB76" s="1177"/>
      <c r="AC76" s="1177"/>
      <c r="AD76" s="1177"/>
      <c r="AE76" s="1177"/>
      <c r="AF76" s="1177"/>
      <c r="AG76" s="1177"/>
      <c r="AH76" s="1177"/>
      <c r="AI76" s="1177"/>
      <c r="AJ76" s="1177"/>
      <c r="AK76" s="1177"/>
      <c r="AL76" s="1177"/>
      <c r="AM76" s="1177"/>
      <c r="AN76" s="1177"/>
      <c r="AO76" s="1177"/>
      <c r="AP76" s="1177"/>
      <c r="AQ76" s="1177"/>
      <c r="AR76" s="1177"/>
      <c r="AS76" s="1178"/>
      <c r="AT76" s="475"/>
      <c r="AU76" s="475"/>
      <c r="AV76" s="475"/>
      <c r="AW76" s="475"/>
      <c r="AX76" s="475"/>
      <c r="AY76" s="475"/>
      <c r="AZ76" s="475"/>
      <c r="BA76" s="475"/>
      <c r="BB76" s="475"/>
      <c r="CF76" s="475"/>
      <c r="CG76" s="475"/>
      <c r="CH76" s="475"/>
      <c r="CI76" s="475"/>
      <c r="CJ76" s="475"/>
      <c r="CK76" s="475"/>
      <c r="CL76" s="475"/>
      <c r="CM76" s="475"/>
      <c r="CN76" s="475"/>
    </row>
    <row r="77" spans="2:275" ht="60">
      <c r="B77" s="774" t="s">
        <v>1517</v>
      </c>
      <c r="C77" s="774" t="s">
        <v>27</v>
      </c>
      <c r="D77" s="774" t="s">
        <v>1583</v>
      </c>
      <c r="E77" s="773" t="s">
        <v>2161</v>
      </c>
      <c r="F77" s="773" t="s">
        <v>2228</v>
      </c>
      <c r="G77" s="773" t="s">
        <v>2229</v>
      </c>
      <c r="H77" s="773" t="s">
        <v>2162</v>
      </c>
      <c r="I77" s="773" t="s">
        <v>1917</v>
      </c>
      <c r="J77" s="812" t="s">
        <v>2230</v>
      </c>
      <c r="K77" s="812" t="s">
        <v>17</v>
      </c>
      <c r="L77" s="823" t="s">
        <v>2231</v>
      </c>
      <c r="M77" s="773" t="s">
        <v>2232</v>
      </c>
      <c r="N77" s="773" t="s">
        <v>2233</v>
      </c>
      <c r="O77" s="773" t="s">
        <v>2234</v>
      </c>
      <c r="P77" s="773" t="s">
        <v>1623</v>
      </c>
      <c r="Q77" s="773" t="s">
        <v>1624</v>
      </c>
      <c r="R77" s="773" t="s">
        <v>1625</v>
      </c>
      <c r="S77" s="812" t="s">
        <v>2235</v>
      </c>
      <c r="T77" s="823" t="s">
        <v>2236</v>
      </c>
      <c r="U77" s="773" t="s">
        <v>2237</v>
      </c>
      <c r="V77" s="773" t="s">
        <v>1836</v>
      </c>
      <c r="W77" s="773" t="s">
        <v>1999</v>
      </c>
      <c r="X77" s="812" t="s">
        <v>2000</v>
      </c>
      <c r="Y77" s="812" t="s">
        <v>2238</v>
      </c>
      <c r="Z77" s="812" t="s">
        <v>2002</v>
      </c>
      <c r="AA77" s="812" t="s">
        <v>2003</v>
      </c>
      <c r="AB77" s="773" t="s">
        <v>2004</v>
      </c>
      <c r="AC77" s="812" t="s">
        <v>2005</v>
      </c>
      <c r="AD77" s="812" t="s">
        <v>2239</v>
      </c>
      <c r="AE77" s="773" t="s">
        <v>2006</v>
      </c>
      <c r="AF77" s="773" t="s">
        <v>2007</v>
      </c>
      <c r="AG77" s="773" t="s">
        <v>2008</v>
      </c>
      <c r="AH77" s="812" t="s">
        <v>2009</v>
      </c>
      <c r="AI77" s="773" t="s">
        <v>2240</v>
      </c>
      <c r="AJ77" s="773" t="s">
        <v>2010</v>
      </c>
      <c r="AK77" s="773" t="s">
        <v>2011</v>
      </c>
      <c r="AL77" s="773" t="s">
        <v>2241</v>
      </c>
      <c r="AM77" s="773" t="s">
        <v>1626</v>
      </c>
      <c r="AN77" s="773" t="s">
        <v>1627</v>
      </c>
      <c r="AO77" s="773" t="s">
        <v>1628</v>
      </c>
      <c r="AP77" s="774" t="s">
        <v>1629</v>
      </c>
      <c r="AQ77" s="773" t="s">
        <v>1630</v>
      </c>
      <c r="AR77" s="773" t="s">
        <v>2046</v>
      </c>
      <c r="AS77" s="773" t="s">
        <v>2047</v>
      </c>
      <c r="AT77" s="1195" t="s">
        <v>2242</v>
      </c>
      <c r="AU77" s="773" t="s">
        <v>2243</v>
      </c>
      <c r="AV77" s="1088" t="s">
        <v>2024</v>
      </c>
      <c r="AW77" s="776" t="s">
        <v>1526</v>
      </c>
      <c r="AX77" s="777"/>
      <c r="AY77" s="777"/>
      <c r="AZ77" s="777"/>
      <c r="BA77" s="777"/>
      <c r="BB77" s="777"/>
      <c r="BC77" s="777"/>
      <c r="BD77" s="778"/>
      <c r="CF77" s="475"/>
      <c r="CG77" s="475"/>
      <c r="CH77" s="475"/>
      <c r="CI77" s="475"/>
      <c r="CJ77" s="475"/>
      <c r="CK77" s="475"/>
      <c r="CL77" s="475"/>
      <c r="CM77" s="475"/>
      <c r="CN77" s="475"/>
      <c r="IT77" s="434"/>
      <c r="IU77" s="434"/>
      <c r="IV77" s="434"/>
      <c r="IW77" s="434"/>
      <c r="IX77" s="434"/>
      <c r="IY77" s="434"/>
    </row>
    <row r="78" spans="2:275" ht="18" customHeight="1">
      <c r="B78" s="474"/>
      <c r="C78" s="474"/>
      <c r="D78" s="474"/>
      <c r="G78" s="475"/>
      <c r="H78" s="795"/>
      <c r="I78" s="771" t="s">
        <v>1646</v>
      </c>
      <c r="J78" s="771" t="s">
        <v>1646</v>
      </c>
      <c r="K78" s="771" t="s">
        <v>1646</v>
      </c>
      <c r="L78" s="212" t="str">
        <f>Subrates_Table_2</f>
        <v>Subrates Table 2</v>
      </c>
      <c r="M78" s="475"/>
      <c r="N78" s="212" t="str">
        <f>Subrates_Table_3</f>
        <v>Subrates Table 3</v>
      </c>
      <c r="O78" s="475"/>
      <c r="R78" s="125"/>
      <c r="S78" s="771" t="s">
        <v>1646</v>
      </c>
      <c r="T78" s="1196" t="s">
        <v>1646</v>
      </c>
      <c r="U78" s="225" t="str">
        <f>Subrates_Table_1</f>
        <v>Subrates Table 1</v>
      </c>
      <c r="V78" s="475"/>
      <c r="X78" s="125" t="s">
        <v>1646</v>
      </c>
      <c r="Z78" s="475"/>
      <c r="AA78" s="475"/>
      <c r="AC78" s="125" t="s">
        <v>1646</v>
      </c>
      <c r="AE78" s="475"/>
      <c r="AF78" s="475"/>
      <c r="AH78" s="125" t="s">
        <v>1646</v>
      </c>
      <c r="AJ78" s="475"/>
      <c r="AK78" s="475"/>
      <c r="AL78" s="475"/>
      <c r="AM78" s="1040"/>
      <c r="AN78" s="1040"/>
      <c r="AR78" s="475"/>
      <c r="AS78" s="475"/>
      <c r="AT78" s="475"/>
      <c r="AU78" s="768"/>
      <c r="AV78" s="736"/>
      <c r="BC78" s="474"/>
      <c r="BD78" s="474"/>
      <c r="CF78" s="475"/>
      <c r="CG78" s="475"/>
      <c r="CH78" s="475"/>
      <c r="CI78" s="475"/>
      <c r="CJ78" s="475"/>
      <c r="CK78" s="475"/>
      <c r="CL78" s="475"/>
      <c r="CM78" s="475"/>
      <c r="CN78" s="475"/>
      <c r="IT78" s="434"/>
      <c r="IU78" s="434"/>
      <c r="IV78" s="434"/>
      <c r="IW78" s="434"/>
      <c r="IX78" s="434"/>
      <c r="IY78" s="434"/>
      <c r="JG78" s="474"/>
      <c r="JH78" s="474"/>
      <c r="JI78" s="474"/>
      <c r="JJ78" s="474"/>
      <c r="JK78" s="474"/>
      <c r="JL78" s="474"/>
      <c r="JM78" s="474"/>
      <c r="JN78" s="474"/>
      <c r="JO78" s="474"/>
    </row>
    <row r="79" spans="2:275" s="520" customFormat="1" ht="15">
      <c r="B79" s="616" t="str">
        <f>IF(B13="","",B13)</f>
        <v/>
      </c>
      <c r="C79" s="1164">
        <v>1</v>
      </c>
      <c r="D79" s="750" t="str">
        <f>IF(D13="","",D13)</f>
        <v>Pit 1</v>
      </c>
      <c r="E79" s="324">
        <f t="shared" ref="E79:E98" si="26">G13</f>
        <v>0</v>
      </c>
      <c r="F79" s="324">
        <f>I13+J13</f>
        <v>0</v>
      </c>
      <c r="G79" s="351">
        <f>F79*IF($G$74="",$G$73,$G$74)</f>
        <v>0</v>
      </c>
      <c r="H79" s="324">
        <f>H13</f>
        <v>0</v>
      </c>
      <c r="I79" s="37" t="s">
        <v>428</v>
      </c>
      <c r="J79" s="37" t="s">
        <v>411</v>
      </c>
      <c r="K79" s="47" t="s">
        <v>3</v>
      </c>
      <c r="L79" s="161">
        <f t="shared" ref="L79:L98" si="27">INDEX(Dozer_Push_Values,MATCH(J79,Dozer_Push_Length,0),MATCH(K79,Dozers,0))</f>
        <v>1.9221853757639424</v>
      </c>
      <c r="M79" s="351">
        <f>IFERROR(IF(H79&gt;0,H79*L79,F79),"E")</f>
        <v>0</v>
      </c>
      <c r="N79" s="63">
        <f t="shared" ref="N79:N98" si="28">INDEX(Dozer_Slope_Values,MATCH(I79,Dozer_Slope,0),MATCH(K79,Dozers,0))</f>
        <v>8904.769113128099</v>
      </c>
      <c r="O79" s="351">
        <f t="shared" ref="O79:O98" si="29">IFERROR(SUM(E79)*N79,"E")</f>
        <v>0</v>
      </c>
      <c r="P79" s="316"/>
      <c r="Q79" s="318"/>
      <c r="R79" s="319">
        <f t="shared" ref="R79:R98" si="30">IF(Q79&gt;0,Q79,E79*10000*IF(P79&gt;0,P79,$P$75)/1000)</f>
        <v>0</v>
      </c>
      <c r="S79" s="37" t="s">
        <v>125</v>
      </c>
      <c r="T79" s="47" t="s">
        <v>349</v>
      </c>
      <c r="U79" s="63">
        <f t="shared" ref="U79:U98" si="31">INDEX(Load_and_Haul_Values,MATCH(S79,Load_and_Haul,0),MATCH(T79,Load_Haul_Fleet_size,0))</f>
        <v>6.2664411871606829</v>
      </c>
      <c r="V79" s="351">
        <f t="shared" ref="V79:V98" si="32">IFERROR(U79*R79,"E")</f>
        <v>0</v>
      </c>
      <c r="W79" s="316"/>
      <c r="X79" s="195" t="s">
        <v>48</v>
      </c>
      <c r="Y79" s="1096" t="str">
        <f>IF(X79=Lists!$B$18,"N/A",VLOOKUP(X79,Lists!$B$18:$C$26,Lists!$C$3,FALSE))</f>
        <v>N/A</v>
      </c>
      <c r="Z79" s="63">
        <f>IF(X79=Lists!$B$18,0,VLOOKUP(Y79,Amend_TOV,TOV!$F$1,FALSE))</f>
        <v>0</v>
      </c>
      <c r="AA79" s="117"/>
      <c r="AB79" s="316"/>
      <c r="AC79" s="98" t="s">
        <v>48</v>
      </c>
      <c r="AD79" s="367" t="str">
        <f>IF(AC79=Lists!$B$18,"N/A",VLOOKUP(AC79,Lists!$B$18:$C$26,Lists!$C$3,FALSE))</f>
        <v>N/A</v>
      </c>
      <c r="AE79" s="63">
        <f>IF(AC79=Lists!$B$18,0,VLOOKUP(AD79,Amend_TOV,TOV!$F$1,FALSE))</f>
        <v>0</v>
      </c>
      <c r="AF79" s="117"/>
      <c r="AG79" s="316"/>
      <c r="AH79" s="98" t="s">
        <v>48</v>
      </c>
      <c r="AI79" s="367" t="str">
        <f>IF(AH79=Lists!$B$18,"N/A",VLOOKUP(AH79,Lists!$B$18:$C$26,Lists!$C$3,FALSE))</f>
        <v>N/A</v>
      </c>
      <c r="AJ79" s="63">
        <f>IF(AH79=Lists!$B$18,0,VLOOKUP(AI79,Amend_TOV,TOV!$F$1,FALSE))</f>
        <v>0</v>
      </c>
      <c r="AK79" s="117"/>
      <c r="AL79" s="351">
        <f t="shared" ref="AL79:AL98" si="33">W79*IF(AA79="",Z79,AA79)+AB79*IF(AF79="",AE79,AF79)+AG79*IF(AK79="",AJ79,AK79)</f>
        <v>0</v>
      </c>
      <c r="AM79" s="316">
        <f>E79</f>
        <v>0</v>
      </c>
      <c r="AN79" s="66">
        <v>1</v>
      </c>
      <c r="AO79" s="66"/>
      <c r="AP79" s="67">
        <f>100%-AN79-AO79</f>
        <v>0</v>
      </c>
      <c r="AQ79" s="16" t="str">
        <f>IF(AP79&lt;0%,"Error","No Alert")</f>
        <v>No Alert</v>
      </c>
      <c r="AR79" s="351">
        <f t="shared" ref="AR79:AR98" si="34">$AM79*AN79*IF(AR$74="",AR$73,AR$74)</f>
        <v>0</v>
      </c>
      <c r="AS79" s="351">
        <f t="shared" ref="AS79:AS98" si="35">$AM79*AO79*IF(AS$74="",AS$73,AS$74)</f>
        <v>0</v>
      </c>
      <c r="AT79" s="264">
        <f t="shared" ref="AT79:AT98" si="36">G79+M79+O79+V79+AL79+AR79+AS79</f>
        <v>0</v>
      </c>
      <c r="AU79" s="1197">
        <f t="shared" ref="AU79:AU98" si="37">IF(AT79="E","E",IF(E79=0,0,AT79/E79))</f>
        <v>0</v>
      </c>
      <c r="AV79" s="1198">
        <f t="shared" ref="AV79:AV98" si="38">IFERROR(AT79,"Error")</f>
        <v>0</v>
      </c>
      <c r="AW79" s="215"/>
      <c r="AX79" s="217"/>
      <c r="AY79" s="217"/>
      <c r="AZ79" s="217"/>
      <c r="BA79" s="217"/>
      <c r="BB79" s="217"/>
      <c r="BC79" s="217"/>
      <c r="BD79" s="218"/>
      <c r="BI79" s="768"/>
      <c r="BT79" s="768"/>
      <c r="BU79" s="768"/>
      <c r="BV79" s="768"/>
      <c r="BW79" s="768"/>
      <c r="BX79" s="768"/>
      <c r="BY79" s="768"/>
      <c r="BZ79" s="768"/>
      <c r="CA79" s="768"/>
      <c r="CB79" s="768"/>
      <c r="CC79" s="768"/>
      <c r="CD79" s="768"/>
      <c r="CE79" s="768"/>
      <c r="CF79" s="768"/>
      <c r="CG79" s="768"/>
      <c r="CH79" s="768"/>
      <c r="CI79" s="768"/>
      <c r="CJ79" s="768"/>
      <c r="CK79" s="768"/>
      <c r="CL79" s="768"/>
      <c r="CM79" s="768"/>
      <c r="CN79" s="768"/>
      <c r="CO79" s="768"/>
      <c r="CP79" s="768"/>
      <c r="CQ79" s="768"/>
      <c r="CR79" s="768"/>
      <c r="CS79" s="768"/>
      <c r="CT79" s="768"/>
      <c r="CU79" s="768"/>
      <c r="CV79" s="768"/>
      <c r="CW79" s="768"/>
      <c r="CX79" s="768"/>
      <c r="CY79" s="768"/>
      <c r="CZ79" s="768"/>
      <c r="DA79" s="768"/>
      <c r="DB79" s="768"/>
      <c r="DC79" s="768"/>
      <c r="DD79" s="768"/>
      <c r="DE79" s="768"/>
      <c r="DF79" s="768"/>
      <c r="DG79" s="768"/>
      <c r="DH79" s="768"/>
      <c r="DI79" s="768"/>
      <c r="DJ79" s="768"/>
    </row>
    <row r="80" spans="2:275" s="520" customFormat="1" ht="15">
      <c r="B80" s="616" t="str">
        <f t="shared" ref="B80:B98" si="39">IF(B14="","",B14)</f>
        <v/>
      </c>
      <c r="C80" s="1164">
        <v>2</v>
      </c>
      <c r="D80" s="750" t="str">
        <f t="shared" ref="D80:D98" si="40">IF(D14="","",D14)</f>
        <v>Pit 2</v>
      </c>
      <c r="E80" s="324">
        <f t="shared" si="26"/>
        <v>0</v>
      </c>
      <c r="F80" s="324">
        <f t="shared" ref="F80:F98" si="41">I14+J14</f>
        <v>0</v>
      </c>
      <c r="G80" s="351">
        <f t="shared" ref="G80:G98" si="42">F80*IF($G$74="",$G$73,$G$74)</f>
        <v>0</v>
      </c>
      <c r="H80" s="324">
        <f t="shared" ref="H80:H98" si="43">H14</f>
        <v>0</v>
      </c>
      <c r="I80" s="37" t="s">
        <v>428</v>
      </c>
      <c r="J80" s="37" t="s">
        <v>411</v>
      </c>
      <c r="K80" s="47" t="s">
        <v>3</v>
      </c>
      <c r="L80" s="161">
        <f t="shared" si="27"/>
        <v>1.9221853757639424</v>
      </c>
      <c r="M80" s="351">
        <f t="shared" ref="M80:M98" si="44">IFERROR(IF(H80&gt;0,H80*L80,F80),"E")</f>
        <v>0</v>
      </c>
      <c r="N80" s="63">
        <f t="shared" si="28"/>
        <v>8904.769113128099</v>
      </c>
      <c r="O80" s="351">
        <f t="shared" si="29"/>
        <v>0</v>
      </c>
      <c r="P80" s="316"/>
      <c r="Q80" s="318"/>
      <c r="R80" s="319">
        <f t="shared" si="30"/>
        <v>0</v>
      </c>
      <c r="S80" s="37" t="s">
        <v>125</v>
      </c>
      <c r="T80" s="47" t="s">
        <v>349</v>
      </c>
      <c r="U80" s="63">
        <f t="shared" si="31"/>
        <v>6.2664411871606829</v>
      </c>
      <c r="V80" s="351">
        <f t="shared" si="32"/>
        <v>0</v>
      </c>
      <c r="W80" s="316"/>
      <c r="X80" s="195" t="s">
        <v>48</v>
      </c>
      <c r="Y80" s="1096" t="str">
        <f>IF(X80=Lists!$B$18,"N/A",VLOOKUP(X80,Lists!$B$18:$C$26,Lists!$C$3,FALSE))</f>
        <v>N/A</v>
      </c>
      <c r="Z80" s="63">
        <f>IF(X80=Lists!$B$18,0,VLOOKUP(Y80,Amend_TOV,TOV!$F$1,FALSE))</f>
        <v>0</v>
      </c>
      <c r="AA80" s="117"/>
      <c r="AB80" s="316"/>
      <c r="AC80" s="98" t="s">
        <v>48</v>
      </c>
      <c r="AD80" s="367" t="str">
        <f>IF(AC80=Lists!$B$18,"N/A",VLOOKUP(AC80,Lists!$B$18:$C$26,Lists!$C$3,FALSE))</f>
        <v>N/A</v>
      </c>
      <c r="AE80" s="63">
        <f>IF(AC80=Lists!$B$18,0,VLOOKUP(AD80,Amend_TOV,TOV!$F$1,FALSE))</f>
        <v>0</v>
      </c>
      <c r="AF80" s="117"/>
      <c r="AG80" s="316"/>
      <c r="AH80" s="98" t="s">
        <v>48</v>
      </c>
      <c r="AI80" s="367" t="str">
        <f>IF(AH80=Lists!$B$18,"N/A",VLOOKUP(AH80,Lists!$B$18:$C$26,Lists!$C$3,FALSE))</f>
        <v>N/A</v>
      </c>
      <c r="AJ80" s="63">
        <f>IF(AH80=Lists!$B$18,0,VLOOKUP(AI80,Amend_TOV,TOV!$F$1,FALSE))</f>
        <v>0</v>
      </c>
      <c r="AK80" s="117"/>
      <c r="AL80" s="351">
        <f t="shared" si="33"/>
        <v>0</v>
      </c>
      <c r="AM80" s="316">
        <f t="shared" ref="AM80:AM98" si="45">E80</f>
        <v>0</v>
      </c>
      <c r="AN80" s="66">
        <v>1</v>
      </c>
      <c r="AO80" s="66"/>
      <c r="AP80" s="67">
        <f t="shared" ref="AP80:AP98" si="46">100%-AN80-AO80</f>
        <v>0</v>
      </c>
      <c r="AQ80" s="16" t="str">
        <f t="shared" ref="AQ80:AQ98" si="47">IF(AP80&lt;0%,"Error","No Alert")</f>
        <v>No Alert</v>
      </c>
      <c r="AR80" s="351">
        <f t="shared" si="34"/>
        <v>0</v>
      </c>
      <c r="AS80" s="351">
        <f t="shared" si="35"/>
        <v>0</v>
      </c>
      <c r="AT80" s="264">
        <f t="shared" si="36"/>
        <v>0</v>
      </c>
      <c r="AU80" s="1197">
        <f t="shared" si="37"/>
        <v>0</v>
      </c>
      <c r="AV80" s="1198">
        <f t="shared" si="38"/>
        <v>0</v>
      </c>
      <c r="AW80" s="215"/>
      <c r="AX80" s="217"/>
      <c r="AY80" s="217"/>
      <c r="AZ80" s="217"/>
      <c r="BA80" s="217"/>
      <c r="BB80" s="217"/>
      <c r="BC80" s="217"/>
      <c r="BD80" s="218"/>
      <c r="BI80" s="768"/>
      <c r="BT80" s="768"/>
      <c r="BU80" s="768"/>
      <c r="BV80" s="768"/>
      <c r="BW80" s="768"/>
      <c r="BX80" s="768"/>
      <c r="BY80" s="768"/>
      <c r="BZ80" s="768"/>
      <c r="CA80" s="768"/>
      <c r="CB80" s="768"/>
      <c r="CC80" s="768"/>
      <c r="CD80" s="768"/>
      <c r="CE80" s="768"/>
      <c r="CF80" s="768"/>
      <c r="CG80" s="768"/>
      <c r="CH80" s="768"/>
      <c r="CI80" s="768"/>
      <c r="CJ80" s="768"/>
      <c r="CK80" s="768"/>
      <c r="CL80" s="768"/>
      <c r="CM80" s="768"/>
      <c r="CN80" s="768"/>
      <c r="CO80" s="768"/>
      <c r="CP80" s="768"/>
      <c r="CQ80" s="768"/>
      <c r="CR80" s="768"/>
      <c r="CS80" s="768"/>
      <c r="CT80" s="768"/>
      <c r="CU80" s="768"/>
      <c r="CV80" s="768"/>
      <c r="CW80" s="768"/>
      <c r="CX80" s="768"/>
      <c r="CY80" s="768"/>
      <c r="CZ80" s="768"/>
      <c r="DA80" s="768"/>
      <c r="DB80" s="768"/>
      <c r="DC80" s="768"/>
      <c r="DD80" s="768"/>
      <c r="DE80" s="768"/>
      <c r="DF80" s="768"/>
      <c r="DG80" s="768"/>
      <c r="DH80" s="768"/>
      <c r="DI80" s="768"/>
      <c r="DJ80" s="768"/>
    </row>
    <row r="81" spans="2:152" s="520" customFormat="1" ht="15">
      <c r="B81" s="616" t="str">
        <f t="shared" si="39"/>
        <v/>
      </c>
      <c r="C81" s="1164">
        <v>3</v>
      </c>
      <c r="D81" s="750" t="str">
        <f t="shared" si="40"/>
        <v>Pit 3</v>
      </c>
      <c r="E81" s="324">
        <f t="shared" si="26"/>
        <v>0</v>
      </c>
      <c r="F81" s="324">
        <f t="shared" si="41"/>
        <v>0</v>
      </c>
      <c r="G81" s="351">
        <f t="shared" si="42"/>
        <v>0</v>
      </c>
      <c r="H81" s="324">
        <f t="shared" si="43"/>
        <v>0</v>
      </c>
      <c r="I81" s="37" t="s">
        <v>428</v>
      </c>
      <c r="J81" s="37" t="s">
        <v>411</v>
      </c>
      <c r="K81" s="47" t="s">
        <v>3</v>
      </c>
      <c r="L81" s="161">
        <f t="shared" si="27"/>
        <v>1.9221853757639424</v>
      </c>
      <c r="M81" s="351">
        <f t="shared" si="44"/>
        <v>0</v>
      </c>
      <c r="N81" s="63">
        <f t="shared" si="28"/>
        <v>8904.769113128099</v>
      </c>
      <c r="O81" s="351">
        <f t="shared" si="29"/>
        <v>0</v>
      </c>
      <c r="P81" s="316"/>
      <c r="Q81" s="318"/>
      <c r="R81" s="319">
        <f t="shared" si="30"/>
        <v>0</v>
      </c>
      <c r="S81" s="37" t="s">
        <v>125</v>
      </c>
      <c r="T81" s="47" t="s">
        <v>349</v>
      </c>
      <c r="U81" s="63">
        <f t="shared" si="31"/>
        <v>6.2664411871606829</v>
      </c>
      <c r="V81" s="351">
        <f t="shared" si="32"/>
        <v>0</v>
      </c>
      <c r="W81" s="316"/>
      <c r="X81" s="195" t="s">
        <v>48</v>
      </c>
      <c r="Y81" s="1096" t="str">
        <f>IF(X81=Lists!$B$18,"N/A",VLOOKUP(X81,Lists!$B$18:$C$26,Lists!$C$3,FALSE))</f>
        <v>N/A</v>
      </c>
      <c r="Z81" s="63">
        <f>IF(X81=Lists!$B$18,0,VLOOKUP(Y81,Amend_TOV,TOV!$F$1,FALSE))</f>
        <v>0</v>
      </c>
      <c r="AA81" s="117"/>
      <c r="AB81" s="316"/>
      <c r="AC81" s="98" t="s">
        <v>48</v>
      </c>
      <c r="AD81" s="367" t="str">
        <f>IF(AC81=Lists!$B$18,"N/A",VLOOKUP(AC81,Lists!$B$18:$C$26,Lists!$C$3,FALSE))</f>
        <v>N/A</v>
      </c>
      <c r="AE81" s="63">
        <f>IF(AC81=Lists!$B$18,0,VLOOKUP(AD81,Amend_TOV,TOV!$F$1,FALSE))</f>
        <v>0</v>
      </c>
      <c r="AF81" s="117"/>
      <c r="AG81" s="316"/>
      <c r="AH81" s="98" t="s">
        <v>48</v>
      </c>
      <c r="AI81" s="367" t="str">
        <f>IF(AH81=Lists!$B$18,"N/A",VLOOKUP(AH81,Lists!$B$18:$C$26,Lists!$C$3,FALSE))</f>
        <v>N/A</v>
      </c>
      <c r="AJ81" s="63">
        <f>IF(AH81=Lists!$B$18,0,VLOOKUP(AI81,Amend_TOV,TOV!$F$1,FALSE))</f>
        <v>0</v>
      </c>
      <c r="AK81" s="117"/>
      <c r="AL81" s="351">
        <f t="shared" si="33"/>
        <v>0</v>
      </c>
      <c r="AM81" s="316">
        <f t="shared" si="45"/>
        <v>0</v>
      </c>
      <c r="AN81" s="66">
        <v>1</v>
      </c>
      <c r="AO81" s="66"/>
      <c r="AP81" s="67">
        <f t="shared" si="46"/>
        <v>0</v>
      </c>
      <c r="AQ81" s="16" t="str">
        <f t="shared" si="47"/>
        <v>No Alert</v>
      </c>
      <c r="AR81" s="351">
        <f t="shared" si="34"/>
        <v>0</v>
      </c>
      <c r="AS81" s="351">
        <f t="shared" si="35"/>
        <v>0</v>
      </c>
      <c r="AT81" s="264">
        <f t="shared" si="36"/>
        <v>0</v>
      </c>
      <c r="AU81" s="1197">
        <f t="shared" si="37"/>
        <v>0</v>
      </c>
      <c r="AV81" s="1198">
        <f t="shared" si="38"/>
        <v>0</v>
      </c>
      <c r="AW81" s="215"/>
      <c r="AX81" s="217"/>
      <c r="AY81" s="217"/>
      <c r="AZ81" s="217"/>
      <c r="BA81" s="217"/>
      <c r="BB81" s="217"/>
      <c r="BC81" s="217"/>
      <c r="BD81" s="218"/>
      <c r="BY81" s="734"/>
      <c r="BZ81" s="734"/>
      <c r="CA81" s="734"/>
      <c r="CB81" s="734"/>
      <c r="CC81" s="734"/>
      <c r="CD81" s="734"/>
      <c r="CE81" s="734"/>
      <c r="CF81" s="734"/>
      <c r="CG81" s="734"/>
      <c r="CH81" s="734"/>
      <c r="CI81" s="734"/>
      <c r="CU81" s="768"/>
      <c r="CV81" s="768"/>
      <c r="CW81" s="768"/>
      <c r="CX81" s="768"/>
      <c r="CY81" s="768"/>
      <c r="CZ81" s="768"/>
      <c r="DA81" s="768"/>
      <c r="DB81" s="768"/>
      <c r="DC81" s="768"/>
      <c r="DD81" s="768"/>
      <c r="DO81" s="734"/>
      <c r="DP81" s="152"/>
      <c r="DQ81" s="152"/>
      <c r="DR81" s="734"/>
      <c r="DS81" s="734"/>
      <c r="DT81" s="734"/>
      <c r="DU81" s="734"/>
      <c r="DV81" s="734"/>
      <c r="DW81" s="734"/>
      <c r="DX81" s="734"/>
      <c r="DY81" s="734"/>
      <c r="DZ81" s="734"/>
      <c r="EA81" s="734"/>
      <c r="EB81" s="734"/>
      <c r="EC81" s="734"/>
      <c r="ED81" s="897"/>
      <c r="EE81" s="734"/>
      <c r="EF81" s="152"/>
      <c r="EG81" s="152"/>
      <c r="EH81" s="734"/>
      <c r="EI81" s="734"/>
      <c r="EJ81" s="734"/>
      <c r="EK81" s="734"/>
      <c r="EL81" s="734"/>
      <c r="EM81" s="734"/>
      <c r="EN81" s="768"/>
      <c r="EO81" s="768"/>
      <c r="EP81" s="768"/>
      <c r="EQ81" s="768"/>
      <c r="ER81" s="768"/>
      <c r="ES81" s="768"/>
      <c r="ET81" s="768"/>
      <c r="EU81" s="768"/>
      <c r="EV81" s="768"/>
    </row>
    <row r="82" spans="2:152" s="520" customFormat="1" ht="15">
      <c r="B82" s="616" t="str">
        <f t="shared" si="39"/>
        <v/>
      </c>
      <c r="C82" s="1164">
        <v>4</v>
      </c>
      <c r="D82" s="750" t="str">
        <f t="shared" si="40"/>
        <v>Pit 4</v>
      </c>
      <c r="E82" s="324">
        <f t="shared" si="26"/>
        <v>0</v>
      </c>
      <c r="F82" s="324">
        <f t="shared" si="41"/>
        <v>0</v>
      </c>
      <c r="G82" s="351">
        <f t="shared" si="42"/>
        <v>0</v>
      </c>
      <c r="H82" s="324">
        <f t="shared" si="43"/>
        <v>0</v>
      </c>
      <c r="I82" s="37" t="s">
        <v>428</v>
      </c>
      <c r="J82" s="37" t="s">
        <v>411</v>
      </c>
      <c r="K82" s="47" t="s">
        <v>3</v>
      </c>
      <c r="L82" s="161">
        <f t="shared" si="27"/>
        <v>1.9221853757639424</v>
      </c>
      <c r="M82" s="351">
        <f t="shared" si="44"/>
        <v>0</v>
      </c>
      <c r="N82" s="63">
        <f t="shared" si="28"/>
        <v>8904.769113128099</v>
      </c>
      <c r="O82" s="351">
        <f t="shared" si="29"/>
        <v>0</v>
      </c>
      <c r="P82" s="316"/>
      <c r="Q82" s="318"/>
      <c r="R82" s="319">
        <f t="shared" si="30"/>
        <v>0</v>
      </c>
      <c r="S82" s="37" t="s">
        <v>125</v>
      </c>
      <c r="T82" s="47" t="s">
        <v>349</v>
      </c>
      <c r="U82" s="63">
        <f t="shared" si="31"/>
        <v>6.2664411871606829</v>
      </c>
      <c r="V82" s="351">
        <f t="shared" si="32"/>
        <v>0</v>
      </c>
      <c r="W82" s="316"/>
      <c r="X82" s="195" t="s">
        <v>48</v>
      </c>
      <c r="Y82" s="1096" t="str">
        <f>IF(X82=Lists!$B$18,"N/A",VLOOKUP(X82,Lists!$B$18:$C$26,Lists!$C$3,FALSE))</f>
        <v>N/A</v>
      </c>
      <c r="Z82" s="63">
        <f>IF(X82=Lists!$B$18,0,VLOOKUP(Y82,Amend_TOV,TOV!$F$1,FALSE))</f>
        <v>0</v>
      </c>
      <c r="AA82" s="117"/>
      <c r="AB82" s="316"/>
      <c r="AC82" s="98" t="s">
        <v>48</v>
      </c>
      <c r="AD82" s="367" t="str">
        <f>IF(AC82=Lists!$B$18,"N/A",VLOOKUP(AC82,Lists!$B$18:$C$26,Lists!$C$3,FALSE))</f>
        <v>N/A</v>
      </c>
      <c r="AE82" s="63">
        <f>IF(AC82=Lists!$B$18,0,VLOOKUP(AD82,Amend_TOV,TOV!$F$1,FALSE))</f>
        <v>0</v>
      </c>
      <c r="AF82" s="117"/>
      <c r="AG82" s="316"/>
      <c r="AH82" s="98" t="s">
        <v>48</v>
      </c>
      <c r="AI82" s="367" t="str">
        <f>IF(AH82=Lists!$B$18,"N/A",VLOOKUP(AH82,Lists!$B$18:$C$26,Lists!$C$3,FALSE))</f>
        <v>N/A</v>
      </c>
      <c r="AJ82" s="63">
        <f>IF(AH82=Lists!$B$18,0,VLOOKUP(AI82,Amend_TOV,TOV!$F$1,FALSE))</f>
        <v>0</v>
      </c>
      <c r="AK82" s="117"/>
      <c r="AL82" s="351">
        <f t="shared" si="33"/>
        <v>0</v>
      </c>
      <c r="AM82" s="316">
        <f t="shared" si="45"/>
        <v>0</v>
      </c>
      <c r="AN82" s="66">
        <v>1</v>
      </c>
      <c r="AO82" s="66"/>
      <c r="AP82" s="67">
        <f t="shared" si="46"/>
        <v>0</v>
      </c>
      <c r="AQ82" s="16" t="str">
        <f t="shared" si="47"/>
        <v>No Alert</v>
      </c>
      <c r="AR82" s="351">
        <f t="shared" si="34"/>
        <v>0</v>
      </c>
      <c r="AS82" s="351">
        <f t="shared" si="35"/>
        <v>0</v>
      </c>
      <c r="AT82" s="264">
        <f t="shared" si="36"/>
        <v>0</v>
      </c>
      <c r="AU82" s="1197">
        <f t="shared" si="37"/>
        <v>0</v>
      </c>
      <c r="AV82" s="1198">
        <f t="shared" si="38"/>
        <v>0</v>
      </c>
      <c r="AW82" s="215"/>
      <c r="AX82" s="217"/>
      <c r="AY82" s="217"/>
      <c r="AZ82" s="217"/>
      <c r="BA82" s="217"/>
      <c r="BB82" s="217"/>
      <c r="BC82" s="217"/>
      <c r="BD82" s="218"/>
      <c r="BY82" s="734"/>
      <c r="BZ82" s="734"/>
      <c r="CA82" s="734"/>
      <c r="CB82" s="734"/>
      <c r="CC82" s="734"/>
      <c r="CD82" s="734"/>
      <c r="CE82" s="734"/>
      <c r="CF82" s="734"/>
      <c r="CG82" s="734"/>
      <c r="CH82" s="734"/>
      <c r="CI82" s="734"/>
      <c r="CM82" s="153"/>
      <c r="CU82" s="768"/>
      <c r="CV82" s="768"/>
      <c r="CW82" s="768"/>
      <c r="CX82" s="768"/>
      <c r="CY82" s="768"/>
      <c r="CZ82" s="768"/>
      <c r="DA82" s="768"/>
      <c r="DB82" s="768"/>
      <c r="DC82" s="768"/>
      <c r="DD82" s="768"/>
      <c r="DO82" s="734"/>
      <c r="DP82" s="152"/>
      <c r="DQ82" s="152"/>
      <c r="DR82" s="734"/>
      <c r="DS82" s="734"/>
      <c r="DT82" s="734"/>
      <c r="DU82" s="734"/>
      <c r="DV82" s="734"/>
      <c r="DW82" s="734"/>
      <c r="DX82" s="734"/>
      <c r="DY82" s="734"/>
      <c r="DZ82" s="734"/>
      <c r="EA82" s="734"/>
      <c r="EB82" s="734"/>
      <c r="EC82" s="734"/>
      <c r="ED82" s="897"/>
      <c r="EE82" s="734"/>
      <c r="EF82" s="152"/>
      <c r="EG82" s="152"/>
      <c r="EH82" s="734"/>
      <c r="EI82" s="734"/>
      <c r="EJ82" s="734"/>
      <c r="EK82" s="734"/>
      <c r="EL82" s="734"/>
      <c r="EM82" s="734"/>
      <c r="EN82" s="768"/>
      <c r="EO82" s="768"/>
      <c r="EP82" s="768"/>
      <c r="EQ82" s="768"/>
      <c r="ER82" s="768"/>
      <c r="ES82" s="768"/>
      <c r="ET82" s="768"/>
      <c r="EU82" s="768"/>
      <c r="EV82" s="768"/>
    </row>
    <row r="83" spans="2:152" s="520" customFormat="1" ht="15">
      <c r="B83" s="616" t="str">
        <f t="shared" si="39"/>
        <v/>
      </c>
      <c r="C83" s="1164">
        <v>5</v>
      </c>
      <c r="D83" s="750" t="str">
        <f t="shared" si="40"/>
        <v>Pit 5</v>
      </c>
      <c r="E83" s="324">
        <f t="shared" si="26"/>
        <v>0</v>
      </c>
      <c r="F83" s="324">
        <f t="shared" si="41"/>
        <v>0</v>
      </c>
      <c r="G83" s="351">
        <f t="shared" si="42"/>
        <v>0</v>
      </c>
      <c r="H83" s="324">
        <f t="shared" si="43"/>
        <v>0</v>
      </c>
      <c r="I83" s="37" t="s">
        <v>428</v>
      </c>
      <c r="J83" s="37" t="s">
        <v>411</v>
      </c>
      <c r="K83" s="47" t="s">
        <v>3</v>
      </c>
      <c r="L83" s="161">
        <f t="shared" si="27"/>
        <v>1.9221853757639424</v>
      </c>
      <c r="M83" s="351">
        <f t="shared" si="44"/>
        <v>0</v>
      </c>
      <c r="N83" s="63">
        <f t="shared" si="28"/>
        <v>8904.769113128099</v>
      </c>
      <c r="O83" s="351">
        <f t="shared" si="29"/>
        <v>0</v>
      </c>
      <c r="P83" s="316"/>
      <c r="Q83" s="318"/>
      <c r="R83" s="319">
        <f t="shared" si="30"/>
        <v>0</v>
      </c>
      <c r="S83" s="37" t="s">
        <v>125</v>
      </c>
      <c r="T83" s="47" t="s">
        <v>349</v>
      </c>
      <c r="U83" s="63">
        <f t="shared" si="31"/>
        <v>6.2664411871606829</v>
      </c>
      <c r="V83" s="351">
        <f t="shared" si="32"/>
        <v>0</v>
      </c>
      <c r="W83" s="316"/>
      <c r="X83" s="195" t="s">
        <v>48</v>
      </c>
      <c r="Y83" s="1096" t="str">
        <f>IF(X83=Lists!$B$18,"N/A",VLOOKUP(X83,Lists!$B$18:$C$26,Lists!$C$3,FALSE))</f>
        <v>N/A</v>
      </c>
      <c r="Z83" s="63">
        <f>IF(X83=Lists!$B$18,0,VLOOKUP(Y83,Amend_TOV,TOV!$F$1,FALSE))</f>
        <v>0</v>
      </c>
      <c r="AA83" s="117"/>
      <c r="AB83" s="316"/>
      <c r="AC83" s="98" t="s">
        <v>48</v>
      </c>
      <c r="AD83" s="367" t="str">
        <f>IF(AC83=Lists!$B$18,"N/A",VLOOKUP(AC83,Lists!$B$18:$C$26,Lists!$C$3,FALSE))</f>
        <v>N/A</v>
      </c>
      <c r="AE83" s="63">
        <f>IF(AC83=Lists!$B$18,0,VLOOKUP(AD83,Amend_TOV,TOV!$F$1,FALSE))</f>
        <v>0</v>
      </c>
      <c r="AF83" s="117"/>
      <c r="AG83" s="316"/>
      <c r="AH83" s="98" t="s">
        <v>48</v>
      </c>
      <c r="AI83" s="367" t="str">
        <f>IF(AH83=Lists!$B$18,"N/A",VLOOKUP(AH83,Lists!$B$18:$C$26,Lists!$C$3,FALSE))</f>
        <v>N/A</v>
      </c>
      <c r="AJ83" s="63">
        <f>IF(AH83=Lists!$B$18,0,VLOOKUP(AI83,Amend_TOV,TOV!$F$1,FALSE))</f>
        <v>0</v>
      </c>
      <c r="AK83" s="117"/>
      <c r="AL83" s="351">
        <f t="shared" si="33"/>
        <v>0</v>
      </c>
      <c r="AM83" s="316">
        <f t="shared" si="45"/>
        <v>0</v>
      </c>
      <c r="AN83" s="66">
        <v>1</v>
      </c>
      <c r="AO83" s="66"/>
      <c r="AP83" s="67">
        <f t="shared" si="46"/>
        <v>0</v>
      </c>
      <c r="AQ83" s="16" t="str">
        <f t="shared" si="47"/>
        <v>No Alert</v>
      </c>
      <c r="AR83" s="351">
        <f t="shared" si="34"/>
        <v>0</v>
      </c>
      <c r="AS83" s="351">
        <f t="shared" si="35"/>
        <v>0</v>
      </c>
      <c r="AT83" s="264">
        <f t="shared" si="36"/>
        <v>0</v>
      </c>
      <c r="AU83" s="1197">
        <f t="shared" si="37"/>
        <v>0</v>
      </c>
      <c r="AV83" s="1198">
        <f t="shared" si="38"/>
        <v>0</v>
      </c>
      <c r="AW83" s="215"/>
      <c r="AX83" s="217"/>
      <c r="AY83" s="217"/>
      <c r="AZ83" s="217"/>
      <c r="BA83" s="217"/>
      <c r="BB83" s="217"/>
      <c r="BC83" s="217"/>
      <c r="BD83" s="218"/>
      <c r="BY83" s="734"/>
      <c r="BZ83" s="734"/>
      <c r="CA83" s="734"/>
      <c r="CB83" s="734"/>
      <c r="CC83" s="734"/>
      <c r="CD83" s="734"/>
      <c r="CE83" s="734"/>
      <c r="CF83" s="734"/>
      <c r="CG83" s="734"/>
      <c r="CH83" s="734"/>
      <c r="CI83" s="734"/>
      <c r="CM83" s="153"/>
      <c r="CU83" s="768"/>
      <c r="CV83" s="768"/>
      <c r="CW83" s="768"/>
      <c r="CX83" s="768"/>
      <c r="CY83" s="768"/>
      <c r="CZ83" s="768"/>
      <c r="DA83" s="768"/>
      <c r="DB83" s="768"/>
      <c r="DC83" s="768"/>
      <c r="DD83" s="768"/>
      <c r="DO83" s="734"/>
      <c r="DP83" s="152"/>
      <c r="DQ83" s="152"/>
      <c r="DR83" s="734"/>
      <c r="DS83" s="734"/>
      <c r="DT83" s="734"/>
      <c r="DU83" s="734"/>
      <c r="DV83" s="734"/>
      <c r="DW83" s="734"/>
      <c r="DX83" s="734"/>
      <c r="DY83" s="734"/>
      <c r="DZ83" s="734"/>
      <c r="EA83" s="734"/>
      <c r="EB83" s="734"/>
      <c r="EC83" s="734"/>
      <c r="ED83" s="897"/>
      <c r="EE83" s="734"/>
      <c r="EF83" s="152"/>
      <c r="EG83" s="152"/>
      <c r="EH83" s="734"/>
      <c r="EI83" s="734"/>
      <c r="EJ83" s="734"/>
      <c r="EK83" s="734"/>
      <c r="EL83" s="734"/>
      <c r="EM83" s="734"/>
      <c r="EN83" s="768"/>
      <c r="EO83" s="768"/>
      <c r="EP83" s="768"/>
      <c r="EQ83" s="768"/>
      <c r="ER83" s="768"/>
      <c r="ES83" s="768"/>
      <c r="ET83" s="768"/>
      <c r="EU83" s="768"/>
      <c r="EV83" s="768"/>
    </row>
    <row r="84" spans="2:152" s="520" customFormat="1" ht="15">
      <c r="B84" s="616" t="str">
        <f t="shared" si="39"/>
        <v/>
      </c>
      <c r="C84" s="1164">
        <v>6</v>
      </c>
      <c r="D84" s="750" t="str">
        <f t="shared" si="40"/>
        <v>Pit 6</v>
      </c>
      <c r="E84" s="324">
        <f t="shared" si="26"/>
        <v>0</v>
      </c>
      <c r="F84" s="324">
        <f t="shared" si="41"/>
        <v>0</v>
      </c>
      <c r="G84" s="351">
        <f t="shared" si="42"/>
        <v>0</v>
      </c>
      <c r="H84" s="324">
        <f t="shared" si="43"/>
        <v>0</v>
      </c>
      <c r="I84" s="37" t="s">
        <v>428</v>
      </c>
      <c r="J84" s="37" t="s">
        <v>411</v>
      </c>
      <c r="K84" s="47" t="s">
        <v>3</v>
      </c>
      <c r="L84" s="161">
        <f t="shared" si="27"/>
        <v>1.9221853757639424</v>
      </c>
      <c r="M84" s="351">
        <f t="shared" si="44"/>
        <v>0</v>
      </c>
      <c r="N84" s="63">
        <f t="shared" si="28"/>
        <v>8904.769113128099</v>
      </c>
      <c r="O84" s="351">
        <f t="shared" si="29"/>
        <v>0</v>
      </c>
      <c r="P84" s="316"/>
      <c r="Q84" s="318"/>
      <c r="R84" s="319">
        <f t="shared" si="30"/>
        <v>0</v>
      </c>
      <c r="S84" s="37" t="s">
        <v>125</v>
      </c>
      <c r="T84" s="47" t="s">
        <v>349</v>
      </c>
      <c r="U84" s="63">
        <f t="shared" si="31"/>
        <v>6.2664411871606829</v>
      </c>
      <c r="V84" s="351">
        <f t="shared" si="32"/>
        <v>0</v>
      </c>
      <c r="W84" s="316"/>
      <c r="X84" s="195" t="s">
        <v>48</v>
      </c>
      <c r="Y84" s="1096" t="str">
        <f>IF(X84=Lists!$B$18,"N/A",VLOOKUP(X84,Lists!$B$18:$C$26,Lists!$C$3,FALSE))</f>
        <v>N/A</v>
      </c>
      <c r="Z84" s="63">
        <f>IF(X84=Lists!$B$18,0,VLOOKUP(Y84,Amend_TOV,TOV!$F$1,FALSE))</f>
        <v>0</v>
      </c>
      <c r="AA84" s="117"/>
      <c r="AB84" s="316"/>
      <c r="AC84" s="98" t="s">
        <v>48</v>
      </c>
      <c r="AD84" s="367" t="str">
        <f>IF(AC84=Lists!$B$18,"N/A",VLOOKUP(AC84,Lists!$B$18:$C$26,Lists!$C$3,FALSE))</f>
        <v>N/A</v>
      </c>
      <c r="AE84" s="63">
        <f>IF(AC84=Lists!$B$18,0,VLOOKUP(AD84,Amend_TOV,TOV!$F$1,FALSE))</f>
        <v>0</v>
      </c>
      <c r="AF84" s="117"/>
      <c r="AG84" s="316"/>
      <c r="AH84" s="98" t="s">
        <v>48</v>
      </c>
      <c r="AI84" s="367" t="str">
        <f>IF(AH84=Lists!$B$18,"N/A",VLOOKUP(AH84,Lists!$B$18:$C$26,Lists!$C$3,FALSE))</f>
        <v>N/A</v>
      </c>
      <c r="AJ84" s="63">
        <f>IF(AH84=Lists!$B$18,0,VLOOKUP(AI84,Amend_TOV,TOV!$F$1,FALSE))</f>
        <v>0</v>
      </c>
      <c r="AK84" s="117"/>
      <c r="AL84" s="351">
        <f t="shared" si="33"/>
        <v>0</v>
      </c>
      <c r="AM84" s="316">
        <f t="shared" si="45"/>
        <v>0</v>
      </c>
      <c r="AN84" s="66">
        <v>1</v>
      </c>
      <c r="AO84" s="66"/>
      <c r="AP84" s="67">
        <f t="shared" si="46"/>
        <v>0</v>
      </c>
      <c r="AQ84" s="16" t="str">
        <f t="shared" si="47"/>
        <v>No Alert</v>
      </c>
      <c r="AR84" s="351">
        <f t="shared" si="34"/>
        <v>0</v>
      </c>
      <c r="AS84" s="351">
        <f t="shared" si="35"/>
        <v>0</v>
      </c>
      <c r="AT84" s="264">
        <f t="shared" si="36"/>
        <v>0</v>
      </c>
      <c r="AU84" s="1197">
        <f t="shared" si="37"/>
        <v>0</v>
      </c>
      <c r="AV84" s="1198">
        <f t="shared" si="38"/>
        <v>0</v>
      </c>
      <c r="AW84" s="215"/>
      <c r="AX84" s="217"/>
      <c r="AY84" s="217"/>
      <c r="AZ84" s="217"/>
      <c r="BA84" s="217"/>
      <c r="BB84" s="217"/>
      <c r="BC84" s="217"/>
      <c r="BD84" s="218"/>
      <c r="BY84" s="734"/>
      <c r="BZ84" s="734"/>
      <c r="CA84" s="734"/>
      <c r="CB84" s="734"/>
      <c r="CC84" s="734"/>
      <c r="CD84" s="734"/>
      <c r="CE84" s="734"/>
      <c r="CF84" s="734"/>
      <c r="CG84" s="734"/>
      <c r="CH84" s="734"/>
      <c r="CI84" s="734"/>
      <c r="CM84" s="153"/>
      <c r="CU84" s="768"/>
      <c r="CV84" s="768"/>
      <c r="CW84" s="768"/>
      <c r="CX84" s="768"/>
      <c r="CY84" s="768"/>
      <c r="CZ84" s="768"/>
      <c r="DA84" s="768"/>
      <c r="DB84" s="768"/>
      <c r="DC84" s="768"/>
      <c r="DD84" s="768"/>
      <c r="DO84" s="734"/>
      <c r="DP84" s="152"/>
      <c r="DQ84" s="152"/>
      <c r="DR84" s="734"/>
      <c r="DS84" s="734"/>
      <c r="DT84" s="734"/>
      <c r="DU84" s="734"/>
      <c r="DV84" s="734"/>
      <c r="DW84" s="734"/>
      <c r="DX84" s="734"/>
      <c r="DY84" s="734"/>
      <c r="DZ84" s="734"/>
      <c r="EA84" s="734"/>
      <c r="EB84" s="734"/>
      <c r="EC84" s="734"/>
      <c r="ED84" s="897"/>
      <c r="EE84" s="734"/>
      <c r="EF84" s="152"/>
      <c r="EG84" s="152"/>
      <c r="EH84" s="734"/>
      <c r="EI84" s="734"/>
      <c r="EJ84" s="734"/>
      <c r="EK84" s="734"/>
      <c r="EL84" s="734"/>
      <c r="EM84" s="734"/>
      <c r="EN84" s="768"/>
      <c r="EO84" s="768"/>
      <c r="EP84" s="768"/>
      <c r="EQ84" s="768"/>
      <c r="ER84" s="768"/>
      <c r="ES84" s="768"/>
      <c r="ET84" s="768"/>
      <c r="EU84" s="768"/>
      <c r="EV84" s="768"/>
    </row>
    <row r="85" spans="2:152" s="520" customFormat="1" ht="15">
      <c r="B85" s="616" t="str">
        <f t="shared" si="39"/>
        <v/>
      </c>
      <c r="C85" s="1164">
        <v>7</v>
      </c>
      <c r="D85" s="750" t="str">
        <f t="shared" si="40"/>
        <v>Pit 7</v>
      </c>
      <c r="E85" s="324">
        <f t="shared" si="26"/>
        <v>0</v>
      </c>
      <c r="F85" s="324">
        <f t="shared" si="41"/>
        <v>0</v>
      </c>
      <c r="G85" s="351">
        <f t="shared" si="42"/>
        <v>0</v>
      </c>
      <c r="H85" s="324">
        <f t="shared" si="43"/>
        <v>0</v>
      </c>
      <c r="I85" s="37" t="s">
        <v>428</v>
      </c>
      <c r="J85" s="37" t="s">
        <v>411</v>
      </c>
      <c r="K85" s="47" t="s">
        <v>3</v>
      </c>
      <c r="L85" s="161">
        <f t="shared" si="27"/>
        <v>1.9221853757639424</v>
      </c>
      <c r="M85" s="351">
        <f t="shared" si="44"/>
        <v>0</v>
      </c>
      <c r="N85" s="63">
        <f t="shared" si="28"/>
        <v>8904.769113128099</v>
      </c>
      <c r="O85" s="351">
        <f t="shared" si="29"/>
        <v>0</v>
      </c>
      <c r="P85" s="316"/>
      <c r="Q85" s="318"/>
      <c r="R85" s="319">
        <f t="shared" si="30"/>
        <v>0</v>
      </c>
      <c r="S85" s="37" t="s">
        <v>125</v>
      </c>
      <c r="T85" s="47" t="s">
        <v>349</v>
      </c>
      <c r="U85" s="63">
        <f t="shared" si="31"/>
        <v>6.2664411871606829</v>
      </c>
      <c r="V85" s="351">
        <f t="shared" si="32"/>
        <v>0</v>
      </c>
      <c r="W85" s="316"/>
      <c r="X85" s="195" t="s">
        <v>48</v>
      </c>
      <c r="Y85" s="1096" t="str">
        <f>IF(X85=Lists!$B$18,"N/A",VLOOKUP(X85,Lists!$B$18:$C$26,Lists!$C$3,FALSE))</f>
        <v>N/A</v>
      </c>
      <c r="Z85" s="63">
        <f>IF(X85=Lists!$B$18,0,VLOOKUP(Y85,Amend_TOV,TOV!$F$1,FALSE))</f>
        <v>0</v>
      </c>
      <c r="AA85" s="117"/>
      <c r="AB85" s="316"/>
      <c r="AC85" s="98" t="s">
        <v>48</v>
      </c>
      <c r="AD85" s="367" t="str">
        <f>IF(AC85=Lists!$B$18,"N/A",VLOOKUP(AC85,Lists!$B$18:$C$26,Lists!$C$3,FALSE))</f>
        <v>N/A</v>
      </c>
      <c r="AE85" s="63">
        <f>IF(AC85=Lists!$B$18,0,VLOOKUP(AD85,Amend_TOV,TOV!$F$1,FALSE))</f>
        <v>0</v>
      </c>
      <c r="AF85" s="117"/>
      <c r="AG85" s="316"/>
      <c r="AH85" s="98" t="s">
        <v>48</v>
      </c>
      <c r="AI85" s="367" t="str">
        <f>IF(AH85=Lists!$B$18,"N/A",VLOOKUP(AH85,Lists!$B$18:$C$26,Lists!$C$3,FALSE))</f>
        <v>N/A</v>
      </c>
      <c r="AJ85" s="63">
        <f>IF(AH85=Lists!$B$18,0,VLOOKUP(AI85,Amend_TOV,TOV!$F$1,FALSE))</f>
        <v>0</v>
      </c>
      <c r="AK85" s="117"/>
      <c r="AL85" s="351">
        <f t="shared" si="33"/>
        <v>0</v>
      </c>
      <c r="AM85" s="316">
        <f t="shared" si="45"/>
        <v>0</v>
      </c>
      <c r="AN85" s="66">
        <v>1</v>
      </c>
      <c r="AO85" s="66"/>
      <c r="AP85" s="67">
        <f t="shared" si="46"/>
        <v>0</v>
      </c>
      <c r="AQ85" s="16" t="str">
        <f t="shared" si="47"/>
        <v>No Alert</v>
      </c>
      <c r="AR85" s="351">
        <f t="shared" si="34"/>
        <v>0</v>
      </c>
      <c r="AS85" s="351">
        <f t="shared" si="35"/>
        <v>0</v>
      </c>
      <c r="AT85" s="264">
        <f t="shared" si="36"/>
        <v>0</v>
      </c>
      <c r="AU85" s="1197">
        <f t="shared" si="37"/>
        <v>0</v>
      </c>
      <c r="AV85" s="1198">
        <f t="shared" si="38"/>
        <v>0</v>
      </c>
      <c r="AW85" s="215"/>
      <c r="AX85" s="217"/>
      <c r="AY85" s="217"/>
      <c r="AZ85" s="217"/>
      <c r="BA85" s="217"/>
      <c r="BB85" s="217"/>
      <c r="BC85" s="217"/>
      <c r="BD85" s="218"/>
      <c r="BY85" s="734"/>
      <c r="BZ85" s="734"/>
      <c r="CA85" s="734"/>
      <c r="CB85" s="734"/>
      <c r="CC85" s="734"/>
      <c r="CD85" s="734"/>
      <c r="CE85" s="734"/>
      <c r="CF85" s="734"/>
      <c r="CG85" s="734"/>
      <c r="CH85" s="734"/>
      <c r="CI85" s="734"/>
      <c r="CM85" s="153"/>
      <c r="CU85" s="768"/>
      <c r="CV85" s="768"/>
      <c r="CW85" s="768"/>
      <c r="CX85" s="768"/>
      <c r="CY85" s="768"/>
      <c r="CZ85" s="768"/>
      <c r="DA85" s="768"/>
      <c r="DB85" s="768"/>
      <c r="DC85" s="768"/>
      <c r="DD85" s="768"/>
      <c r="DO85" s="734"/>
      <c r="DP85" s="152"/>
      <c r="DQ85" s="152"/>
      <c r="DR85" s="734"/>
      <c r="DS85" s="734"/>
      <c r="DT85" s="734"/>
      <c r="DU85" s="734"/>
      <c r="DV85" s="734"/>
      <c r="DW85" s="734"/>
      <c r="DX85" s="734"/>
      <c r="DY85" s="734"/>
      <c r="DZ85" s="734"/>
      <c r="EA85" s="734"/>
      <c r="EB85" s="734"/>
      <c r="EC85" s="734"/>
      <c r="ED85" s="897"/>
      <c r="EE85" s="734"/>
      <c r="EF85" s="152"/>
      <c r="EG85" s="152"/>
      <c r="EH85" s="734"/>
      <c r="EI85" s="734"/>
      <c r="EJ85" s="734"/>
      <c r="EK85" s="734"/>
      <c r="EL85" s="734"/>
      <c r="EM85" s="734"/>
      <c r="EN85" s="768"/>
      <c r="EO85" s="768"/>
      <c r="EP85" s="768"/>
      <c r="EQ85" s="768"/>
      <c r="ER85" s="768"/>
      <c r="ES85" s="768"/>
      <c r="ET85" s="768"/>
      <c r="EU85" s="768"/>
      <c r="EV85" s="768"/>
    </row>
    <row r="86" spans="2:152" s="520" customFormat="1" ht="15">
      <c r="B86" s="616" t="str">
        <f t="shared" si="39"/>
        <v/>
      </c>
      <c r="C86" s="1164">
        <v>8</v>
      </c>
      <c r="D86" s="750" t="str">
        <f t="shared" si="40"/>
        <v>Pit 8</v>
      </c>
      <c r="E86" s="324">
        <f t="shared" si="26"/>
        <v>0</v>
      </c>
      <c r="F86" s="324">
        <f t="shared" si="41"/>
        <v>0</v>
      </c>
      <c r="G86" s="351">
        <f t="shared" si="42"/>
        <v>0</v>
      </c>
      <c r="H86" s="324">
        <f t="shared" si="43"/>
        <v>0</v>
      </c>
      <c r="I86" s="37" t="s">
        <v>428</v>
      </c>
      <c r="J86" s="37" t="s">
        <v>411</v>
      </c>
      <c r="K86" s="47" t="s">
        <v>3</v>
      </c>
      <c r="L86" s="161">
        <f t="shared" si="27"/>
        <v>1.9221853757639424</v>
      </c>
      <c r="M86" s="351">
        <f t="shared" si="44"/>
        <v>0</v>
      </c>
      <c r="N86" s="63">
        <f t="shared" si="28"/>
        <v>8904.769113128099</v>
      </c>
      <c r="O86" s="351">
        <f t="shared" si="29"/>
        <v>0</v>
      </c>
      <c r="P86" s="316"/>
      <c r="Q86" s="318"/>
      <c r="R86" s="319">
        <f t="shared" si="30"/>
        <v>0</v>
      </c>
      <c r="S86" s="37" t="s">
        <v>125</v>
      </c>
      <c r="T86" s="47" t="s">
        <v>349</v>
      </c>
      <c r="U86" s="63">
        <f t="shared" si="31"/>
        <v>6.2664411871606829</v>
      </c>
      <c r="V86" s="351">
        <f t="shared" si="32"/>
        <v>0</v>
      </c>
      <c r="W86" s="316"/>
      <c r="X86" s="195" t="s">
        <v>48</v>
      </c>
      <c r="Y86" s="1096" t="str">
        <f>IF(X86=Lists!$B$18,"N/A",VLOOKUP(X86,Lists!$B$18:$C$26,Lists!$C$3,FALSE))</f>
        <v>N/A</v>
      </c>
      <c r="Z86" s="63">
        <f>IF(X86=Lists!$B$18,0,VLOOKUP(Y86,Amend_TOV,TOV!$F$1,FALSE))</f>
        <v>0</v>
      </c>
      <c r="AA86" s="117"/>
      <c r="AB86" s="316"/>
      <c r="AC86" s="98" t="s">
        <v>48</v>
      </c>
      <c r="AD86" s="367" t="str">
        <f>IF(AC86=Lists!$B$18,"N/A",VLOOKUP(AC86,Lists!$B$18:$C$26,Lists!$C$3,FALSE))</f>
        <v>N/A</v>
      </c>
      <c r="AE86" s="63">
        <f>IF(AC86=Lists!$B$18,0,VLOOKUP(AD86,Amend_TOV,TOV!$F$1,FALSE))</f>
        <v>0</v>
      </c>
      <c r="AF86" s="117"/>
      <c r="AG86" s="316"/>
      <c r="AH86" s="98" t="s">
        <v>48</v>
      </c>
      <c r="AI86" s="367" t="str">
        <f>IF(AH86=Lists!$B$18,"N/A",VLOOKUP(AH86,Lists!$B$18:$C$26,Lists!$C$3,FALSE))</f>
        <v>N/A</v>
      </c>
      <c r="AJ86" s="63">
        <f>IF(AH86=Lists!$B$18,0,VLOOKUP(AI86,Amend_TOV,TOV!$F$1,FALSE))</f>
        <v>0</v>
      </c>
      <c r="AK86" s="117"/>
      <c r="AL86" s="351">
        <f t="shared" si="33"/>
        <v>0</v>
      </c>
      <c r="AM86" s="316">
        <f t="shared" si="45"/>
        <v>0</v>
      </c>
      <c r="AN86" s="66">
        <v>1</v>
      </c>
      <c r="AO86" s="66"/>
      <c r="AP86" s="67">
        <f t="shared" si="46"/>
        <v>0</v>
      </c>
      <c r="AQ86" s="16" t="str">
        <f t="shared" si="47"/>
        <v>No Alert</v>
      </c>
      <c r="AR86" s="351">
        <f t="shared" si="34"/>
        <v>0</v>
      </c>
      <c r="AS86" s="351">
        <f t="shared" si="35"/>
        <v>0</v>
      </c>
      <c r="AT86" s="264">
        <f t="shared" si="36"/>
        <v>0</v>
      </c>
      <c r="AU86" s="1197">
        <f t="shared" si="37"/>
        <v>0</v>
      </c>
      <c r="AV86" s="1198">
        <f t="shared" si="38"/>
        <v>0</v>
      </c>
      <c r="AW86" s="215"/>
      <c r="AX86" s="217"/>
      <c r="AY86" s="217"/>
      <c r="AZ86" s="217"/>
      <c r="BA86" s="217"/>
      <c r="BB86" s="217"/>
      <c r="BC86" s="217"/>
      <c r="BD86" s="218"/>
      <c r="BY86" s="734"/>
      <c r="BZ86" s="734"/>
      <c r="CA86" s="734"/>
      <c r="CB86" s="734"/>
      <c r="CC86" s="734"/>
      <c r="CD86" s="734"/>
      <c r="CE86" s="734"/>
      <c r="CF86" s="734"/>
      <c r="CG86" s="734"/>
      <c r="CH86" s="734"/>
      <c r="CI86" s="734"/>
      <c r="CM86" s="153"/>
      <c r="CU86" s="768"/>
      <c r="CV86" s="768"/>
      <c r="CW86" s="768"/>
      <c r="CX86" s="768"/>
      <c r="CY86" s="768"/>
      <c r="CZ86" s="768"/>
      <c r="DA86" s="768"/>
      <c r="DB86" s="768"/>
      <c r="DC86" s="768"/>
      <c r="DD86" s="768"/>
      <c r="DO86" s="734"/>
      <c r="DP86" s="152"/>
      <c r="DQ86" s="152"/>
      <c r="DR86" s="734"/>
      <c r="DS86" s="734"/>
      <c r="DT86" s="734"/>
      <c r="DU86" s="734"/>
      <c r="DV86" s="734"/>
      <c r="DW86" s="734"/>
      <c r="DX86" s="734"/>
      <c r="DY86" s="734"/>
      <c r="DZ86" s="734"/>
      <c r="EA86" s="734"/>
      <c r="EB86" s="734"/>
      <c r="EC86" s="734"/>
      <c r="ED86" s="897"/>
      <c r="EE86" s="734"/>
      <c r="EF86" s="152"/>
      <c r="EG86" s="152"/>
      <c r="EH86" s="734"/>
      <c r="EI86" s="734"/>
      <c r="EJ86" s="734"/>
      <c r="EK86" s="734"/>
      <c r="EL86" s="734"/>
      <c r="EM86" s="734"/>
      <c r="EN86" s="768"/>
      <c r="EO86" s="768"/>
      <c r="EP86" s="768"/>
      <c r="EQ86" s="768"/>
      <c r="ER86" s="768"/>
      <c r="ES86" s="768"/>
      <c r="ET86" s="768"/>
      <c r="EU86" s="768"/>
      <c r="EV86" s="768"/>
    </row>
    <row r="87" spans="2:152" s="520" customFormat="1" ht="15">
      <c r="B87" s="616" t="str">
        <f t="shared" si="39"/>
        <v/>
      </c>
      <c r="C87" s="1164">
        <v>9</v>
      </c>
      <c r="D87" s="750" t="str">
        <f t="shared" si="40"/>
        <v>Pit 9</v>
      </c>
      <c r="E87" s="324">
        <f t="shared" si="26"/>
        <v>0</v>
      </c>
      <c r="F87" s="324">
        <f t="shared" si="41"/>
        <v>0</v>
      </c>
      <c r="G87" s="351">
        <f t="shared" si="42"/>
        <v>0</v>
      </c>
      <c r="H87" s="324">
        <f t="shared" si="43"/>
        <v>0</v>
      </c>
      <c r="I87" s="37" t="s">
        <v>428</v>
      </c>
      <c r="J87" s="37" t="s">
        <v>411</v>
      </c>
      <c r="K87" s="47" t="s">
        <v>3</v>
      </c>
      <c r="L87" s="161">
        <f t="shared" si="27"/>
        <v>1.9221853757639424</v>
      </c>
      <c r="M87" s="351">
        <f t="shared" si="44"/>
        <v>0</v>
      </c>
      <c r="N87" s="63">
        <f t="shared" si="28"/>
        <v>8904.769113128099</v>
      </c>
      <c r="O87" s="351">
        <f t="shared" si="29"/>
        <v>0</v>
      </c>
      <c r="P87" s="316"/>
      <c r="Q87" s="318"/>
      <c r="R87" s="319">
        <f t="shared" si="30"/>
        <v>0</v>
      </c>
      <c r="S87" s="37" t="s">
        <v>125</v>
      </c>
      <c r="T87" s="47" t="s">
        <v>349</v>
      </c>
      <c r="U87" s="63">
        <f t="shared" si="31"/>
        <v>6.2664411871606829</v>
      </c>
      <c r="V87" s="351">
        <f t="shared" si="32"/>
        <v>0</v>
      </c>
      <c r="W87" s="316"/>
      <c r="X87" s="195" t="s">
        <v>48</v>
      </c>
      <c r="Y87" s="1096" t="str">
        <f>IF(X87=Lists!$B$18,"N/A",VLOOKUP(X87,Lists!$B$18:$C$26,Lists!$C$3,FALSE))</f>
        <v>N/A</v>
      </c>
      <c r="Z87" s="63">
        <f>IF(X87=Lists!$B$18,0,VLOOKUP(Y87,Amend_TOV,TOV!$F$1,FALSE))</f>
        <v>0</v>
      </c>
      <c r="AA87" s="117"/>
      <c r="AB87" s="316"/>
      <c r="AC87" s="98" t="s">
        <v>48</v>
      </c>
      <c r="AD87" s="367" t="str">
        <f>IF(AC87=Lists!$B$18,"N/A",VLOOKUP(AC87,Lists!$B$18:$C$26,Lists!$C$3,FALSE))</f>
        <v>N/A</v>
      </c>
      <c r="AE87" s="63">
        <f>IF(AC87=Lists!$B$18,0,VLOOKUP(AD87,Amend_TOV,TOV!$F$1,FALSE))</f>
        <v>0</v>
      </c>
      <c r="AF87" s="117"/>
      <c r="AG87" s="316"/>
      <c r="AH87" s="98" t="s">
        <v>48</v>
      </c>
      <c r="AI87" s="367" t="str">
        <f>IF(AH87=Lists!$B$18,"N/A",VLOOKUP(AH87,Lists!$B$18:$C$26,Lists!$C$3,FALSE))</f>
        <v>N/A</v>
      </c>
      <c r="AJ87" s="63">
        <f>IF(AH87=Lists!$B$18,0,VLOOKUP(AI87,Amend_TOV,TOV!$F$1,FALSE))</f>
        <v>0</v>
      </c>
      <c r="AK87" s="117"/>
      <c r="AL87" s="351">
        <f t="shared" si="33"/>
        <v>0</v>
      </c>
      <c r="AM87" s="316">
        <f t="shared" si="45"/>
        <v>0</v>
      </c>
      <c r="AN87" s="66">
        <v>1</v>
      </c>
      <c r="AO87" s="66"/>
      <c r="AP87" s="67">
        <f t="shared" si="46"/>
        <v>0</v>
      </c>
      <c r="AQ87" s="16" t="str">
        <f t="shared" si="47"/>
        <v>No Alert</v>
      </c>
      <c r="AR87" s="351">
        <f t="shared" si="34"/>
        <v>0</v>
      </c>
      <c r="AS87" s="351">
        <f t="shared" si="35"/>
        <v>0</v>
      </c>
      <c r="AT87" s="264">
        <f t="shared" si="36"/>
        <v>0</v>
      </c>
      <c r="AU87" s="1197">
        <f t="shared" si="37"/>
        <v>0</v>
      </c>
      <c r="AV87" s="1198">
        <f t="shared" si="38"/>
        <v>0</v>
      </c>
      <c r="AW87" s="215"/>
      <c r="AX87" s="217"/>
      <c r="AY87" s="217"/>
      <c r="AZ87" s="217"/>
      <c r="BA87" s="217"/>
      <c r="BB87" s="217"/>
      <c r="BC87" s="217"/>
      <c r="BD87" s="218"/>
      <c r="CV87" s="768"/>
      <c r="CW87" s="768"/>
      <c r="CX87" s="768"/>
      <c r="CY87" s="768"/>
      <c r="CZ87" s="768"/>
      <c r="DA87" s="768"/>
      <c r="DB87" s="768"/>
      <c r="DC87" s="768"/>
      <c r="DD87" s="768"/>
    </row>
    <row r="88" spans="2:152" s="520" customFormat="1" ht="15">
      <c r="B88" s="616" t="str">
        <f t="shared" si="39"/>
        <v/>
      </c>
      <c r="C88" s="1164">
        <v>10</v>
      </c>
      <c r="D88" s="750" t="str">
        <f t="shared" si="40"/>
        <v>Pit 10</v>
      </c>
      <c r="E88" s="324">
        <f t="shared" si="26"/>
        <v>0</v>
      </c>
      <c r="F88" s="324">
        <f t="shared" si="41"/>
        <v>0</v>
      </c>
      <c r="G88" s="351">
        <f t="shared" si="42"/>
        <v>0</v>
      </c>
      <c r="H88" s="324">
        <f t="shared" si="43"/>
        <v>0</v>
      </c>
      <c r="I88" s="37" t="s">
        <v>428</v>
      </c>
      <c r="J88" s="37" t="s">
        <v>411</v>
      </c>
      <c r="K88" s="47" t="s">
        <v>3</v>
      </c>
      <c r="L88" s="161">
        <f t="shared" si="27"/>
        <v>1.9221853757639424</v>
      </c>
      <c r="M88" s="351">
        <f t="shared" si="44"/>
        <v>0</v>
      </c>
      <c r="N88" s="63">
        <f t="shared" si="28"/>
        <v>8904.769113128099</v>
      </c>
      <c r="O88" s="351">
        <f t="shared" si="29"/>
        <v>0</v>
      </c>
      <c r="P88" s="316"/>
      <c r="Q88" s="318"/>
      <c r="R88" s="319">
        <f t="shared" si="30"/>
        <v>0</v>
      </c>
      <c r="S88" s="37" t="s">
        <v>125</v>
      </c>
      <c r="T88" s="47" t="s">
        <v>349</v>
      </c>
      <c r="U88" s="63">
        <f t="shared" si="31"/>
        <v>6.2664411871606829</v>
      </c>
      <c r="V88" s="351">
        <f t="shared" si="32"/>
        <v>0</v>
      </c>
      <c r="W88" s="316"/>
      <c r="X88" s="195" t="s">
        <v>48</v>
      </c>
      <c r="Y88" s="1096" t="str">
        <f>IF(X88=Lists!$B$18,"N/A",VLOOKUP(X88,Lists!$B$18:$C$26,Lists!$C$3,FALSE))</f>
        <v>N/A</v>
      </c>
      <c r="Z88" s="63">
        <f>IF(X88=Lists!$B$18,0,VLOOKUP(Y88,Amend_TOV,TOV!$F$1,FALSE))</f>
        <v>0</v>
      </c>
      <c r="AA88" s="117"/>
      <c r="AB88" s="316"/>
      <c r="AC88" s="98" t="s">
        <v>48</v>
      </c>
      <c r="AD88" s="367" t="str">
        <f>IF(AC88=Lists!$B$18,"N/A",VLOOKUP(AC88,Lists!$B$18:$C$26,Lists!$C$3,FALSE))</f>
        <v>N/A</v>
      </c>
      <c r="AE88" s="63">
        <f>IF(AC88=Lists!$B$18,0,VLOOKUP(AD88,Amend_TOV,TOV!$F$1,FALSE))</f>
        <v>0</v>
      </c>
      <c r="AF88" s="117"/>
      <c r="AG88" s="316"/>
      <c r="AH88" s="98" t="s">
        <v>48</v>
      </c>
      <c r="AI88" s="367" t="str">
        <f>IF(AH88=Lists!$B$18,"N/A",VLOOKUP(AH88,Lists!$B$18:$C$26,Lists!$C$3,FALSE))</f>
        <v>N/A</v>
      </c>
      <c r="AJ88" s="63">
        <f>IF(AH88=Lists!$B$18,0,VLOOKUP(AI88,Amend_TOV,TOV!$F$1,FALSE))</f>
        <v>0</v>
      </c>
      <c r="AK88" s="117"/>
      <c r="AL88" s="351">
        <f t="shared" si="33"/>
        <v>0</v>
      </c>
      <c r="AM88" s="316">
        <f t="shared" si="45"/>
        <v>0</v>
      </c>
      <c r="AN88" s="66">
        <v>1</v>
      </c>
      <c r="AO88" s="66"/>
      <c r="AP88" s="67">
        <f t="shared" si="46"/>
        <v>0</v>
      </c>
      <c r="AQ88" s="16" t="str">
        <f t="shared" si="47"/>
        <v>No Alert</v>
      </c>
      <c r="AR88" s="351">
        <f t="shared" si="34"/>
        <v>0</v>
      </c>
      <c r="AS88" s="351">
        <f t="shared" si="35"/>
        <v>0</v>
      </c>
      <c r="AT88" s="264">
        <f t="shared" si="36"/>
        <v>0</v>
      </c>
      <c r="AU88" s="1197">
        <f t="shared" si="37"/>
        <v>0</v>
      </c>
      <c r="AV88" s="1198">
        <f t="shared" si="38"/>
        <v>0</v>
      </c>
      <c r="AW88" s="215"/>
      <c r="AX88" s="217"/>
      <c r="AY88" s="217"/>
      <c r="AZ88" s="217"/>
      <c r="BA88" s="217"/>
      <c r="BB88" s="217"/>
      <c r="BC88" s="217"/>
      <c r="BD88" s="218"/>
      <c r="BI88" s="154"/>
      <c r="CV88" s="768"/>
      <c r="CW88" s="768"/>
      <c r="CX88" s="768"/>
      <c r="CY88" s="768"/>
      <c r="CZ88" s="768"/>
      <c r="DA88" s="768"/>
      <c r="DB88" s="768"/>
      <c r="DC88" s="768"/>
      <c r="DD88" s="768"/>
    </row>
    <row r="89" spans="2:152" s="520" customFormat="1" ht="15">
      <c r="B89" s="616" t="str">
        <f t="shared" si="39"/>
        <v/>
      </c>
      <c r="C89" s="1164">
        <v>11</v>
      </c>
      <c r="D89" s="750" t="str">
        <f t="shared" si="40"/>
        <v>Pit 11</v>
      </c>
      <c r="E89" s="324">
        <f t="shared" si="26"/>
        <v>0</v>
      </c>
      <c r="F89" s="324">
        <f t="shared" si="41"/>
        <v>0</v>
      </c>
      <c r="G89" s="351">
        <f t="shared" si="42"/>
        <v>0</v>
      </c>
      <c r="H89" s="324">
        <f t="shared" si="43"/>
        <v>0</v>
      </c>
      <c r="I89" s="37" t="s">
        <v>428</v>
      </c>
      <c r="J89" s="37" t="s">
        <v>411</v>
      </c>
      <c r="K89" s="47" t="s">
        <v>3</v>
      </c>
      <c r="L89" s="161">
        <f t="shared" si="27"/>
        <v>1.9221853757639424</v>
      </c>
      <c r="M89" s="351">
        <f t="shared" si="44"/>
        <v>0</v>
      </c>
      <c r="N89" s="63">
        <f t="shared" si="28"/>
        <v>8904.769113128099</v>
      </c>
      <c r="O89" s="351">
        <f t="shared" si="29"/>
        <v>0</v>
      </c>
      <c r="P89" s="316"/>
      <c r="Q89" s="318"/>
      <c r="R89" s="319">
        <f t="shared" si="30"/>
        <v>0</v>
      </c>
      <c r="S89" s="37" t="s">
        <v>125</v>
      </c>
      <c r="T89" s="47" t="s">
        <v>349</v>
      </c>
      <c r="U89" s="63">
        <f t="shared" si="31"/>
        <v>6.2664411871606829</v>
      </c>
      <c r="V89" s="351">
        <f t="shared" si="32"/>
        <v>0</v>
      </c>
      <c r="W89" s="316"/>
      <c r="X89" s="195" t="s">
        <v>48</v>
      </c>
      <c r="Y89" s="1096" t="str">
        <f>IF(X89=Lists!$B$18,"N/A",VLOOKUP(X89,Lists!$B$18:$C$26,Lists!$C$3,FALSE))</f>
        <v>N/A</v>
      </c>
      <c r="Z89" s="63">
        <f>IF(X89=Lists!$B$18,0,VLOOKUP(Y89,Amend_TOV,TOV!$F$1,FALSE))</f>
        <v>0</v>
      </c>
      <c r="AA89" s="117"/>
      <c r="AB89" s="316"/>
      <c r="AC89" s="98" t="s">
        <v>48</v>
      </c>
      <c r="AD89" s="367" t="str">
        <f>IF(AC89=Lists!$B$18,"N/A",VLOOKUP(AC89,Lists!$B$18:$C$26,Lists!$C$3,FALSE))</f>
        <v>N/A</v>
      </c>
      <c r="AE89" s="63">
        <f>IF(AC89=Lists!$B$18,0,VLOOKUP(AD89,Amend_TOV,TOV!$F$1,FALSE))</f>
        <v>0</v>
      </c>
      <c r="AF89" s="117"/>
      <c r="AG89" s="316"/>
      <c r="AH89" s="98" t="s">
        <v>48</v>
      </c>
      <c r="AI89" s="367" t="str">
        <f>IF(AH89=Lists!$B$18,"N/A",VLOOKUP(AH89,Lists!$B$18:$C$26,Lists!$C$3,FALSE))</f>
        <v>N/A</v>
      </c>
      <c r="AJ89" s="63">
        <f>IF(AH89=Lists!$B$18,0,VLOOKUP(AI89,Amend_TOV,TOV!$F$1,FALSE))</f>
        <v>0</v>
      </c>
      <c r="AK89" s="117"/>
      <c r="AL89" s="351">
        <f t="shared" si="33"/>
        <v>0</v>
      </c>
      <c r="AM89" s="316">
        <f t="shared" si="45"/>
        <v>0</v>
      </c>
      <c r="AN89" s="66">
        <v>1</v>
      </c>
      <c r="AO89" s="66"/>
      <c r="AP89" s="67">
        <f t="shared" si="46"/>
        <v>0</v>
      </c>
      <c r="AQ89" s="16" t="str">
        <f t="shared" si="47"/>
        <v>No Alert</v>
      </c>
      <c r="AR89" s="351">
        <f t="shared" si="34"/>
        <v>0</v>
      </c>
      <c r="AS89" s="351">
        <f t="shared" si="35"/>
        <v>0</v>
      </c>
      <c r="AT89" s="264">
        <f t="shared" si="36"/>
        <v>0</v>
      </c>
      <c r="AU89" s="1197">
        <f t="shared" si="37"/>
        <v>0</v>
      </c>
      <c r="AV89" s="1198">
        <f t="shared" si="38"/>
        <v>0</v>
      </c>
      <c r="AW89" s="215"/>
      <c r="AX89" s="217"/>
      <c r="AY89" s="217"/>
      <c r="AZ89" s="217"/>
      <c r="BA89" s="217"/>
      <c r="BB89" s="217"/>
      <c r="BC89" s="217"/>
      <c r="BD89" s="218"/>
      <c r="BI89" s="768"/>
      <c r="BT89" s="768"/>
      <c r="CV89" s="768"/>
      <c r="CW89" s="768"/>
      <c r="CX89" s="768"/>
      <c r="CY89" s="768"/>
      <c r="CZ89" s="768"/>
      <c r="DA89" s="768"/>
      <c r="DB89" s="768"/>
      <c r="DC89" s="768"/>
      <c r="DD89" s="768"/>
    </row>
    <row r="90" spans="2:152" s="520" customFormat="1" ht="15">
      <c r="B90" s="616" t="str">
        <f t="shared" si="39"/>
        <v/>
      </c>
      <c r="C90" s="1164">
        <v>12</v>
      </c>
      <c r="D90" s="750" t="str">
        <f t="shared" si="40"/>
        <v>Pit 12</v>
      </c>
      <c r="E90" s="324">
        <f t="shared" si="26"/>
        <v>0</v>
      </c>
      <c r="F90" s="324">
        <f t="shared" si="41"/>
        <v>0</v>
      </c>
      <c r="G90" s="351">
        <f t="shared" si="42"/>
        <v>0</v>
      </c>
      <c r="H90" s="324">
        <f t="shared" si="43"/>
        <v>0</v>
      </c>
      <c r="I90" s="37" t="s">
        <v>428</v>
      </c>
      <c r="J90" s="37" t="s">
        <v>411</v>
      </c>
      <c r="K90" s="47" t="s">
        <v>3</v>
      </c>
      <c r="L90" s="161">
        <f t="shared" si="27"/>
        <v>1.9221853757639424</v>
      </c>
      <c r="M90" s="351">
        <f t="shared" si="44"/>
        <v>0</v>
      </c>
      <c r="N90" s="63">
        <f t="shared" si="28"/>
        <v>8904.769113128099</v>
      </c>
      <c r="O90" s="351">
        <f t="shared" si="29"/>
        <v>0</v>
      </c>
      <c r="P90" s="316"/>
      <c r="Q90" s="318"/>
      <c r="R90" s="319">
        <f t="shared" si="30"/>
        <v>0</v>
      </c>
      <c r="S90" s="37" t="s">
        <v>125</v>
      </c>
      <c r="T90" s="47" t="s">
        <v>349</v>
      </c>
      <c r="U90" s="63">
        <f t="shared" si="31"/>
        <v>6.2664411871606829</v>
      </c>
      <c r="V90" s="351">
        <f t="shared" si="32"/>
        <v>0</v>
      </c>
      <c r="W90" s="316"/>
      <c r="X90" s="195" t="s">
        <v>48</v>
      </c>
      <c r="Y90" s="1096" t="str">
        <f>IF(X90=Lists!$B$18,"N/A",VLOOKUP(X90,Lists!$B$18:$C$26,Lists!$C$3,FALSE))</f>
        <v>N/A</v>
      </c>
      <c r="Z90" s="63">
        <f>IF(X90=Lists!$B$18,0,VLOOKUP(Y90,Amend_TOV,TOV!$F$1,FALSE))</f>
        <v>0</v>
      </c>
      <c r="AA90" s="117"/>
      <c r="AB90" s="316"/>
      <c r="AC90" s="98" t="s">
        <v>48</v>
      </c>
      <c r="AD90" s="367" t="str">
        <f>IF(AC90=Lists!$B$18,"N/A",VLOOKUP(AC90,Lists!$B$18:$C$26,Lists!$C$3,FALSE))</f>
        <v>N/A</v>
      </c>
      <c r="AE90" s="63">
        <f>IF(AC90=Lists!$B$18,0,VLOOKUP(AD90,Amend_TOV,TOV!$F$1,FALSE))</f>
        <v>0</v>
      </c>
      <c r="AF90" s="117"/>
      <c r="AG90" s="316"/>
      <c r="AH90" s="98" t="s">
        <v>48</v>
      </c>
      <c r="AI90" s="367" t="str">
        <f>IF(AH90=Lists!$B$18,"N/A",VLOOKUP(AH90,Lists!$B$18:$C$26,Lists!$C$3,FALSE))</f>
        <v>N/A</v>
      </c>
      <c r="AJ90" s="63">
        <f>IF(AH90=Lists!$B$18,0,VLOOKUP(AI90,Amend_TOV,TOV!$F$1,FALSE))</f>
        <v>0</v>
      </c>
      <c r="AK90" s="117"/>
      <c r="AL90" s="351">
        <f t="shared" si="33"/>
        <v>0</v>
      </c>
      <c r="AM90" s="316">
        <f t="shared" si="45"/>
        <v>0</v>
      </c>
      <c r="AN90" s="66">
        <v>1</v>
      </c>
      <c r="AO90" s="66"/>
      <c r="AP90" s="67">
        <f t="shared" si="46"/>
        <v>0</v>
      </c>
      <c r="AQ90" s="16" t="str">
        <f t="shared" si="47"/>
        <v>No Alert</v>
      </c>
      <c r="AR90" s="351">
        <f t="shared" si="34"/>
        <v>0</v>
      </c>
      <c r="AS90" s="351">
        <f t="shared" si="35"/>
        <v>0</v>
      </c>
      <c r="AT90" s="264">
        <f t="shared" si="36"/>
        <v>0</v>
      </c>
      <c r="AU90" s="1197">
        <f t="shared" si="37"/>
        <v>0</v>
      </c>
      <c r="AV90" s="1198">
        <f t="shared" si="38"/>
        <v>0</v>
      </c>
      <c r="AW90" s="215"/>
      <c r="AX90" s="217"/>
      <c r="AY90" s="217"/>
      <c r="AZ90" s="217"/>
      <c r="BA90" s="217"/>
      <c r="BB90" s="217"/>
      <c r="BC90" s="217"/>
      <c r="BD90" s="218"/>
      <c r="BI90" s="768"/>
      <c r="CV90" s="768"/>
      <c r="CW90" s="768"/>
      <c r="CX90" s="768"/>
      <c r="CY90" s="768"/>
      <c r="CZ90" s="768"/>
      <c r="DA90" s="768"/>
      <c r="DB90" s="768"/>
      <c r="DC90" s="768"/>
      <c r="DD90" s="768"/>
    </row>
    <row r="91" spans="2:152" s="520" customFormat="1" ht="15">
      <c r="B91" s="616" t="str">
        <f t="shared" si="39"/>
        <v/>
      </c>
      <c r="C91" s="1164">
        <v>13</v>
      </c>
      <c r="D91" s="750" t="str">
        <f t="shared" si="40"/>
        <v>Pit 13</v>
      </c>
      <c r="E91" s="324">
        <f t="shared" si="26"/>
        <v>0</v>
      </c>
      <c r="F91" s="324">
        <f t="shared" si="41"/>
        <v>0</v>
      </c>
      <c r="G91" s="351">
        <f t="shared" si="42"/>
        <v>0</v>
      </c>
      <c r="H91" s="324">
        <f t="shared" si="43"/>
        <v>0</v>
      </c>
      <c r="I91" s="37" t="s">
        <v>428</v>
      </c>
      <c r="J91" s="37" t="s">
        <v>411</v>
      </c>
      <c r="K91" s="47" t="s">
        <v>3</v>
      </c>
      <c r="L91" s="161">
        <f t="shared" si="27"/>
        <v>1.9221853757639424</v>
      </c>
      <c r="M91" s="351">
        <f t="shared" si="44"/>
        <v>0</v>
      </c>
      <c r="N91" s="63">
        <f t="shared" si="28"/>
        <v>8904.769113128099</v>
      </c>
      <c r="O91" s="351">
        <f t="shared" si="29"/>
        <v>0</v>
      </c>
      <c r="P91" s="316"/>
      <c r="Q91" s="318"/>
      <c r="R91" s="319">
        <f t="shared" si="30"/>
        <v>0</v>
      </c>
      <c r="S91" s="37" t="s">
        <v>125</v>
      </c>
      <c r="T91" s="47" t="s">
        <v>349</v>
      </c>
      <c r="U91" s="63">
        <f t="shared" si="31"/>
        <v>6.2664411871606829</v>
      </c>
      <c r="V91" s="351">
        <f t="shared" si="32"/>
        <v>0</v>
      </c>
      <c r="W91" s="316"/>
      <c r="X91" s="195" t="s">
        <v>48</v>
      </c>
      <c r="Y91" s="1096" t="str">
        <f>IF(X91=Lists!$B$18,"N/A",VLOOKUP(X91,Lists!$B$18:$C$26,Lists!$C$3,FALSE))</f>
        <v>N/A</v>
      </c>
      <c r="Z91" s="63">
        <f>IF(X91=Lists!$B$18,0,VLOOKUP(Y91,Amend_TOV,TOV!$F$1,FALSE))</f>
        <v>0</v>
      </c>
      <c r="AA91" s="117"/>
      <c r="AB91" s="316"/>
      <c r="AC91" s="98" t="s">
        <v>48</v>
      </c>
      <c r="AD91" s="367" t="str">
        <f>IF(AC91=Lists!$B$18,"N/A",VLOOKUP(AC91,Lists!$B$18:$C$26,Lists!$C$3,FALSE))</f>
        <v>N/A</v>
      </c>
      <c r="AE91" s="63">
        <f>IF(AC91=Lists!$B$18,0,VLOOKUP(AD91,Amend_TOV,TOV!$F$1,FALSE))</f>
        <v>0</v>
      </c>
      <c r="AF91" s="117"/>
      <c r="AG91" s="316"/>
      <c r="AH91" s="98" t="s">
        <v>48</v>
      </c>
      <c r="AI91" s="367" t="str">
        <f>IF(AH91=Lists!$B$18,"N/A",VLOOKUP(AH91,Lists!$B$18:$C$26,Lists!$C$3,FALSE))</f>
        <v>N/A</v>
      </c>
      <c r="AJ91" s="63">
        <f>IF(AH91=Lists!$B$18,0,VLOOKUP(AI91,Amend_TOV,TOV!$F$1,FALSE))</f>
        <v>0</v>
      </c>
      <c r="AK91" s="117"/>
      <c r="AL91" s="351">
        <f t="shared" si="33"/>
        <v>0</v>
      </c>
      <c r="AM91" s="316">
        <f t="shared" si="45"/>
        <v>0</v>
      </c>
      <c r="AN91" s="66">
        <v>1</v>
      </c>
      <c r="AO91" s="66"/>
      <c r="AP91" s="67">
        <f t="shared" si="46"/>
        <v>0</v>
      </c>
      <c r="AQ91" s="16" t="str">
        <f t="shared" si="47"/>
        <v>No Alert</v>
      </c>
      <c r="AR91" s="351">
        <f t="shared" si="34"/>
        <v>0</v>
      </c>
      <c r="AS91" s="351">
        <f t="shared" si="35"/>
        <v>0</v>
      </c>
      <c r="AT91" s="264">
        <f t="shared" si="36"/>
        <v>0</v>
      </c>
      <c r="AU91" s="1197">
        <f t="shared" si="37"/>
        <v>0</v>
      </c>
      <c r="AV91" s="1198">
        <f t="shared" si="38"/>
        <v>0</v>
      </c>
      <c r="AW91" s="215"/>
      <c r="AX91" s="217"/>
      <c r="AY91" s="217"/>
      <c r="AZ91" s="217"/>
      <c r="BA91" s="217"/>
      <c r="BB91" s="217"/>
      <c r="BC91" s="217"/>
      <c r="BD91" s="218"/>
      <c r="CV91" s="768"/>
      <c r="CW91" s="768"/>
      <c r="CX91" s="768"/>
      <c r="CY91" s="768"/>
      <c r="CZ91" s="768"/>
      <c r="DA91" s="768"/>
      <c r="DB91" s="768"/>
      <c r="DC91" s="768"/>
      <c r="DD91" s="768"/>
    </row>
    <row r="92" spans="2:152" s="520" customFormat="1" ht="15">
      <c r="B92" s="616" t="str">
        <f t="shared" si="39"/>
        <v/>
      </c>
      <c r="C92" s="1164">
        <v>14</v>
      </c>
      <c r="D92" s="750" t="str">
        <f t="shared" si="40"/>
        <v>Pit 14</v>
      </c>
      <c r="E92" s="324">
        <f t="shared" si="26"/>
        <v>0</v>
      </c>
      <c r="F92" s="324">
        <f t="shared" si="41"/>
        <v>0</v>
      </c>
      <c r="G92" s="351">
        <f t="shared" si="42"/>
        <v>0</v>
      </c>
      <c r="H92" s="324">
        <f t="shared" si="43"/>
        <v>0</v>
      </c>
      <c r="I92" s="37" t="s">
        <v>428</v>
      </c>
      <c r="J92" s="37" t="s">
        <v>411</v>
      </c>
      <c r="K92" s="47" t="s">
        <v>3</v>
      </c>
      <c r="L92" s="161">
        <f t="shared" si="27"/>
        <v>1.9221853757639424</v>
      </c>
      <c r="M92" s="351">
        <f t="shared" si="44"/>
        <v>0</v>
      </c>
      <c r="N92" s="63">
        <f t="shared" si="28"/>
        <v>8904.769113128099</v>
      </c>
      <c r="O92" s="351">
        <f t="shared" si="29"/>
        <v>0</v>
      </c>
      <c r="P92" s="316"/>
      <c r="Q92" s="318"/>
      <c r="R92" s="319">
        <f t="shared" si="30"/>
        <v>0</v>
      </c>
      <c r="S92" s="37" t="s">
        <v>125</v>
      </c>
      <c r="T92" s="47" t="s">
        <v>349</v>
      </c>
      <c r="U92" s="63">
        <f t="shared" si="31"/>
        <v>6.2664411871606829</v>
      </c>
      <c r="V92" s="351">
        <f t="shared" si="32"/>
        <v>0</v>
      </c>
      <c r="W92" s="316"/>
      <c r="X92" s="195" t="s">
        <v>48</v>
      </c>
      <c r="Y92" s="1096" t="str">
        <f>IF(X92=Lists!$B$18,"N/A",VLOOKUP(X92,Lists!$B$18:$C$26,Lists!$C$3,FALSE))</f>
        <v>N/A</v>
      </c>
      <c r="Z92" s="63">
        <f>IF(X92=Lists!$B$18,0,VLOOKUP(Y92,Amend_TOV,TOV!$F$1,FALSE))</f>
        <v>0</v>
      </c>
      <c r="AA92" s="117"/>
      <c r="AB92" s="316"/>
      <c r="AC92" s="98" t="s">
        <v>48</v>
      </c>
      <c r="AD92" s="367" t="str">
        <f>IF(AC92=Lists!$B$18,"N/A",VLOOKUP(AC92,Lists!$B$18:$C$26,Lists!$C$3,FALSE))</f>
        <v>N/A</v>
      </c>
      <c r="AE92" s="63">
        <f>IF(AC92=Lists!$B$18,0,VLOOKUP(AD92,Amend_TOV,TOV!$F$1,FALSE))</f>
        <v>0</v>
      </c>
      <c r="AF92" s="117"/>
      <c r="AG92" s="316"/>
      <c r="AH92" s="98" t="s">
        <v>48</v>
      </c>
      <c r="AI92" s="367" t="str">
        <f>IF(AH92=Lists!$B$18,"N/A",VLOOKUP(AH92,Lists!$B$18:$C$26,Lists!$C$3,FALSE))</f>
        <v>N/A</v>
      </c>
      <c r="AJ92" s="63">
        <f>IF(AH92=Lists!$B$18,0,VLOOKUP(AI92,Amend_TOV,TOV!$F$1,FALSE))</f>
        <v>0</v>
      </c>
      <c r="AK92" s="117"/>
      <c r="AL92" s="351">
        <f t="shared" si="33"/>
        <v>0</v>
      </c>
      <c r="AM92" s="316">
        <f t="shared" si="45"/>
        <v>0</v>
      </c>
      <c r="AN92" s="66">
        <v>1</v>
      </c>
      <c r="AO92" s="66"/>
      <c r="AP92" s="67">
        <f t="shared" si="46"/>
        <v>0</v>
      </c>
      <c r="AQ92" s="16" t="str">
        <f t="shared" si="47"/>
        <v>No Alert</v>
      </c>
      <c r="AR92" s="351">
        <f t="shared" si="34"/>
        <v>0</v>
      </c>
      <c r="AS92" s="351">
        <f t="shared" si="35"/>
        <v>0</v>
      </c>
      <c r="AT92" s="264">
        <f t="shared" si="36"/>
        <v>0</v>
      </c>
      <c r="AU92" s="1197">
        <f t="shared" si="37"/>
        <v>0</v>
      </c>
      <c r="AV92" s="1198">
        <f t="shared" si="38"/>
        <v>0</v>
      </c>
      <c r="AW92" s="215"/>
      <c r="AX92" s="217"/>
      <c r="AY92" s="217"/>
      <c r="AZ92" s="217"/>
      <c r="BA92" s="217"/>
      <c r="BB92" s="217"/>
      <c r="BC92" s="217"/>
      <c r="BD92" s="218"/>
      <c r="CV92" s="768"/>
      <c r="CW92" s="768"/>
      <c r="CX92" s="768"/>
      <c r="CY92" s="768"/>
      <c r="CZ92" s="768"/>
      <c r="DA92" s="768"/>
      <c r="DB92" s="768"/>
      <c r="DC92" s="768"/>
      <c r="DD92" s="768"/>
    </row>
    <row r="93" spans="2:152" s="520" customFormat="1" ht="15">
      <c r="B93" s="616" t="str">
        <f t="shared" si="39"/>
        <v/>
      </c>
      <c r="C93" s="1164">
        <v>15</v>
      </c>
      <c r="D93" s="750" t="str">
        <f t="shared" si="40"/>
        <v>Pit 15</v>
      </c>
      <c r="E93" s="324">
        <f t="shared" si="26"/>
        <v>0</v>
      </c>
      <c r="F93" s="324">
        <f t="shared" si="41"/>
        <v>0</v>
      </c>
      <c r="G93" s="351">
        <f t="shared" si="42"/>
        <v>0</v>
      </c>
      <c r="H93" s="324">
        <f t="shared" si="43"/>
        <v>0</v>
      </c>
      <c r="I93" s="37" t="s">
        <v>428</v>
      </c>
      <c r="J93" s="37" t="s">
        <v>411</v>
      </c>
      <c r="K93" s="47" t="s">
        <v>3</v>
      </c>
      <c r="L93" s="161">
        <f t="shared" si="27"/>
        <v>1.9221853757639424</v>
      </c>
      <c r="M93" s="351">
        <f t="shared" si="44"/>
        <v>0</v>
      </c>
      <c r="N93" s="63">
        <f t="shared" si="28"/>
        <v>8904.769113128099</v>
      </c>
      <c r="O93" s="351">
        <f t="shared" si="29"/>
        <v>0</v>
      </c>
      <c r="P93" s="316"/>
      <c r="Q93" s="318"/>
      <c r="R93" s="319">
        <f t="shared" si="30"/>
        <v>0</v>
      </c>
      <c r="S93" s="37" t="s">
        <v>125</v>
      </c>
      <c r="T93" s="47" t="s">
        <v>349</v>
      </c>
      <c r="U93" s="63">
        <f t="shared" si="31"/>
        <v>6.2664411871606829</v>
      </c>
      <c r="V93" s="351">
        <f t="shared" si="32"/>
        <v>0</v>
      </c>
      <c r="W93" s="316"/>
      <c r="X93" s="195" t="s">
        <v>48</v>
      </c>
      <c r="Y93" s="1096" t="str">
        <f>IF(X93=Lists!$B$18,"N/A",VLOOKUP(X93,Lists!$B$18:$C$26,Lists!$C$3,FALSE))</f>
        <v>N/A</v>
      </c>
      <c r="Z93" s="63">
        <f>IF(X93=Lists!$B$18,0,VLOOKUP(Y93,Amend_TOV,TOV!$F$1,FALSE))</f>
        <v>0</v>
      </c>
      <c r="AA93" s="117"/>
      <c r="AB93" s="316"/>
      <c r="AC93" s="98" t="s">
        <v>48</v>
      </c>
      <c r="AD93" s="367" t="str">
        <f>IF(AC93=Lists!$B$18,"N/A",VLOOKUP(AC93,Lists!$B$18:$C$26,Lists!$C$3,FALSE))</f>
        <v>N/A</v>
      </c>
      <c r="AE93" s="63">
        <f>IF(AC93=Lists!$B$18,0,VLOOKUP(AD93,Amend_TOV,TOV!$F$1,FALSE))</f>
        <v>0</v>
      </c>
      <c r="AF93" s="117"/>
      <c r="AG93" s="316"/>
      <c r="AH93" s="98" t="s">
        <v>48</v>
      </c>
      <c r="AI93" s="367" t="str">
        <f>IF(AH93=Lists!$B$18,"N/A",VLOOKUP(AH93,Lists!$B$18:$C$26,Lists!$C$3,FALSE))</f>
        <v>N/A</v>
      </c>
      <c r="AJ93" s="63">
        <f>IF(AH93=Lists!$B$18,0,VLOOKUP(AI93,Amend_TOV,TOV!$F$1,FALSE))</f>
        <v>0</v>
      </c>
      <c r="AK93" s="117"/>
      <c r="AL93" s="351">
        <f t="shared" si="33"/>
        <v>0</v>
      </c>
      <c r="AM93" s="316">
        <f t="shared" si="45"/>
        <v>0</v>
      </c>
      <c r="AN93" s="66">
        <v>1</v>
      </c>
      <c r="AO93" s="66"/>
      <c r="AP93" s="67">
        <f t="shared" si="46"/>
        <v>0</v>
      </c>
      <c r="AQ93" s="16" t="str">
        <f t="shared" si="47"/>
        <v>No Alert</v>
      </c>
      <c r="AR93" s="351">
        <f t="shared" si="34"/>
        <v>0</v>
      </c>
      <c r="AS93" s="351">
        <f t="shared" si="35"/>
        <v>0</v>
      </c>
      <c r="AT93" s="264">
        <f t="shared" si="36"/>
        <v>0</v>
      </c>
      <c r="AU93" s="1197">
        <f t="shared" si="37"/>
        <v>0</v>
      </c>
      <c r="AV93" s="1198">
        <f t="shared" si="38"/>
        <v>0</v>
      </c>
      <c r="AW93" s="215"/>
      <c r="AX93" s="217"/>
      <c r="AY93" s="217"/>
      <c r="AZ93" s="217"/>
      <c r="BA93" s="217"/>
      <c r="BB93" s="217"/>
      <c r="BC93" s="217"/>
      <c r="BD93" s="218"/>
      <c r="CV93" s="768"/>
      <c r="CW93" s="768"/>
      <c r="CX93" s="768"/>
      <c r="CY93" s="768"/>
      <c r="CZ93" s="768"/>
      <c r="DA93" s="768"/>
      <c r="DB93" s="768"/>
      <c r="DC93" s="768"/>
      <c r="DD93" s="768"/>
    </row>
    <row r="94" spans="2:152" s="520" customFormat="1" ht="15">
      <c r="B94" s="616" t="str">
        <f t="shared" si="39"/>
        <v/>
      </c>
      <c r="C94" s="1164">
        <v>16</v>
      </c>
      <c r="D94" s="750" t="str">
        <f t="shared" si="40"/>
        <v>Pit 16</v>
      </c>
      <c r="E94" s="324">
        <f t="shared" si="26"/>
        <v>0</v>
      </c>
      <c r="F94" s="324">
        <f t="shared" si="41"/>
        <v>0</v>
      </c>
      <c r="G94" s="351">
        <f t="shared" si="42"/>
        <v>0</v>
      </c>
      <c r="H94" s="324">
        <f t="shared" si="43"/>
        <v>0</v>
      </c>
      <c r="I94" s="37" t="s">
        <v>428</v>
      </c>
      <c r="J94" s="37" t="s">
        <v>411</v>
      </c>
      <c r="K94" s="47" t="s">
        <v>3</v>
      </c>
      <c r="L94" s="161">
        <f t="shared" si="27"/>
        <v>1.9221853757639424</v>
      </c>
      <c r="M94" s="351">
        <f t="shared" si="44"/>
        <v>0</v>
      </c>
      <c r="N94" s="63">
        <f t="shared" si="28"/>
        <v>8904.769113128099</v>
      </c>
      <c r="O94" s="351">
        <f t="shared" si="29"/>
        <v>0</v>
      </c>
      <c r="P94" s="316"/>
      <c r="Q94" s="318"/>
      <c r="R94" s="319">
        <f t="shared" si="30"/>
        <v>0</v>
      </c>
      <c r="S94" s="37" t="s">
        <v>125</v>
      </c>
      <c r="T94" s="47" t="s">
        <v>349</v>
      </c>
      <c r="U94" s="63">
        <f t="shared" si="31"/>
        <v>6.2664411871606829</v>
      </c>
      <c r="V94" s="351">
        <f t="shared" si="32"/>
        <v>0</v>
      </c>
      <c r="W94" s="316"/>
      <c r="X94" s="195" t="s">
        <v>48</v>
      </c>
      <c r="Y94" s="1096" t="str">
        <f>IF(X94=Lists!$B$18,"N/A",VLOOKUP(X94,Lists!$B$18:$C$26,Lists!$C$3,FALSE))</f>
        <v>N/A</v>
      </c>
      <c r="Z94" s="63">
        <f>IF(X94=Lists!$B$18,0,VLOOKUP(Y94,Amend_TOV,TOV!$F$1,FALSE))</f>
        <v>0</v>
      </c>
      <c r="AA94" s="117"/>
      <c r="AB94" s="316"/>
      <c r="AC94" s="98" t="s">
        <v>48</v>
      </c>
      <c r="AD94" s="367" t="str">
        <f>IF(AC94=Lists!$B$18,"N/A",VLOOKUP(AC94,Lists!$B$18:$C$26,Lists!$C$3,FALSE))</f>
        <v>N/A</v>
      </c>
      <c r="AE94" s="63">
        <f>IF(AC94=Lists!$B$18,0,VLOOKUP(AD94,Amend_TOV,TOV!$F$1,FALSE))</f>
        <v>0</v>
      </c>
      <c r="AF94" s="117"/>
      <c r="AG94" s="316"/>
      <c r="AH94" s="98" t="s">
        <v>48</v>
      </c>
      <c r="AI94" s="367" t="str">
        <f>IF(AH94=Lists!$B$18,"N/A",VLOOKUP(AH94,Lists!$B$18:$C$26,Lists!$C$3,FALSE))</f>
        <v>N/A</v>
      </c>
      <c r="AJ94" s="63">
        <f>IF(AH94=Lists!$B$18,0,VLOOKUP(AI94,Amend_TOV,TOV!$F$1,FALSE))</f>
        <v>0</v>
      </c>
      <c r="AK94" s="117"/>
      <c r="AL94" s="351">
        <f t="shared" si="33"/>
        <v>0</v>
      </c>
      <c r="AM94" s="316">
        <f t="shared" si="45"/>
        <v>0</v>
      </c>
      <c r="AN94" s="66">
        <v>1</v>
      </c>
      <c r="AO94" s="66"/>
      <c r="AP94" s="67">
        <f t="shared" si="46"/>
        <v>0</v>
      </c>
      <c r="AQ94" s="16" t="str">
        <f t="shared" si="47"/>
        <v>No Alert</v>
      </c>
      <c r="AR94" s="351">
        <f t="shared" si="34"/>
        <v>0</v>
      </c>
      <c r="AS94" s="351">
        <f t="shared" si="35"/>
        <v>0</v>
      </c>
      <c r="AT94" s="264">
        <f t="shared" si="36"/>
        <v>0</v>
      </c>
      <c r="AU94" s="1197">
        <f t="shared" si="37"/>
        <v>0</v>
      </c>
      <c r="AV94" s="1198">
        <f t="shared" si="38"/>
        <v>0</v>
      </c>
      <c r="AW94" s="215"/>
      <c r="AX94" s="217"/>
      <c r="AY94" s="217"/>
      <c r="AZ94" s="217"/>
      <c r="BA94" s="217"/>
      <c r="BB94" s="217"/>
      <c r="BC94" s="217"/>
      <c r="BD94" s="218"/>
      <c r="CV94" s="768"/>
      <c r="CW94" s="768"/>
      <c r="CX94" s="768"/>
      <c r="CY94" s="768"/>
      <c r="CZ94" s="768"/>
      <c r="DA94" s="768"/>
      <c r="DB94" s="768"/>
      <c r="DC94" s="768"/>
      <c r="DD94" s="768"/>
    </row>
    <row r="95" spans="2:152" s="520" customFormat="1" ht="15">
      <c r="B95" s="616" t="str">
        <f t="shared" si="39"/>
        <v/>
      </c>
      <c r="C95" s="1164">
        <v>17</v>
      </c>
      <c r="D95" s="750" t="str">
        <f t="shared" si="40"/>
        <v>Pit 17</v>
      </c>
      <c r="E95" s="324">
        <f t="shared" si="26"/>
        <v>0</v>
      </c>
      <c r="F95" s="324">
        <f t="shared" si="41"/>
        <v>0</v>
      </c>
      <c r="G95" s="351">
        <f t="shared" si="42"/>
        <v>0</v>
      </c>
      <c r="H95" s="324">
        <f t="shared" si="43"/>
        <v>0</v>
      </c>
      <c r="I95" s="37" t="s">
        <v>428</v>
      </c>
      <c r="J95" s="37" t="s">
        <v>411</v>
      </c>
      <c r="K95" s="47" t="s">
        <v>3</v>
      </c>
      <c r="L95" s="161">
        <f t="shared" si="27"/>
        <v>1.9221853757639424</v>
      </c>
      <c r="M95" s="351">
        <f t="shared" si="44"/>
        <v>0</v>
      </c>
      <c r="N95" s="63">
        <f t="shared" si="28"/>
        <v>8904.769113128099</v>
      </c>
      <c r="O95" s="351">
        <f t="shared" si="29"/>
        <v>0</v>
      </c>
      <c r="P95" s="316"/>
      <c r="Q95" s="318"/>
      <c r="R95" s="319">
        <f t="shared" si="30"/>
        <v>0</v>
      </c>
      <c r="S95" s="37" t="s">
        <v>125</v>
      </c>
      <c r="T95" s="47" t="s">
        <v>349</v>
      </c>
      <c r="U95" s="63">
        <f t="shared" si="31"/>
        <v>6.2664411871606829</v>
      </c>
      <c r="V95" s="351">
        <f t="shared" si="32"/>
        <v>0</v>
      </c>
      <c r="W95" s="316"/>
      <c r="X95" s="195" t="s">
        <v>48</v>
      </c>
      <c r="Y95" s="1096" t="str">
        <f>IF(X95=Lists!$B$18,"N/A",VLOOKUP(X95,Lists!$B$18:$C$26,Lists!$C$3,FALSE))</f>
        <v>N/A</v>
      </c>
      <c r="Z95" s="63">
        <f>IF(X95=Lists!$B$18,0,VLOOKUP(Y95,Amend_TOV,TOV!$F$1,FALSE))</f>
        <v>0</v>
      </c>
      <c r="AA95" s="117"/>
      <c r="AB95" s="316"/>
      <c r="AC95" s="98" t="s">
        <v>48</v>
      </c>
      <c r="AD95" s="367" t="str">
        <f>IF(AC95=Lists!$B$18,"N/A",VLOOKUP(AC95,Lists!$B$18:$C$26,Lists!$C$3,FALSE))</f>
        <v>N/A</v>
      </c>
      <c r="AE95" s="63">
        <f>IF(AC95=Lists!$B$18,0,VLOOKUP(AD95,Amend_TOV,TOV!$F$1,FALSE))</f>
        <v>0</v>
      </c>
      <c r="AF95" s="117"/>
      <c r="AG95" s="316"/>
      <c r="AH95" s="98" t="s">
        <v>48</v>
      </c>
      <c r="AI95" s="367" t="str">
        <f>IF(AH95=Lists!$B$18,"N/A",VLOOKUP(AH95,Lists!$B$18:$C$26,Lists!$C$3,FALSE))</f>
        <v>N/A</v>
      </c>
      <c r="AJ95" s="63">
        <f>IF(AH95=Lists!$B$18,0,VLOOKUP(AI95,Amend_TOV,TOV!$F$1,FALSE))</f>
        <v>0</v>
      </c>
      <c r="AK95" s="117"/>
      <c r="AL95" s="351">
        <f t="shared" si="33"/>
        <v>0</v>
      </c>
      <c r="AM95" s="316">
        <f t="shared" si="45"/>
        <v>0</v>
      </c>
      <c r="AN95" s="66">
        <v>1</v>
      </c>
      <c r="AO95" s="66"/>
      <c r="AP95" s="67">
        <f t="shared" si="46"/>
        <v>0</v>
      </c>
      <c r="AQ95" s="16" t="str">
        <f t="shared" si="47"/>
        <v>No Alert</v>
      </c>
      <c r="AR95" s="351">
        <f t="shared" si="34"/>
        <v>0</v>
      </c>
      <c r="AS95" s="351">
        <f t="shared" si="35"/>
        <v>0</v>
      </c>
      <c r="AT95" s="264">
        <f t="shared" si="36"/>
        <v>0</v>
      </c>
      <c r="AU95" s="1197">
        <f t="shared" si="37"/>
        <v>0</v>
      </c>
      <c r="AV95" s="1198">
        <f t="shared" si="38"/>
        <v>0</v>
      </c>
      <c r="AW95" s="215"/>
      <c r="AX95" s="217"/>
      <c r="AY95" s="217"/>
      <c r="AZ95" s="217"/>
      <c r="BA95" s="217"/>
      <c r="BB95" s="217"/>
      <c r="BC95" s="217"/>
      <c r="BD95" s="218"/>
      <c r="CV95" s="768"/>
      <c r="CW95" s="768"/>
      <c r="CX95" s="768"/>
      <c r="CY95" s="768"/>
      <c r="CZ95" s="768"/>
      <c r="DA95" s="768"/>
      <c r="DB95" s="768"/>
      <c r="DC95" s="768"/>
      <c r="DD95" s="768"/>
    </row>
    <row r="96" spans="2:152" s="520" customFormat="1" ht="15">
      <c r="B96" s="616" t="str">
        <f t="shared" si="39"/>
        <v/>
      </c>
      <c r="C96" s="1164">
        <v>18</v>
      </c>
      <c r="D96" s="750" t="str">
        <f t="shared" si="40"/>
        <v>Pit 18</v>
      </c>
      <c r="E96" s="324">
        <f t="shared" si="26"/>
        <v>0</v>
      </c>
      <c r="F96" s="324">
        <f t="shared" si="41"/>
        <v>0</v>
      </c>
      <c r="G96" s="351">
        <f t="shared" si="42"/>
        <v>0</v>
      </c>
      <c r="H96" s="324">
        <f t="shared" si="43"/>
        <v>0</v>
      </c>
      <c r="I96" s="37" t="s">
        <v>428</v>
      </c>
      <c r="J96" s="37" t="s">
        <v>411</v>
      </c>
      <c r="K96" s="47" t="s">
        <v>3</v>
      </c>
      <c r="L96" s="161">
        <f t="shared" si="27"/>
        <v>1.9221853757639424</v>
      </c>
      <c r="M96" s="351">
        <f t="shared" si="44"/>
        <v>0</v>
      </c>
      <c r="N96" s="63">
        <f t="shared" si="28"/>
        <v>8904.769113128099</v>
      </c>
      <c r="O96" s="351">
        <f t="shared" si="29"/>
        <v>0</v>
      </c>
      <c r="P96" s="316"/>
      <c r="Q96" s="318"/>
      <c r="R96" s="319">
        <f t="shared" si="30"/>
        <v>0</v>
      </c>
      <c r="S96" s="37" t="s">
        <v>125</v>
      </c>
      <c r="T96" s="47" t="s">
        <v>349</v>
      </c>
      <c r="U96" s="63">
        <f t="shared" si="31"/>
        <v>6.2664411871606829</v>
      </c>
      <c r="V96" s="351">
        <f t="shared" si="32"/>
        <v>0</v>
      </c>
      <c r="W96" s="316"/>
      <c r="X96" s="195" t="s">
        <v>48</v>
      </c>
      <c r="Y96" s="1096" t="str">
        <f>IF(X96=Lists!$B$18,"N/A",VLOOKUP(X96,Lists!$B$18:$C$26,Lists!$C$3,FALSE))</f>
        <v>N/A</v>
      </c>
      <c r="Z96" s="63">
        <f>IF(X96=Lists!$B$18,0,VLOOKUP(Y96,Amend_TOV,TOV!$F$1,FALSE))</f>
        <v>0</v>
      </c>
      <c r="AA96" s="117"/>
      <c r="AB96" s="316"/>
      <c r="AC96" s="98" t="s">
        <v>48</v>
      </c>
      <c r="AD96" s="367" t="str">
        <f>IF(AC96=Lists!$B$18,"N/A",VLOOKUP(AC96,Lists!$B$18:$C$26,Lists!$C$3,FALSE))</f>
        <v>N/A</v>
      </c>
      <c r="AE96" s="63">
        <f>IF(AC96=Lists!$B$18,0,VLOOKUP(AD96,Amend_TOV,TOV!$F$1,FALSE))</f>
        <v>0</v>
      </c>
      <c r="AF96" s="117"/>
      <c r="AG96" s="316"/>
      <c r="AH96" s="98" t="s">
        <v>48</v>
      </c>
      <c r="AI96" s="367" t="str">
        <f>IF(AH96=Lists!$B$18,"N/A",VLOOKUP(AH96,Lists!$B$18:$C$26,Lists!$C$3,FALSE))</f>
        <v>N/A</v>
      </c>
      <c r="AJ96" s="63">
        <f>IF(AH96=Lists!$B$18,0,VLOOKUP(AI96,Amend_TOV,TOV!$F$1,FALSE))</f>
        <v>0</v>
      </c>
      <c r="AK96" s="117"/>
      <c r="AL96" s="351">
        <f t="shared" si="33"/>
        <v>0</v>
      </c>
      <c r="AM96" s="316">
        <f t="shared" si="45"/>
        <v>0</v>
      </c>
      <c r="AN96" s="66">
        <v>1</v>
      </c>
      <c r="AO96" s="66"/>
      <c r="AP96" s="67">
        <f t="shared" si="46"/>
        <v>0</v>
      </c>
      <c r="AQ96" s="16" t="str">
        <f t="shared" si="47"/>
        <v>No Alert</v>
      </c>
      <c r="AR96" s="351">
        <f t="shared" si="34"/>
        <v>0</v>
      </c>
      <c r="AS96" s="351">
        <f t="shared" si="35"/>
        <v>0</v>
      </c>
      <c r="AT96" s="264">
        <f t="shared" si="36"/>
        <v>0</v>
      </c>
      <c r="AU96" s="1197">
        <f t="shared" si="37"/>
        <v>0</v>
      </c>
      <c r="AV96" s="1198">
        <f t="shared" si="38"/>
        <v>0</v>
      </c>
      <c r="AW96" s="215"/>
      <c r="AX96" s="217"/>
      <c r="AY96" s="217"/>
      <c r="AZ96" s="217"/>
      <c r="BA96" s="217"/>
      <c r="BB96" s="217"/>
      <c r="BC96" s="217"/>
      <c r="BD96" s="218"/>
      <c r="CV96" s="768"/>
      <c r="CW96" s="768"/>
      <c r="CX96" s="768"/>
      <c r="CY96" s="768"/>
      <c r="CZ96" s="768"/>
      <c r="DA96" s="768"/>
      <c r="DB96" s="768"/>
      <c r="DC96" s="768"/>
      <c r="DD96" s="768"/>
    </row>
    <row r="97" spans="2:111" s="520" customFormat="1" ht="15">
      <c r="B97" s="616" t="str">
        <f t="shared" si="39"/>
        <v/>
      </c>
      <c r="C97" s="1164">
        <v>19</v>
      </c>
      <c r="D97" s="750" t="str">
        <f t="shared" si="40"/>
        <v>Pit 19</v>
      </c>
      <c r="E97" s="324">
        <f t="shared" si="26"/>
        <v>0</v>
      </c>
      <c r="F97" s="324">
        <f t="shared" si="41"/>
        <v>0</v>
      </c>
      <c r="G97" s="351">
        <f t="shared" si="42"/>
        <v>0</v>
      </c>
      <c r="H97" s="324">
        <f t="shared" si="43"/>
        <v>0</v>
      </c>
      <c r="I97" s="37" t="s">
        <v>428</v>
      </c>
      <c r="J97" s="37" t="s">
        <v>411</v>
      </c>
      <c r="K97" s="47" t="s">
        <v>3</v>
      </c>
      <c r="L97" s="161">
        <f t="shared" si="27"/>
        <v>1.9221853757639424</v>
      </c>
      <c r="M97" s="351">
        <f t="shared" si="44"/>
        <v>0</v>
      </c>
      <c r="N97" s="63">
        <f t="shared" si="28"/>
        <v>8904.769113128099</v>
      </c>
      <c r="O97" s="351">
        <f t="shared" si="29"/>
        <v>0</v>
      </c>
      <c r="P97" s="316"/>
      <c r="Q97" s="318"/>
      <c r="R97" s="319">
        <f t="shared" si="30"/>
        <v>0</v>
      </c>
      <c r="S97" s="37" t="s">
        <v>125</v>
      </c>
      <c r="T97" s="47" t="s">
        <v>349</v>
      </c>
      <c r="U97" s="63">
        <f t="shared" si="31"/>
        <v>6.2664411871606829</v>
      </c>
      <c r="V97" s="351">
        <f t="shared" si="32"/>
        <v>0</v>
      </c>
      <c r="W97" s="316"/>
      <c r="X97" s="195" t="s">
        <v>48</v>
      </c>
      <c r="Y97" s="1096" t="str">
        <f>IF(X97=Lists!$B$18,"N/A",VLOOKUP(X97,Lists!$B$18:$C$26,Lists!$C$3,FALSE))</f>
        <v>N/A</v>
      </c>
      <c r="Z97" s="63">
        <f>IF(X97=Lists!$B$18,0,VLOOKUP(Y97,Amend_TOV,TOV!$F$1,FALSE))</f>
        <v>0</v>
      </c>
      <c r="AA97" s="117"/>
      <c r="AB97" s="316"/>
      <c r="AC97" s="98" t="s">
        <v>48</v>
      </c>
      <c r="AD97" s="367" t="str">
        <f>IF(AC97=Lists!$B$18,"N/A",VLOOKUP(AC97,Lists!$B$18:$C$26,Lists!$C$3,FALSE))</f>
        <v>N/A</v>
      </c>
      <c r="AE97" s="63">
        <f>IF(AC97=Lists!$B$18,0,VLOOKUP(AD97,Amend_TOV,TOV!$F$1,FALSE))</f>
        <v>0</v>
      </c>
      <c r="AF97" s="117"/>
      <c r="AG97" s="316"/>
      <c r="AH97" s="98" t="s">
        <v>48</v>
      </c>
      <c r="AI97" s="367" t="str">
        <f>IF(AH97=Lists!$B$18,"N/A",VLOOKUP(AH97,Lists!$B$18:$C$26,Lists!$C$3,FALSE))</f>
        <v>N/A</v>
      </c>
      <c r="AJ97" s="63">
        <f>IF(AH97=Lists!$B$18,0,VLOOKUP(AI97,Amend_TOV,TOV!$F$1,FALSE))</f>
        <v>0</v>
      </c>
      <c r="AK97" s="117"/>
      <c r="AL97" s="351">
        <f t="shared" si="33"/>
        <v>0</v>
      </c>
      <c r="AM97" s="316">
        <f t="shared" si="45"/>
        <v>0</v>
      </c>
      <c r="AN97" s="66">
        <v>1</v>
      </c>
      <c r="AO97" s="66"/>
      <c r="AP97" s="67">
        <f t="shared" si="46"/>
        <v>0</v>
      </c>
      <c r="AQ97" s="16" t="str">
        <f t="shared" si="47"/>
        <v>No Alert</v>
      </c>
      <c r="AR97" s="351">
        <f t="shared" si="34"/>
        <v>0</v>
      </c>
      <c r="AS97" s="351">
        <f t="shared" si="35"/>
        <v>0</v>
      </c>
      <c r="AT97" s="264">
        <f t="shared" si="36"/>
        <v>0</v>
      </c>
      <c r="AU97" s="1197">
        <f t="shared" si="37"/>
        <v>0</v>
      </c>
      <c r="AV97" s="1198">
        <f t="shared" si="38"/>
        <v>0</v>
      </c>
      <c r="AW97" s="215"/>
      <c r="AX97" s="217"/>
      <c r="AY97" s="217"/>
      <c r="AZ97" s="217"/>
      <c r="BA97" s="217"/>
      <c r="BB97" s="217"/>
      <c r="BC97" s="217"/>
      <c r="BD97" s="218"/>
      <c r="CV97" s="768"/>
      <c r="CW97" s="768"/>
      <c r="CX97" s="768"/>
      <c r="CY97" s="768"/>
      <c r="CZ97" s="768"/>
      <c r="DA97" s="768"/>
      <c r="DB97" s="768"/>
      <c r="DC97" s="768"/>
      <c r="DD97" s="768"/>
    </row>
    <row r="98" spans="2:111" s="520" customFormat="1" ht="15">
      <c r="B98" s="616" t="str">
        <f t="shared" si="39"/>
        <v/>
      </c>
      <c r="C98" s="1164">
        <v>20</v>
      </c>
      <c r="D98" s="750" t="str">
        <f t="shared" si="40"/>
        <v>Pit 20</v>
      </c>
      <c r="E98" s="324">
        <f t="shared" si="26"/>
        <v>0</v>
      </c>
      <c r="F98" s="324">
        <f t="shared" si="41"/>
        <v>0</v>
      </c>
      <c r="G98" s="351">
        <f t="shared" si="42"/>
        <v>0</v>
      </c>
      <c r="H98" s="324">
        <f t="shared" si="43"/>
        <v>0</v>
      </c>
      <c r="I98" s="37" t="s">
        <v>428</v>
      </c>
      <c r="J98" s="37" t="s">
        <v>411</v>
      </c>
      <c r="K98" s="47" t="s">
        <v>3</v>
      </c>
      <c r="L98" s="161">
        <f t="shared" si="27"/>
        <v>1.9221853757639424</v>
      </c>
      <c r="M98" s="351">
        <f t="shared" si="44"/>
        <v>0</v>
      </c>
      <c r="N98" s="63">
        <f t="shared" si="28"/>
        <v>8904.769113128099</v>
      </c>
      <c r="O98" s="351">
        <f t="shared" si="29"/>
        <v>0</v>
      </c>
      <c r="P98" s="316"/>
      <c r="Q98" s="318"/>
      <c r="R98" s="319">
        <f t="shared" si="30"/>
        <v>0</v>
      </c>
      <c r="S98" s="37" t="s">
        <v>125</v>
      </c>
      <c r="T98" s="47" t="s">
        <v>349</v>
      </c>
      <c r="U98" s="63">
        <f t="shared" si="31"/>
        <v>6.2664411871606829</v>
      </c>
      <c r="V98" s="351">
        <f t="shared" si="32"/>
        <v>0</v>
      </c>
      <c r="W98" s="316">
        <v>1</v>
      </c>
      <c r="X98" s="195" t="s">
        <v>48</v>
      </c>
      <c r="Y98" s="1096" t="str">
        <f>IF(X98=Lists!$B$18,"N/A",VLOOKUP(X98,Lists!$B$18:$C$26,Lists!$C$3,FALSE))</f>
        <v>N/A</v>
      </c>
      <c r="Z98" s="63">
        <f>IF(X98=Lists!$B$18,0,VLOOKUP(Y98,Amend_TOV,TOV!$F$1,FALSE))</f>
        <v>0</v>
      </c>
      <c r="AA98" s="117"/>
      <c r="AB98" s="316"/>
      <c r="AC98" s="98" t="s">
        <v>48</v>
      </c>
      <c r="AD98" s="367" t="str">
        <f>IF(AC98=Lists!$B$18,"N/A",VLOOKUP(AC98,Lists!$B$18:$C$26,Lists!$C$3,FALSE))</f>
        <v>N/A</v>
      </c>
      <c r="AE98" s="63">
        <f>IF(AC98=Lists!$B$18,0,VLOOKUP(AD98,Amend_TOV,TOV!$F$1,FALSE))</f>
        <v>0</v>
      </c>
      <c r="AF98" s="117"/>
      <c r="AG98" s="316"/>
      <c r="AH98" s="98" t="s">
        <v>48</v>
      </c>
      <c r="AI98" s="367" t="str">
        <f>IF(AH98=Lists!$B$18,"N/A",VLOOKUP(AH98,Lists!$B$18:$C$26,Lists!$C$3,FALSE))</f>
        <v>N/A</v>
      </c>
      <c r="AJ98" s="63">
        <f>IF(AH98=Lists!$B$18,0,VLOOKUP(AI98,Amend_TOV,TOV!$F$1,FALSE))</f>
        <v>0</v>
      </c>
      <c r="AK98" s="117"/>
      <c r="AL98" s="351">
        <f t="shared" si="33"/>
        <v>0</v>
      </c>
      <c r="AM98" s="316">
        <f t="shared" si="45"/>
        <v>0</v>
      </c>
      <c r="AN98" s="66">
        <v>1</v>
      </c>
      <c r="AO98" s="66"/>
      <c r="AP98" s="67">
        <f t="shared" si="46"/>
        <v>0</v>
      </c>
      <c r="AQ98" s="16" t="str">
        <f t="shared" si="47"/>
        <v>No Alert</v>
      </c>
      <c r="AR98" s="351">
        <f t="shared" si="34"/>
        <v>0</v>
      </c>
      <c r="AS98" s="351">
        <f t="shared" si="35"/>
        <v>0</v>
      </c>
      <c r="AT98" s="264">
        <f t="shared" si="36"/>
        <v>0</v>
      </c>
      <c r="AU98" s="1197">
        <f t="shared" si="37"/>
        <v>0</v>
      </c>
      <c r="AV98" s="1198">
        <f t="shared" si="38"/>
        <v>0</v>
      </c>
      <c r="AW98" s="215"/>
      <c r="AX98" s="217"/>
      <c r="AY98" s="217"/>
      <c r="AZ98" s="217"/>
      <c r="BA98" s="217"/>
      <c r="BB98" s="217"/>
      <c r="BC98" s="217"/>
      <c r="BD98" s="218"/>
      <c r="CV98" s="768"/>
      <c r="CW98" s="768"/>
      <c r="CX98" s="768"/>
      <c r="CY98" s="768"/>
      <c r="CZ98" s="768"/>
      <c r="DA98" s="768"/>
      <c r="DB98" s="768"/>
      <c r="DC98" s="768"/>
      <c r="DD98" s="768"/>
    </row>
    <row r="99" spans="2:111" s="520" customFormat="1" ht="18" customHeight="1">
      <c r="E99" s="869"/>
      <c r="F99" s="869"/>
      <c r="G99" s="869"/>
      <c r="H99" s="869"/>
      <c r="W99" s="869"/>
      <c r="AB99" s="869"/>
      <c r="AG99" s="869"/>
      <c r="AM99" s="869"/>
      <c r="AR99" s="872"/>
      <c r="AS99" s="872"/>
      <c r="AV99" s="768"/>
      <c r="AZ99" s="475"/>
      <c r="BA99" s="475"/>
      <c r="BB99" s="475"/>
      <c r="BC99" s="768"/>
      <c r="CV99" s="768"/>
      <c r="CW99" s="768"/>
      <c r="CX99" s="768"/>
      <c r="CY99" s="768"/>
      <c r="CZ99" s="768"/>
      <c r="DA99" s="768"/>
      <c r="DB99" s="768"/>
      <c r="DC99" s="768"/>
      <c r="DD99" s="768"/>
    </row>
    <row r="100" spans="2:111" s="520" customFormat="1" ht="18" customHeight="1">
      <c r="E100" s="372">
        <f t="shared" ref="E100:H100" si="48">SUM(E78:E99)</f>
        <v>0</v>
      </c>
      <c r="F100" s="372">
        <f t="shared" si="48"/>
        <v>0</v>
      </c>
      <c r="G100" s="351">
        <f>SUM(G78:G99)</f>
        <v>0</v>
      </c>
      <c r="H100" s="372">
        <f t="shared" si="48"/>
        <v>0</v>
      </c>
      <c r="M100" s="351">
        <f>SUM(M78:M99)</f>
        <v>0</v>
      </c>
      <c r="N100" s="791"/>
      <c r="O100" s="351">
        <f>SUM(O78:O99)</f>
        <v>0</v>
      </c>
      <c r="Q100" s="372">
        <f>SUM(Q78:Q99)</f>
        <v>0</v>
      </c>
      <c r="R100" s="372">
        <f>SUM(R78:R99)</f>
        <v>0</v>
      </c>
      <c r="S100" s="475"/>
      <c r="T100" s="475"/>
      <c r="U100" s="475"/>
      <c r="V100" s="351">
        <f>SUM(V78:V99)</f>
        <v>0</v>
      </c>
      <c r="W100" s="372">
        <f>SUM(W78:W99)</f>
        <v>1</v>
      </c>
      <c r="AB100" s="372">
        <f>SUM(AB78:AB99)</f>
        <v>0</v>
      </c>
      <c r="AG100" s="372">
        <f>SUM(AG78:AG99)</f>
        <v>0</v>
      </c>
      <c r="AL100" s="351">
        <f>SUM(AL78:AL99)</f>
        <v>0</v>
      </c>
      <c r="AM100" s="372">
        <f>SUM(AM78:AM99)</f>
        <v>0</v>
      </c>
      <c r="AR100" s="351">
        <f t="shared" ref="AR100:AT100" si="49">SUM(AR78:AR99)</f>
        <v>0</v>
      </c>
      <c r="AS100" s="351">
        <f t="shared" si="49"/>
        <v>0</v>
      </c>
      <c r="AT100" s="1046">
        <f t="shared" si="49"/>
        <v>0</v>
      </c>
      <c r="AU100" s="351">
        <f>IF(AT100="E","E",IF(E100=0,0,AT100/E100))</f>
        <v>0</v>
      </c>
      <c r="AV100" s="768"/>
      <c r="BC100" s="768"/>
      <c r="CV100" s="768"/>
      <c r="CW100" s="768"/>
      <c r="CX100" s="768"/>
      <c r="CY100" s="768"/>
      <c r="CZ100" s="768"/>
      <c r="DA100" s="768"/>
      <c r="DB100" s="768"/>
      <c r="DC100" s="768"/>
      <c r="DD100" s="768"/>
    </row>
    <row r="101" spans="2:111" ht="18" customHeight="1">
      <c r="E101" s="475"/>
      <c r="F101" s="475"/>
      <c r="J101" s="475"/>
      <c r="K101" s="475"/>
      <c r="L101" s="475"/>
      <c r="M101" s="475"/>
      <c r="N101" s="768"/>
      <c r="P101" s="520"/>
      <c r="Q101" s="475"/>
      <c r="R101" s="475"/>
      <c r="S101" s="475"/>
      <c r="T101" s="475"/>
      <c r="U101" s="475"/>
      <c r="V101" s="475"/>
      <c r="W101" s="475"/>
      <c r="X101" s="475"/>
      <c r="Y101" s="475"/>
      <c r="Z101" s="475"/>
      <c r="AA101" s="475"/>
      <c r="AB101" s="475"/>
      <c r="AC101" s="475"/>
      <c r="AD101" s="475"/>
      <c r="AE101" s="475"/>
      <c r="AF101" s="475"/>
      <c r="AG101" s="475"/>
      <c r="AH101" s="475"/>
      <c r="AI101" s="475"/>
      <c r="AJ101" s="475"/>
      <c r="AM101" s="475"/>
      <c r="AN101" s="475"/>
      <c r="AO101" s="475"/>
      <c r="AP101" s="475"/>
      <c r="AQ101" s="475"/>
      <c r="AR101" s="475"/>
      <c r="AS101" s="475"/>
      <c r="AT101" s="475"/>
      <c r="AU101" s="475"/>
      <c r="AV101" s="475"/>
      <c r="AW101" s="475"/>
      <c r="AX101" s="475"/>
      <c r="AY101" s="475"/>
      <c r="AZ101" s="475"/>
      <c r="BA101" s="475"/>
      <c r="BB101" s="475"/>
      <c r="CF101" s="475"/>
      <c r="CG101" s="475"/>
      <c r="CH101" s="475"/>
      <c r="CI101" s="475"/>
      <c r="CJ101" s="475"/>
      <c r="CK101" s="475"/>
      <c r="CL101" s="475"/>
      <c r="CM101" s="475"/>
      <c r="CN101" s="475"/>
      <c r="CT101" s="474"/>
      <c r="CU101" s="474"/>
      <c r="CV101" s="474"/>
      <c r="CW101" s="474"/>
      <c r="CX101" s="474"/>
      <c r="CY101" s="474"/>
      <c r="CZ101" s="474"/>
      <c r="DA101" s="474"/>
      <c r="DB101" s="474"/>
    </row>
    <row r="102" spans="2:111" ht="18" customHeight="1">
      <c r="E102" s="475"/>
      <c r="F102" s="475"/>
      <c r="G102" s="475"/>
      <c r="H102" s="475"/>
      <c r="I102" s="475"/>
      <c r="J102" s="475"/>
      <c r="K102" s="475"/>
      <c r="L102" s="47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475"/>
      <c r="AY102" s="475"/>
      <c r="AZ102" s="475"/>
      <c r="BG102" s="474"/>
      <c r="BH102" s="474"/>
      <c r="BI102" s="474"/>
      <c r="BJ102" s="474"/>
      <c r="BK102" s="474"/>
      <c r="CF102" s="475"/>
      <c r="CG102" s="475"/>
      <c r="CH102" s="475"/>
      <c r="CI102" s="475"/>
      <c r="CJ102" s="475"/>
      <c r="CK102" s="475"/>
      <c r="CL102" s="475"/>
      <c r="CM102" s="475"/>
      <c r="CN102" s="475"/>
      <c r="CY102" s="474"/>
      <c r="CZ102" s="474"/>
      <c r="DA102" s="474"/>
      <c r="DB102" s="474"/>
      <c r="DC102" s="474"/>
      <c r="DD102" s="474"/>
      <c r="DE102" s="474"/>
      <c r="DF102" s="474"/>
      <c r="DG102" s="474"/>
    </row>
    <row r="103" spans="2:111" ht="18" customHeight="1">
      <c r="F103" s="475"/>
      <c r="I103" s="475"/>
      <c r="J103" s="475"/>
      <c r="K103" s="475"/>
      <c r="L103" s="475"/>
      <c r="M103" s="475"/>
      <c r="P103" s="475"/>
      <c r="Q103" s="475"/>
      <c r="R103" s="475"/>
      <c r="S103" s="475"/>
      <c r="V103" s="475"/>
      <c r="W103" s="475"/>
      <c r="X103" s="475"/>
      <c r="Y103" s="475"/>
      <c r="Z103" s="475"/>
      <c r="AA103" s="475"/>
      <c r="AE103" s="475"/>
      <c r="AF103" s="475"/>
      <c r="AG103" s="475"/>
      <c r="AH103" s="475"/>
      <c r="AI103" s="475"/>
      <c r="AJ103" s="475"/>
      <c r="AU103" s="906" t="str">
        <f>IF(AU106="","No Alert","Enter justification")</f>
        <v>No Alert</v>
      </c>
      <c r="AV103" s="906" t="str">
        <f>IF(AV106="","No Alert","Enter justification")</f>
        <v>No Alert</v>
      </c>
      <c r="AW103" s="475"/>
      <c r="AX103" s="520"/>
      <c r="AY103" s="520"/>
      <c r="AZ103" s="475"/>
      <c r="BA103" s="520"/>
      <c r="BB103" s="520"/>
      <c r="BC103" s="520"/>
      <c r="BE103" s="520"/>
      <c r="BY103" s="474"/>
      <c r="BZ103" s="474"/>
      <c r="CA103" s="474"/>
      <c r="CB103" s="474"/>
      <c r="CC103" s="474"/>
      <c r="CD103" s="474"/>
      <c r="CE103" s="474"/>
      <c r="CH103" s="475"/>
      <c r="CI103" s="475"/>
      <c r="CJ103" s="475"/>
      <c r="CK103" s="475"/>
      <c r="CL103" s="475"/>
      <c r="CM103" s="475"/>
      <c r="CN103" s="475"/>
    </row>
    <row r="104" spans="2:111" ht="18" customHeight="1">
      <c r="F104" s="475"/>
      <c r="G104" s="475"/>
      <c r="H104" s="475"/>
      <c r="I104" s="475"/>
      <c r="J104" s="475"/>
      <c r="K104" s="475"/>
      <c r="L104" s="475"/>
      <c r="M104" s="475"/>
      <c r="N104" s="475"/>
      <c r="R104" s="475"/>
      <c r="S104" s="475"/>
      <c r="T104" s="475"/>
      <c r="U104" s="475"/>
      <c r="V104" s="475"/>
      <c r="W104" s="475"/>
      <c r="Z104" s="475"/>
      <c r="AA104" s="475"/>
      <c r="AB104" s="475"/>
      <c r="AC104" s="475"/>
      <c r="AD104" s="475"/>
      <c r="AE104" s="475"/>
      <c r="AF104" s="475"/>
      <c r="AG104" s="475"/>
      <c r="AH104" s="475"/>
      <c r="AI104" s="475"/>
      <c r="AJ104" s="475"/>
      <c r="AK104" s="475"/>
      <c r="AL104" s="475"/>
      <c r="AM104" s="475"/>
      <c r="AN104" s="475"/>
      <c r="AO104" s="475"/>
      <c r="AT104" s="848" t="s">
        <v>1596</v>
      </c>
      <c r="AU104" s="828" t="str">
        <f>TOV!$C$575</f>
        <v>#14.40</v>
      </c>
      <c r="AV104" s="828" t="str">
        <f>TOV!$C$576</f>
        <v>#14.41</v>
      </c>
      <c r="AW104" s="475"/>
      <c r="AX104" s="475"/>
      <c r="AZ104" s="475"/>
      <c r="BA104" s="475"/>
      <c r="BB104" s="475"/>
      <c r="BE104" s="474"/>
      <c r="BF104" s="474"/>
      <c r="BG104" s="474"/>
      <c r="BH104" s="474"/>
      <c r="BI104" s="474"/>
      <c r="BJ104" s="474"/>
      <c r="BK104" s="474"/>
      <c r="BR104" s="474"/>
      <c r="BS104" s="474"/>
      <c r="BT104" s="474"/>
      <c r="BU104" s="474"/>
      <c r="BV104" s="474"/>
      <c r="BW104" s="474"/>
      <c r="CF104" s="475"/>
      <c r="CG104" s="475"/>
      <c r="CH104" s="475"/>
      <c r="CI104" s="475"/>
      <c r="CJ104" s="475"/>
      <c r="CK104" s="475"/>
      <c r="CL104" s="475"/>
      <c r="CM104" s="475"/>
      <c r="CN104" s="475"/>
      <c r="CO104" s="474"/>
      <c r="CP104" s="474"/>
      <c r="CQ104" s="474"/>
      <c r="CR104" s="474"/>
      <c r="CS104" s="474"/>
      <c r="CT104" s="474"/>
      <c r="CU104" s="474"/>
      <c r="CV104" s="474"/>
      <c r="CW104" s="474"/>
    </row>
    <row r="105" spans="2:111" ht="18" customHeight="1">
      <c r="G105" s="475"/>
      <c r="H105" s="475"/>
      <c r="I105" s="475"/>
      <c r="J105" s="475"/>
      <c r="K105" s="475"/>
      <c r="L105" s="475"/>
      <c r="M105" s="475"/>
      <c r="R105" s="475"/>
      <c r="S105" s="475"/>
      <c r="T105" s="475"/>
      <c r="U105" s="475"/>
      <c r="V105" s="475"/>
      <c r="W105" s="475"/>
      <c r="Z105" s="475"/>
      <c r="AA105" s="475"/>
      <c r="AB105" s="475"/>
      <c r="AC105" s="475"/>
      <c r="AD105" s="475"/>
      <c r="AE105" s="475"/>
      <c r="AF105" s="475"/>
      <c r="AG105" s="475"/>
      <c r="AH105" s="475"/>
      <c r="AI105" s="475"/>
      <c r="AJ105" s="475"/>
      <c r="AK105" s="475"/>
      <c r="AL105" s="475"/>
      <c r="AM105" s="475"/>
      <c r="AN105" s="475"/>
      <c r="AO105" s="475"/>
      <c r="AT105" s="848" t="s">
        <v>35</v>
      </c>
      <c r="AU105" s="81"/>
      <c r="AV105" s="81">
        <f>VLOOKUP(AV104,TOV!$C$536:$G$585,TOV!$F$1,FALSE)</f>
        <v>4196.5</v>
      </c>
      <c r="AW105" s="475"/>
      <c r="AX105" s="475"/>
      <c r="AZ105" s="475"/>
      <c r="BA105" s="475"/>
      <c r="BB105" s="475"/>
      <c r="BE105" s="474"/>
      <c r="BF105" s="474"/>
      <c r="BG105" s="474"/>
      <c r="BH105" s="474"/>
      <c r="BI105" s="474"/>
      <c r="BJ105" s="474"/>
      <c r="BK105" s="474"/>
      <c r="CF105" s="475"/>
      <c r="CG105" s="475"/>
      <c r="CH105" s="475"/>
      <c r="CI105" s="475"/>
      <c r="CJ105" s="475"/>
      <c r="CK105" s="475"/>
      <c r="CL105" s="475"/>
      <c r="CM105" s="475"/>
      <c r="CN105" s="475"/>
      <c r="CO105" s="474"/>
      <c r="CP105" s="474"/>
      <c r="CQ105" s="474"/>
      <c r="CR105" s="474"/>
      <c r="CS105" s="474"/>
      <c r="CT105" s="474"/>
      <c r="CU105" s="474"/>
      <c r="CV105" s="474"/>
      <c r="CW105" s="474"/>
    </row>
    <row r="106" spans="2:111" ht="18" customHeight="1">
      <c r="G106" s="475"/>
      <c r="H106" s="475"/>
      <c r="I106" s="475"/>
      <c r="J106" s="475"/>
      <c r="K106" s="475"/>
      <c r="L106" s="475"/>
      <c r="M106" s="475"/>
      <c r="R106" s="475"/>
      <c r="S106" s="475"/>
      <c r="T106" s="475"/>
      <c r="U106" s="475"/>
      <c r="V106" s="475"/>
      <c r="W106" s="475"/>
      <c r="Z106" s="475"/>
      <c r="AA106" s="475"/>
      <c r="AB106" s="475"/>
      <c r="AC106" s="475"/>
      <c r="AD106" s="475"/>
      <c r="AE106" s="475"/>
      <c r="AF106" s="475"/>
      <c r="AG106" s="475"/>
      <c r="AH106" s="475"/>
      <c r="AI106" s="475"/>
      <c r="AJ106" s="475"/>
      <c r="AK106" s="475"/>
      <c r="AL106" s="475"/>
      <c r="AM106" s="475"/>
      <c r="AN106" s="475"/>
      <c r="AO106" s="475"/>
      <c r="AT106" s="848" t="s">
        <v>1556</v>
      </c>
      <c r="AU106" s="117"/>
      <c r="AV106" s="117"/>
      <c r="AW106" s="475"/>
      <c r="AX106" s="475"/>
      <c r="AZ106" s="475"/>
      <c r="BA106" s="475"/>
      <c r="BB106" s="475"/>
      <c r="BE106" s="474"/>
      <c r="BF106" s="474"/>
      <c r="BG106" s="474"/>
      <c r="BH106" s="474"/>
      <c r="BI106" s="474"/>
      <c r="BJ106" s="474"/>
      <c r="BK106" s="474"/>
      <c r="CF106" s="475"/>
      <c r="CG106" s="475"/>
      <c r="CH106" s="475"/>
      <c r="CI106" s="475"/>
      <c r="CJ106" s="475"/>
      <c r="CK106" s="475"/>
      <c r="CL106" s="475"/>
      <c r="CM106" s="475"/>
      <c r="CN106" s="475"/>
      <c r="CO106" s="474"/>
      <c r="CP106" s="474"/>
      <c r="CQ106" s="474"/>
      <c r="CR106" s="474"/>
      <c r="CS106" s="474"/>
      <c r="CT106" s="474"/>
      <c r="CU106" s="474"/>
      <c r="CV106" s="474"/>
      <c r="CW106" s="474"/>
    </row>
    <row r="107" spans="2:111" ht="18" customHeight="1">
      <c r="B107" s="288" t="s">
        <v>26</v>
      </c>
      <c r="C107" s="1038" t="s">
        <v>2244</v>
      </c>
      <c r="D107" s="1039"/>
      <c r="G107" s="1199"/>
      <c r="H107" s="1199"/>
      <c r="I107" s="1199"/>
      <c r="J107" s="1199"/>
      <c r="K107" s="1199"/>
      <c r="L107" s="1199"/>
      <c r="M107" s="1199"/>
      <c r="R107" s="1199"/>
      <c r="S107" s="1193">
        <v>150</v>
      </c>
      <c r="T107" s="1200" t="s">
        <v>1543</v>
      </c>
      <c r="U107" s="1199"/>
      <c r="V107" s="1199"/>
      <c r="W107" s="1199"/>
      <c r="Z107" s="475"/>
      <c r="AA107" s="475"/>
      <c r="AB107" s="475"/>
      <c r="AC107" s="475"/>
      <c r="AD107" s="475"/>
      <c r="AE107" s="475"/>
      <c r="AF107" s="475"/>
      <c r="AG107" s="475"/>
      <c r="AH107" s="475"/>
      <c r="AI107" s="475"/>
      <c r="AJ107" s="475"/>
      <c r="AK107" s="475"/>
      <c r="AL107" s="475"/>
      <c r="AM107" s="475"/>
      <c r="AN107" s="475"/>
      <c r="AO107" s="475"/>
      <c r="AT107" s="848" t="s">
        <v>1597</v>
      </c>
      <c r="AU107" s="82" t="str">
        <f>VLOOKUP(AU104,TOV!$C$536:$G$585,TOV!$G$1,FALSE)</f>
        <v>ha</v>
      </c>
      <c r="AV107" s="82" t="str">
        <f>VLOOKUP(AV104,TOV!$C$536:$G$585,TOV!$G$1,FALSE)</f>
        <v>ha</v>
      </c>
      <c r="AW107" s="1199"/>
      <c r="AX107" s="1199"/>
      <c r="AZ107" s="1199"/>
      <c r="BA107" s="1199"/>
      <c r="BB107" s="1199"/>
      <c r="BC107" s="1199"/>
      <c r="BD107" s="1199"/>
      <c r="BE107" s="474"/>
      <c r="BF107" s="474"/>
      <c r="BG107" s="474"/>
      <c r="BH107" s="474"/>
      <c r="BI107" s="474"/>
      <c r="BJ107" s="474"/>
      <c r="BK107" s="474"/>
      <c r="CF107" s="475"/>
      <c r="CG107" s="475"/>
      <c r="CH107" s="475"/>
      <c r="CI107" s="475"/>
      <c r="CJ107" s="475"/>
      <c r="CK107" s="475"/>
      <c r="CL107" s="475"/>
      <c r="CM107" s="475"/>
      <c r="CN107" s="475"/>
      <c r="CO107" s="474"/>
      <c r="CP107" s="474"/>
      <c r="CQ107" s="474"/>
      <c r="CR107" s="474"/>
      <c r="CS107" s="474"/>
      <c r="CT107" s="474"/>
      <c r="CU107" s="474"/>
      <c r="CV107" s="474"/>
      <c r="CW107" s="474"/>
    </row>
    <row r="108" spans="2:111" ht="18" customHeight="1">
      <c r="B108" s="1176" t="s">
        <v>2152</v>
      </c>
      <c r="C108" s="1177"/>
      <c r="D108" s="1177"/>
      <c r="E108" s="1176" t="s">
        <v>2245</v>
      </c>
      <c r="F108" s="1177"/>
      <c r="G108" s="1177"/>
      <c r="H108" s="1177"/>
      <c r="I108" s="1177"/>
      <c r="J108" s="1177"/>
      <c r="K108" s="1177"/>
      <c r="L108" s="1177"/>
      <c r="M108" s="1177"/>
      <c r="N108" s="1176" t="s">
        <v>2246</v>
      </c>
      <c r="O108" s="1177"/>
      <c r="P108" s="1177"/>
      <c r="Q108" s="1177"/>
      <c r="R108" s="1177"/>
      <c r="S108" s="1176" t="s">
        <v>2227</v>
      </c>
      <c r="T108" s="1177"/>
      <c r="U108" s="1177"/>
      <c r="V108" s="1177"/>
      <c r="W108" s="1177"/>
      <c r="X108" s="1177"/>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177"/>
      <c r="AS108" s="1177"/>
      <c r="AT108" s="1177"/>
      <c r="AU108" s="1177"/>
      <c r="AV108" s="1178"/>
      <c r="BC108" s="474"/>
      <c r="BD108" s="474"/>
      <c r="BE108" s="474"/>
      <c r="BF108" s="474"/>
      <c r="BG108" s="474"/>
      <c r="BH108" s="474"/>
      <c r="BI108" s="474"/>
      <c r="BJ108" s="474"/>
      <c r="BK108" s="474"/>
      <c r="CF108" s="475"/>
      <c r="CG108" s="475"/>
      <c r="CH108" s="475"/>
      <c r="CI108" s="475"/>
      <c r="CJ108" s="475"/>
      <c r="CK108" s="475"/>
      <c r="CL108" s="475"/>
      <c r="CM108" s="475"/>
      <c r="CN108" s="475"/>
      <c r="CO108" s="474"/>
      <c r="CP108" s="474"/>
      <c r="CQ108" s="474"/>
      <c r="CR108" s="474"/>
      <c r="CS108" s="474"/>
      <c r="CT108" s="474"/>
      <c r="CU108" s="474"/>
      <c r="CV108" s="474"/>
      <c r="CW108" s="474"/>
    </row>
    <row r="109" spans="2:111" ht="51.6" customHeight="1">
      <c r="B109" s="774" t="s">
        <v>1517</v>
      </c>
      <c r="C109" s="773" t="s">
        <v>27</v>
      </c>
      <c r="D109" s="774" t="s">
        <v>1583</v>
      </c>
      <c r="E109" s="774" t="str">
        <f>K11</f>
        <v>Low wall area to make safe
(ha)</v>
      </c>
      <c r="F109" s="774" t="str">
        <f t="shared" ref="F109" si="50">L11</f>
        <v>Low wall volume to bulk push
(m3)</v>
      </c>
      <c r="G109" s="773" t="s">
        <v>2247</v>
      </c>
      <c r="H109" s="812" t="s">
        <v>2248</v>
      </c>
      <c r="I109" s="823" t="s">
        <v>17</v>
      </c>
      <c r="J109" s="774" t="s">
        <v>2231</v>
      </c>
      <c r="K109" s="774" t="s">
        <v>2232</v>
      </c>
      <c r="L109" s="774" t="s">
        <v>2249</v>
      </c>
      <c r="M109" s="774" t="s">
        <v>2250</v>
      </c>
      <c r="N109" s="774" t="str">
        <f>M11</f>
        <v>Low wall volume to load and haul
(m3)</v>
      </c>
      <c r="O109" s="812" t="s">
        <v>2251</v>
      </c>
      <c r="P109" s="823" t="s">
        <v>2252</v>
      </c>
      <c r="Q109" s="774" t="s">
        <v>2253</v>
      </c>
      <c r="R109" s="774" t="s">
        <v>2254</v>
      </c>
      <c r="S109" s="773" t="s">
        <v>1623</v>
      </c>
      <c r="T109" s="773" t="s">
        <v>1624</v>
      </c>
      <c r="U109" s="773" t="s">
        <v>1625</v>
      </c>
      <c r="V109" s="812" t="s">
        <v>2255</v>
      </c>
      <c r="W109" s="823" t="s">
        <v>2256</v>
      </c>
      <c r="X109" s="774" t="s">
        <v>2237</v>
      </c>
      <c r="Y109" s="774" t="s">
        <v>1703</v>
      </c>
      <c r="Z109" s="774" t="s">
        <v>1999</v>
      </c>
      <c r="AA109" s="812" t="s">
        <v>2000</v>
      </c>
      <c r="AB109" s="812" t="s">
        <v>2238</v>
      </c>
      <c r="AC109" s="774" t="s">
        <v>2002</v>
      </c>
      <c r="AD109" s="774" t="s">
        <v>2003</v>
      </c>
      <c r="AE109" s="774" t="s">
        <v>2004</v>
      </c>
      <c r="AF109" s="812" t="s">
        <v>2005</v>
      </c>
      <c r="AG109" s="863" t="s">
        <v>2239</v>
      </c>
      <c r="AH109" s="774" t="s">
        <v>2006</v>
      </c>
      <c r="AI109" s="774" t="s">
        <v>2007</v>
      </c>
      <c r="AJ109" s="774" t="s">
        <v>2008</v>
      </c>
      <c r="AK109" s="812" t="s">
        <v>2009</v>
      </c>
      <c r="AL109" s="863" t="s">
        <v>2240</v>
      </c>
      <c r="AM109" s="774" t="s">
        <v>2010</v>
      </c>
      <c r="AN109" s="774" t="s">
        <v>2011</v>
      </c>
      <c r="AO109" s="774" t="s">
        <v>2257</v>
      </c>
      <c r="AP109" s="773" t="s">
        <v>1626</v>
      </c>
      <c r="AQ109" s="773" t="s">
        <v>1627</v>
      </c>
      <c r="AR109" s="773" t="s">
        <v>1628</v>
      </c>
      <c r="AS109" s="773" t="s">
        <v>1629</v>
      </c>
      <c r="AT109" s="773" t="s">
        <v>1630</v>
      </c>
      <c r="AU109" s="773" t="s">
        <v>2046</v>
      </c>
      <c r="AV109" s="773" t="s">
        <v>2047</v>
      </c>
      <c r="AW109" s="775" t="s">
        <v>2258</v>
      </c>
      <c r="AX109" s="773" t="s">
        <v>2243</v>
      </c>
      <c r="AY109" s="776" t="s">
        <v>1526</v>
      </c>
      <c r="AZ109" s="777"/>
      <c r="BA109" s="777"/>
      <c r="BB109" s="777"/>
      <c r="BC109" s="777"/>
      <c r="BD109" s="777"/>
      <c r="BE109" s="777"/>
      <c r="BF109" s="778"/>
      <c r="BG109" s="474"/>
      <c r="BH109" s="474"/>
      <c r="BI109" s="474"/>
      <c r="BJ109" s="474"/>
      <c r="BK109" s="474"/>
      <c r="CF109" s="475"/>
      <c r="CG109" s="475"/>
      <c r="CH109" s="475"/>
      <c r="CI109" s="475"/>
      <c r="CJ109" s="475"/>
      <c r="CK109" s="475"/>
      <c r="CL109" s="475"/>
      <c r="CM109" s="475"/>
      <c r="CN109" s="475"/>
      <c r="CO109" s="474"/>
      <c r="CP109" s="474"/>
      <c r="CQ109" s="474"/>
      <c r="CR109" s="474"/>
      <c r="CS109" s="474"/>
      <c r="CT109" s="474"/>
      <c r="CU109" s="474"/>
      <c r="CV109" s="474"/>
      <c r="CW109" s="474"/>
    </row>
    <row r="110" spans="2:111" s="520" customFormat="1" ht="18" customHeight="1">
      <c r="B110" s="768"/>
      <c r="C110" s="768"/>
      <c r="D110" s="768"/>
      <c r="E110" s="1201"/>
      <c r="F110" s="768"/>
      <c r="G110" s="125" t="s">
        <v>1646</v>
      </c>
      <c r="H110" s="125" t="s">
        <v>1646</v>
      </c>
      <c r="I110" s="125" t="s">
        <v>1646</v>
      </c>
      <c r="J110" s="212" t="str">
        <f>Subrates_Table_2</f>
        <v>Subrates Table 2</v>
      </c>
      <c r="K110" s="768"/>
      <c r="L110" s="212" t="str">
        <f>Subrates_Table_3</f>
        <v>Subrates Table 3</v>
      </c>
      <c r="M110" s="768"/>
      <c r="N110" s="768"/>
      <c r="O110" s="125" t="s">
        <v>1646</v>
      </c>
      <c r="P110" s="125" t="s">
        <v>1646</v>
      </c>
      <c r="Q110" s="768"/>
      <c r="R110" s="768"/>
      <c r="S110" s="768"/>
      <c r="T110" s="768"/>
      <c r="U110" s="768"/>
      <c r="V110" s="125" t="s">
        <v>1646</v>
      </c>
      <c r="W110" s="125" t="s">
        <v>1646</v>
      </c>
      <c r="X110" s="225" t="str">
        <f>Subrates_Table_1</f>
        <v>Subrates Table 1</v>
      </c>
      <c r="Y110" s="768"/>
      <c r="Z110" s="277"/>
      <c r="AA110" s="125" t="s">
        <v>1646</v>
      </c>
      <c r="AB110" s="474"/>
      <c r="AC110" s="278"/>
      <c r="AD110" s="475"/>
      <c r="AE110" s="277"/>
      <c r="AF110" s="125" t="s">
        <v>1646</v>
      </c>
      <c r="AG110" s="772"/>
      <c r="AH110" s="278"/>
      <c r="AI110" s="475"/>
      <c r="AJ110" s="277"/>
      <c r="AK110" s="125" t="s">
        <v>1646</v>
      </c>
      <c r="AL110" s="772"/>
      <c r="AM110" s="278"/>
      <c r="AN110" s="475"/>
      <c r="AO110" s="475"/>
      <c r="AP110" s="768"/>
      <c r="AQ110" s="768"/>
      <c r="AR110" s="768"/>
      <c r="AS110" s="768"/>
      <c r="AT110" s="768"/>
      <c r="AU110" s="768"/>
      <c r="AV110" s="768"/>
      <c r="AW110" s="768"/>
      <c r="AX110" s="768"/>
      <c r="AY110" s="474"/>
      <c r="AZ110" s="474"/>
      <c r="BA110" s="474"/>
      <c r="BB110" s="474"/>
      <c r="BC110" s="474"/>
      <c r="BD110" s="474"/>
      <c r="BE110" s="474"/>
      <c r="BF110" s="474"/>
      <c r="BG110" s="768"/>
      <c r="BH110" s="768"/>
      <c r="BI110" s="768"/>
      <c r="BJ110" s="768"/>
      <c r="BK110" s="768"/>
      <c r="CO110" s="768"/>
      <c r="CP110" s="768"/>
      <c r="CQ110" s="768"/>
      <c r="CR110" s="768"/>
      <c r="CS110" s="768"/>
      <c r="CT110" s="768"/>
      <c r="CU110" s="768"/>
      <c r="CV110" s="768"/>
      <c r="CW110" s="768"/>
    </row>
    <row r="111" spans="2:111" s="520" customFormat="1" ht="15">
      <c r="B111" s="616" t="str">
        <f>IF(B13="","",B13)</f>
        <v/>
      </c>
      <c r="C111" s="1164">
        <v>1</v>
      </c>
      <c r="D111" s="750" t="str">
        <f t="shared" ref="D111:D130" si="51">IF(D13="","",D13)</f>
        <v>Pit 1</v>
      </c>
      <c r="E111" s="324">
        <f>K13</f>
        <v>0</v>
      </c>
      <c r="F111" s="324">
        <f t="shared" ref="F111" si="52">L13</f>
        <v>0</v>
      </c>
      <c r="G111" s="37" t="s">
        <v>428</v>
      </c>
      <c r="H111" s="37" t="s">
        <v>411</v>
      </c>
      <c r="I111" s="47" t="s">
        <v>3</v>
      </c>
      <c r="J111" s="63">
        <f t="shared" ref="J111:J130" si="53">INDEX(Dozer_Push_Values,MATCH(H111,Dozer_Push_Length,0),MATCH(I111,Dozers,0))</f>
        <v>1.9221853757639424</v>
      </c>
      <c r="K111" s="365">
        <f t="shared" ref="K111:K130" si="54">IFERROR(F111*J111,"E")</f>
        <v>0</v>
      </c>
      <c r="L111" s="63">
        <f t="shared" ref="L111:L130" si="55">INDEX(Dozer_Slope_Values,MATCH(G111,Dozer_Slope,0),MATCH(I111,Dozers,0))</f>
        <v>8904.769113128099</v>
      </c>
      <c r="M111" s="367">
        <f t="shared" ref="M111:M130" si="56">IFERROR(SUM(E111)*L111,"E")</f>
        <v>0</v>
      </c>
      <c r="N111" s="324">
        <f t="shared" ref="N111:N130" si="57">M13</f>
        <v>0</v>
      </c>
      <c r="O111" s="37" t="s">
        <v>125</v>
      </c>
      <c r="P111" s="47" t="s">
        <v>349</v>
      </c>
      <c r="Q111" s="63">
        <f t="shared" ref="Q111:Q130" si="58">INDEX(Load_and_Haul_Values,MATCH(O111,Load_and_Haul,0),MATCH(P111,Load_Haul_Fleet_size,0))</f>
        <v>6.2664411871606829</v>
      </c>
      <c r="R111" s="365">
        <f t="shared" ref="R111:R130" si="59">IFERROR(N111*Q111,"E")</f>
        <v>0</v>
      </c>
      <c r="S111" s="316"/>
      <c r="T111" s="318"/>
      <c r="U111" s="319">
        <f>IF(T111&lt;&gt;"",T111,E111*10000*IF(S111&lt;&gt;"",S111,$S$107)/1000)</f>
        <v>0</v>
      </c>
      <c r="V111" s="37" t="s">
        <v>125</v>
      </c>
      <c r="W111" s="47" t="s">
        <v>348</v>
      </c>
      <c r="X111" s="162">
        <f t="shared" ref="X111:X130" si="60">INDEX(Load_and_Haul_Values,MATCH(V111,Load_and_Haul,0),MATCH(W111,Load_Haul_Fleet_size,0))</f>
        <v>4.8064250364478198</v>
      </c>
      <c r="Y111" s="367">
        <f t="shared" ref="Y111:Y130" si="61">IFERROR(X111*U111,0)</f>
        <v>0</v>
      </c>
      <c r="Z111" s="316"/>
      <c r="AA111" s="195" t="s">
        <v>48</v>
      </c>
      <c r="AB111" s="1096" t="str">
        <f>IF(AA111=Lists!$B$18,"N/A",VLOOKUP(AA111,Lists!$B$18:$C$26,Lists!$C$3,FALSE))</f>
        <v>N/A</v>
      </c>
      <c r="AC111" s="63">
        <f>IF(AA111=Lists!$B$18,0,VLOOKUP(AB111,Amend_TOV,TOV!$F$1,FALSE))</f>
        <v>0</v>
      </c>
      <c r="AD111" s="117"/>
      <c r="AE111" s="316"/>
      <c r="AF111" s="195" t="s">
        <v>48</v>
      </c>
      <c r="AG111" s="1096" t="str">
        <f>IF(AF111=Lists!$B$18,"N/A",VLOOKUP(AF111,Lists!$B$18:$C$26,Lists!$C$3,FALSE))</f>
        <v>N/A</v>
      </c>
      <c r="AH111" s="63">
        <f>IF(AF111=Lists!$B$18,0,VLOOKUP(AG111,Amend_TOV,TOV!$F$1,FALSE))</f>
        <v>0</v>
      </c>
      <c r="AI111" s="117"/>
      <c r="AJ111" s="316"/>
      <c r="AK111" s="195" t="s">
        <v>48</v>
      </c>
      <c r="AL111" s="1096" t="str">
        <f>IF(AK111=Lists!$B$18,"N/A",VLOOKUP(AK111,Lists!$B$18:$C$26,Lists!$C$3,FALSE))</f>
        <v>N/A</v>
      </c>
      <c r="AM111" s="63">
        <f>IF(AK111=Lists!$B$18,0,VLOOKUP(AL111,Amend_TOV,TOV!$F$1,FALSE))</f>
        <v>0</v>
      </c>
      <c r="AN111" s="117"/>
      <c r="AO111" s="351">
        <f t="shared" ref="AO111:AO130" si="62">Z111*IF(AD111="",AC111,AD111)+AE111*IF(AI111="",AH111,AI111)+AJ111*IF(AN111="",AM111,AN111)</f>
        <v>0</v>
      </c>
      <c r="AP111" s="316">
        <f t="shared" ref="AP111:AP130" si="63">E111</f>
        <v>0</v>
      </c>
      <c r="AQ111" s="66">
        <v>1</v>
      </c>
      <c r="AR111" s="66"/>
      <c r="AS111" s="67">
        <f>100%-AQ111-AR111</f>
        <v>0</v>
      </c>
      <c r="AT111" s="16" t="str">
        <f>IF(AS111&lt;0%,"Error","No Alert")</f>
        <v>No Alert</v>
      </c>
      <c r="AU111" s="351">
        <f t="shared" ref="AU111:AU130" si="64">$AP111*AQ111*IF(AU$106&lt;&gt;"",AU$106,AU$105)</f>
        <v>0</v>
      </c>
      <c r="AV111" s="351">
        <f t="shared" ref="AV111:AV130" si="65">$AP111*AR111*IF(AV$106&lt;&gt;"",AV$106,AV$105)</f>
        <v>0</v>
      </c>
      <c r="AW111" s="1046">
        <f t="shared" ref="AW111:AW130" si="66">IF(OR(K111="E",M111="E",R111="E"),"E",SUM(K111,M111,R111,Y111,AO111,AU111:AV111))</f>
        <v>0</v>
      </c>
      <c r="AX111" s="1197">
        <f t="shared" ref="AX111:AX130" si="67">IF(AW111="E","E",IF(E111=0,0,AW111/E111))</f>
        <v>0</v>
      </c>
      <c r="AY111" s="215"/>
      <c r="AZ111" s="217"/>
      <c r="BA111" s="217"/>
      <c r="BB111" s="217"/>
      <c r="BC111" s="217"/>
      <c r="BD111" s="217"/>
      <c r="BE111" s="217"/>
      <c r="BF111" s="218"/>
      <c r="BG111" s="768"/>
      <c r="BH111" s="768"/>
      <c r="BI111" s="768"/>
      <c r="BJ111" s="768"/>
      <c r="BK111" s="768"/>
      <c r="CO111" s="768"/>
      <c r="CP111" s="768"/>
      <c r="CQ111" s="768"/>
      <c r="CR111" s="768"/>
      <c r="CS111" s="768"/>
      <c r="CT111" s="768"/>
      <c r="CU111" s="768"/>
      <c r="CV111" s="768"/>
      <c r="CW111" s="768"/>
    </row>
    <row r="112" spans="2:111" s="520" customFormat="1" ht="15">
      <c r="B112" s="616" t="str">
        <f t="shared" ref="B112:B130" si="68">IF(B14="","",B14)</f>
        <v/>
      </c>
      <c r="C112" s="1164">
        <v>2</v>
      </c>
      <c r="D112" s="750" t="str">
        <f t="shared" si="51"/>
        <v>Pit 2</v>
      </c>
      <c r="E112" s="324">
        <f t="shared" ref="E112:E130" si="69">K14</f>
        <v>0</v>
      </c>
      <c r="F112" s="324">
        <f t="shared" ref="F112:F130" si="70">L14</f>
        <v>0</v>
      </c>
      <c r="G112" s="37" t="s">
        <v>428</v>
      </c>
      <c r="H112" s="37" t="s">
        <v>411</v>
      </c>
      <c r="I112" s="47" t="s">
        <v>3</v>
      </c>
      <c r="J112" s="63">
        <f t="shared" si="53"/>
        <v>1.9221853757639424</v>
      </c>
      <c r="K112" s="365">
        <f t="shared" si="54"/>
        <v>0</v>
      </c>
      <c r="L112" s="63">
        <f t="shared" si="55"/>
        <v>8904.769113128099</v>
      </c>
      <c r="M112" s="367">
        <f t="shared" si="56"/>
        <v>0</v>
      </c>
      <c r="N112" s="324">
        <f t="shared" si="57"/>
        <v>0</v>
      </c>
      <c r="O112" s="37" t="s">
        <v>125</v>
      </c>
      <c r="P112" s="47" t="s">
        <v>349</v>
      </c>
      <c r="Q112" s="63">
        <f t="shared" si="58"/>
        <v>6.2664411871606829</v>
      </c>
      <c r="R112" s="365">
        <f t="shared" si="59"/>
        <v>0</v>
      </c>
      <c r="S112" s="316"/>
      <c r="T112" s="318"/>
      <c r="U112" s="319">
        <f t="shared" ref="U112:U130" si="71">IF(T112&lt;&gt;"",T112,E112*10000*IF(S112&lt;&gt;"",S112,$S$107)/1000)</f>
        <v>0</v>
      </c>
      <c r="V112" s="37" t="s">
        <v>125</v>
      </c>
      <c r="W112" s="47" t="s">
        <v>348</v>
      </c>
      <c r="X112" s="162">
        <f t="shared" si="60"/>
        <v>4.8064250364478198</v>
      </c>
      <c r="Y112" s="367">
        <f t="shared" si="61"/>
        <v>0</v>
      </c>
      <c r="Z112" s="316"/>
      <c r="AA112" s="195" t="s">
        <v>48</v>
      </c>
      <c r="AB112" s="1096" t="str">
        <f>IF(AA112=Lists!$B$18,"N/A",VLOOKUP(AA112,Lists!$B$18:$C$26,Lists!$C$3,FALSE))</f>
        <v>N/A</v>
      </c>
      <c r="AC112" s="63">
        <f>IF(AA112=Lists!$B$18,0,VLOOKUP(AB112,Amend_TOV,TOV!$F$1,FALSE))</f>
        <v>0</v>
      </c>
      <c r="AD112" s="117"/>
      <c r="AE112" s="316"/>
      <c r="AF112" s="195" t="s">
        <v>48</v>
      </c>
      <c r="AG112" s="1096" t="str">
        <f>IF(AF112=Lists!$B$18,"N/A",VLOOKUP(AF112,Lists!$B$18:$C$26,Lists!$C$3,FALSE))</f>
        <v>N/A</v>
      </c>
      <c r="AH112" s="63">
        <f>IF(AF112=Lists!$B$18,0,VLOOKUP(AG112,Amend_TOV,TOV!$F$1,FALSE))</f>
        <v>0</v>
      </c>
      <c r="AI112" s="117"/>
      <c r="AJ112" s="316"/>
      <c r="AK112" s="195" t="s">
        <v>48</v>
      </c>
      <c r="AL112" s="1096" t="str">
        <f>IF(AK112=Lists!$B$18,"N/A",VLOOKUP(AK112,Lists!$B$18:$C$26,Lists!$C$3,FALSE))</f>
        <v>N/A</v>
      </c>
      <c r="AM112" s="63">
        <f>IF(AK112=Lists!$B$18,0,VLOOKUP(AL112,Amend_TOV,TOV!$F$1,FALSE))</f>
        <v>0</v>
      </c>
      <c r="AN112" s="117"/>
      <c r="AO112" s="351">
        <f t="shared" si="62"/>
        <v>0</v>
      </c>
      <c r="AP112" s="316">
        <f t="shared" si="63"/>
        <v>0</v>
      </c>
      <c r="AQ112" s="66">
        <v>1</v>
      </c>
      <c r="AR112" s="66"/>
      <c r="AS112" s="67">
        <f t="shared" ref="AS112:AS130" si="72">100%-AQ112-AR112</f>
        <v>0</v>
      </c>
      <c r="AT112" s="16" t="str">
        <f t="shared" ref="AT112:AT130" si="73">IF(AS112&lt;0%,"Error","No Alert")</f>
        <v>No Alert</v>
      </c>
      <c r="AU112" s="351">
        <f t="shared" si="64"/>
        <v>0</v>
      </c>
      <c r="AV112" s="351">
        <f t="shared" si="65"/>
        <v>0</v>
      </c>
      <c r="AW112" s="1046">
        <f t="shared" si="66"/>
        <v>0</v>
      </c>
      <c r="AX112" s="1197">
        <f t="shared" si="67"/>
        <v>0</v>
      </c>
      <c r="AY112" s="215"/>
      <c r="AZ112" s="217"/>
      <c r="BA112" s="217"/>
      <c r="BB112" s="217"/>
      <c r="BC112" s="217"/>
      <c r="BD112" s="217"/>
      <c r="BE112" s="217"/>
      <c r="BF112" s="218"/>
      <c r="BG112" s="768"/>
      <c r="BH112" s="768"/>
      <c r="BI112" s="768"/>
      <c r="BJ112" s="768"/>
      <c r="BK112" s="768"/>
      <c r="CO112" s="768"/>
      <c r="CP112" s="768"/>
      <c r="CQ112" s="768"/>
      <c r="CR112" s="768"/>
      <c r="CS112" s="768"/>
      <c r="CT112" s="768"/>
      <c r="CU112" s="768"/>
      <c r="CV112" s="768"/>
      <c r="CW112" s="768"/>
    </row>
    <row r="113" spans="2:101" s="520" customFormat="1" ht="15">
      <c r="B113" s="616" t="str">
        <f t="shared" si="68"/>
        <v/>
      </c>
      <c r="C113" s="1164">
        <v>3</v>
      </c>
      <c r="D113" s="750" t="str">
        <f t="shared" si="51"/>
        <v>Pit 3</v>
      </c>
      <c r="E113" s="324">
        <f t="shared" si="69"/>
        <v>0</v>
      </c>
      <c r="F113" s="324">
        <f t="shared" si="70"/>
        <v>0</v>
      </c>
      <c r="G113" s="37" t="s">
        <v>428</v>
      </c>
      <c r="H113" s="37" t="s">
        <v>411</v>
      </c>
      <c r="I113" s="47" t="s">
        <v>3</v>
      </c>
      <c r="J113" s="63">
        <f t="shared" si="53"/>
        <v>1.9221853757639424</v>
      </c>
      <c r="K113" s="365">
        <f t="shared" si="54"/>
        <v>0</v>
      </c>
      <c r="L113" s="63">
        <f t="shared" si="55"/>
        <v>8904.769113128099</v>
      </c>
      <c r="M113" s="367">
        <f t="shared" si="56"/>
        <v>0</v>
      </c>
      <c r="N113" s="324">
        <f t="shared" si="57"/>
        <v>0</v>
      </c>
      <c r="O113" s="37" t="s">
        <v>125</v>
      </c>
      <c r="P113" s="47" t="s">
        <v>349</v>
      </c>
      <c r="Q113" s="63">
        <f t="shared" si="58"/>
        <v>6.2664411871606829</v>
      </c>
      <c r="R113" s="365">
        <f t="shared" si="59"/>
        <v>0</v>
      </c>
      <c r="S113" s="316"/>
      <c r="T113" s="318"/>
      <c r="U113" s="319">
        <f t="shared" si="71"/>
        <v>0</v>
      </c>
      <c r="V113" s="37" t="s">
        <v>125</v>
      </c>
      <c r="W113" s="47" t="s">
        <v>348</v>
      </c>
      <c r="X113" s="162">
        <f t="shared" si="60"/>
        <v>4.8064250364478198</v>
      </c>
      <c r="Y113" s="367">
        <f t="shared" si="61"/>
        <v>0</v>
      </c>
      <c r="Z113" s="316"/>
      <c r="AA113" s="195" t="s">
        <v>48</v>
      </c>
      <c r="AB113" s="1096" t="str">
        <f>IF(AA113=Lists!$B$18,"N/A",VLOOKUP(AA113,Lists!$B$18:$C$26,Lists!$C$3,FALSE))</f>
        <v>N/A</v>
      </c>
      <c r="AC113" s="63">
        <f>IF(AA113=Lists!$B$18,0,VLOOKUP(AB113,Amend_TOV,TOV!$F$1,FALSE))</f>
        <v>0</v>
      </c>
      <c r="AD113" s="117"/>
      <c r="AE113" s="316"/>
      <c r="AF113" s="195" t="s">
        <v>48</v>
      </c>
      <c r="AG113" s="1096" t="str">
        <f>IF(AF113=Lists!$B$18,"N/A",VLOOKUP(AF113,Lists!$B$18:$C$26,Lists!$C$3,FALSE))</f>
        <v>N/A</v>
      </c>
      <c r="AH113" s="63">
        <f>IF(AF113=Lists!$B$18,0,VLOOKUP(AG113,Amend_TOV,TOV!$F$1,FALSE))</f>
        <v>0</v>
      </c>
      <c r="AI113" s="117"/>
      <c r="AJ113" s="316"/>
      <c r="AK113" s="195" t="s">
        <v>48</v>
      </c>
      <c r="AL113" s="1096" t="str">
        <f>IF(AK113=Lists!$B$18,"N/A",VLOOKUP(AK113,Lists!$B$18:$C$26,Lists!$C$3,FALSE))</f>
        <v>N/A</v>
      </c>
      <c r="AM113" s="63">
        <f>IF(AK113=Lists!$B$18,0,VLOOKUP(AL113,Amend_TOV,TOV!$F$1,FALSE))</f>
        <v>0</v>
      </c>
      <c r="AN113" s="117"/>
      <c r="AO113" s="351">
        <f t="shared" si="62"/>
        <v>0</v>
      </c>
      <c r="AP113" s="316">
        <f t="shared" si="63"/>
        <v>0</v>
      </c>
      <c r="AQ113" s="66">
        <v>1</v>
      </c>
      <c r="AR113" s="66"/>
      <c r="AS113" s="67">
        <f t="shared" si="72"/>
        <v>0</v>
      </c>
      <c r="AT113" s="16" t="str">
        <f t="shared" si="73"/>
        <v>No Alert</v>
      </c>
      <c r="AU113" s="351">
        <f t="shared" si="64"/>
        <v>0</v>
      </c>
      <c r="AV113" s="351">
        <f t="shared" si="65"/>
        <v>0</v>
      </c>
      <c r="AW113" s="1046">
        <f t="shared" si="66"/>
        <v>0</v>
      </c>
      <c r="AX113" s="1197">
        <f t="shared" si="67"/>
        <v>0</v>
      </c>
      <c r="AY113" s="215"/>
      <c r="AZ113" s="217"/>
      <c r="BA113" s="217"/>
      <c r="BB113" s="217"/>
      <c r="BC113" s="217"/>
      <c r="BD113" s="217"/>
      <c r="BE113" s="217"/>
      <c r="BF113" s="218"/>
      <c r="BG113" s="768"/>
      <c r="BH113" s="768"/>
      <c r="BI113" s="768"/>
      <c r="BJ113" s="768"/>
      <c r="BK113" s="768"/>
      <c r="CO113" s="768"/>
      <c r="CP113" s="768"/>
      <c r="CQ113" s="768"/>
      <c r="CR113" s="768"/>
      <c r="CS113" s="768"/>
      <c r="CT113" s="768"/>
      <c r="CU113" s="768"/>
      <c r="CV113" s="768"/>
      <c r="CW113" s="768"/>
    </row>
    <row r="114" spans="2:101" s="520" customFormat="1" ht="15">
      <c r="B114" s="616" t="str">
        <f t="shared" si="68"/>
        <v/>
      </c>
      <c r="C114" s="1164">
        <v>4</v>
      </c>
      <c r="D114" s="750" t="str">
        <f t="shared" si="51"/>
        <v>Pit 4</v>
      </c>
      <c r="E114" s="324">
        <f t="shared" si="69"/>
        <v>0</v>
      </c>
      <c r="F114" s="324">
        <f t="shared" si="70"/>
        <v>0</v>
      </c>
      <c r="G114" s="37" t="s">
        <v>428</v>
      </c>
      <c r="H114" s="37" t="s">
        <v>411</v>
      </c>
      <c r="I114" s="47" t="s">
        <v>3</v>
      </c>
      <c r="J114" s="63">
        <f t="shared" si="53"/>
        <v>1.9221853757639424</v>
      </c>
      <c r="K114" s="365">
        <f t="shared" si="54"/>
        <v>0</v>
      </c>
      <c r="L114" s="63">
        <f t="shared" si="55"/>
        <v>8904.769113128099</v>
      </c>
      <c r="M114" s="367">
        <f t="shared" si="56"/>
        <v>0</v>
      </c>
      <c r="N114" s="324">
        <f t="shared" si="57"/>
        <v>0</v>
      </c>
      <c r="O114" s="37" t="s">
        <v>125</v>
      </c>
      <c r="P114" s="47" t="s">
        <v>349</v>
      </c>
      <c r="Q114" s="63">
        <f t="shared" si="58"/>
        <v>6.2664411871606829</v>
      </c>
      <c r="R114" s="365">
        <f t="shared" si="59"/>
        <v>0</v>
      </c>
      <c r="S114" s="316"/>
      <c r="T114" s="318"/>
      <c r="U114" s="319">
        <f t="shared" si="71"/>
        <v>0</v>
      </c>
      <c r="V114" s="37" t="s">
        <v>125</v>
      </c>
      <c r="W114" s="47" t="s">
        <v>348</v>
      </c>
      <c r="X114" s="162">
        <f t="shared" si="60"/>
        <v>4.8064250364478198</v>
      </c>
      <c r="Y114" s="367">
        <f t="shared" si="61"/>
        <v>0</v>
      </c>
      <c r="Z114" s="316"/>
      <c r="AA114" s="195" t="s">
        <v>48</v>
      </c>
      <c r="AB114" s="1096" t="str">
        <f>IF(AA114=Lists!$B$18,"N/A",VLOOKUP(AA114,Lists!$B$18:$C$26,Lists!$C$3,FALSE))</f>
        <v>N/A</v>
      </c>
      <c r="AC114" s="63">
        <f>IF(AA114=Lists!$B$18,0,VLOOKUP(AB114,Amend_TOV,TOV!$F$1,FALSE))</f>
        <v>0</v>
      </c>
      <c r="AD114" s="117"/>
      <c r="AE114" s="316"/>
      <c r="AF114" s="195" t="s">
        <v>48</v>
      </c>
      <c r="AG114" s="1096" t="str">
        <f>IF(AF114=Lists!$B$18,"N/A",VLOOKUP(AF114,Lists!$B$18:$C$26,Lists!$C$3,FALSE))</f>
        <v>N/A</v>
      </c>
      <c r="AH114" s="63">
        <f>IF(AF114=Lists!$B$18,0,VLOOKUP(AG114,Amend_TOV,TOV!$F$1,FALSE))</f>
        <v>0</v>
      </c>
      <c r="AI114" s="117"/>
      <c r="AJ114" s="316"/>
      <c r="AK114" s="195" t="s">
        <v>48</v>
      </c>
      <c r="AL114" s="1096" t="str">
        <f>IF(AK114=Lists!$B$18,"N/A",VLOOKUP(AK114,Lists!$B$18:$C$26,Lists!$C$3,FALSE))</f>
        <v>N/A</v>
      </c>
      <c r="AM114" s="63">
        <f>IF(AK114=Lists!$B$18,0,VLOOKUP(AL114,Amend_TOV,TOV!$F$1,FALSE))</f>
        <v>0</v>
      </c>
      <c r="AN114" s="117"/>
      <c r="AO114" s="351">
        <f t="shared" si="62"/>
        <v>0</v>
      </c>
      <c r="AP114" s="316">
        <f t="shared" si="63"/>
        <v>0</v>
      </c>
      <c r="AQ114" s="66">
        <v>1</v>
      </c>
      <c r="AR114" s="66"/>
      <c r="AS114" s="67">
        <f t="shared" si="72"/>
        <v>0</v>
      </c>
      <c r="AT114" s="16" t="str">
        <f t="shared" si="73"/>
        <v>No Alert</v>
      </c>
      <c r="AU114" s="351">
        <f t="shared" si="64"/>
        <v>0</v>
      </c>
      <c r="AV114" s="351">
        <f t="shared" si="65"/>
        <v>0</v>
      </c>
      <c r="AW114" s="1046">
        <f t="shared" si="66"/>
        <v>0</v>
      </c>
      <c r="AX114" s="1197">
        <f t="shared" si="67"/>
        <v>0</v>
      </c>
      <c r="AY114" s="215"/>
      <c r="AZ114" s="217"/>
      <c r="BA114" s="217"/>
      <c r="BB114" s="217"/>
      <c r="BC114" s="217"/>
      <c r="BD114" s="217"/>
      <c r="BE114" s="217"/>
      <c r="BF114" s="218"/>
      <c r="BG114" s="768"/>
      <c r="BH114" s="768"/>
      <c r="BI114" s="768"/>
      <c r="BJ114" s="768"/>
      <c r="BK114" s="768"/>
      <c r="CO114" s="768"/>
      <c r="CP114" s="768"/>
      <c r="CQ114" s="768"/>
      <c r="CR114" s="768"/>
      <c r="CS114" s="768"/>
      <c r="CT114" s="768"/>
      <c r="CU114" s="768"/>
      <c r="CV114" s="768"/>
      <c r="CW114" s="768"/>
    </row>
    <row r="115" spans="2:101" s="520" customFormat="1" ht="15">
      <c r="B115" s="616" t="str">
        <f t="shared" si="68"/>
        <v/>
      </c>
      <c r="C115" s="1164">
        <v>5</v>
      </c>
      <c r="D115" s="750" t="str">
        <f t="shared" si="51"/>
        <v>Pit 5</v>
      </c>
      <c r="E115" s="324">
        <f t="shared" si="69"/>
        <v>0</v>
      </c>
      <c r="F115" s="324">
        <f t="shared" si="70"/>
        <v>0</v>
      </c>
      <c r="G115" s="37" t="s">
        <v>428</v>
      </c>
      <c r="H115" s="37" t="s">
        <v>411</v>
      </c>
      <c r="I115" s="47" t="s">
        <v>3</v>
      </c>
      <c r="J115" s="63">
        <f t="shared" si="53"/>
        <v>1.9221853757639424</v>
      </c>
      <c r="K115" s="365">
        <f t="shared" si="54"/>
        <v>0</v>
      </c>
      <c r="L115" s="63">
        <f t="shared" si="55"/>
        <v>8904.769113128099</v>
      </c>
      <c r="M115" s="367">
        <f t="shared" si="56"/>
        <v>0</v>
      </c>
      <c r="N115" s="324">
        <f t="shared" si="57"/>
        <v>0</v>
      </c>
      <c r="O115" s="37" t="s">
        <v>125</v>
      </c>
      <c r="P115" s="47" t="s">
        <v>349</v>
      </c>
      <c r="Q115" s="63">
        <f t="shared" si="58"/>
        <v>6.2664411871606829</v>
      </c>
      <c r="R115" s="365">
        <f t="shared" si="59"/>
        <v>0</v>
      </c>
      <c r="S115" s="316"/>
      <c r="T115" s="318"/>
      <c r="U115" s="319">
        <f t="shared" si="71"/>
        <v>0</v>
      </c>
      <c r="V115" s="37" t="s">
        <v>125</v>
      </c>
      <c r="W115" s="47" t="s">
        <v>348</v>
      </c>
      <c r="X115" s="162">
        <f t="shared" si="60"/>
        <v>4.8064250364478198</v>
      </c>
      <c r="Y115" s="367">
        <f t="shared" si="61"/>
        <v>0</v>
      </c>
      <c r="Z115" s="316"/>
      <c r="AA115" s="195" t="s">
        <v>48</v>
      </c>
      <c r="AB115" s="1096" t="str">
        <f>IF(AA115=Lists!$B$18,"N/A",VLOOKUP(AA115,Lists!$B$18:$C$26,Lists!$C$3,FALSE))</f>
        <v>N/A</v>
      </c>
      <c r="AC115" s="63">
        <f>IF(AA115=Lists!$B$18,0,VLOOKUP(AB115,Amend_TOV,TOV!$F$1,FALSE))</f>
        <v>0</v>
      </c>
      <c r="AD115" s="117"/>
      <c r="AE115" s="316"/>
      <c r="AF115" s="195" t="s">
        <v>48</v>
      </c>
      <c r="AG115" s="1096" t="str">
        <f>IF(AF115=Lists!$B$18,"N/A",VLOOKUP(AF115,Lists!$B$18:$C$26,Lists!$C$3,FALSE))</f>
        <v>N/A</v>
      </c>
      <c r="AH115" s="63">
        <f>IF(AF115=Lists!$B$18,0,VLOOKUP(AG115,Amend_TOV,TOV!$F$1,FALSE))</f>
        <v>0</v>
      </c>
      <c r="AI115" s="117"/>
      <c r="AJ115" s="316"/>
      <c r="AK115" s="195" t="s">
        <v>48</v>
      </c>
      <c r="AL115" s="1096" t="str">
        <f>IF(AK115=Lists!$B$18,"N/A",VLOOKUP(AK115,Lists!$B$18:$C$26,Lists!$C$3,FALSE))</f>
        <v>N/A</v>
      </c>
      <c r="AM115" s="63">
        <f>IF(AK115=Lists!$B$18,0,VLOOKUP(AL115,Amend_TOV,TOV!$F$1,FALSE))</f>
        <v>0</v>
      </c>
      <c r="AN115" s="117"/>
      <c r="AO115" s="351">
        <f t="shared" si="62"/>
        <v>0</v>
      </c>
      <c r="AP115" s="316">
        <f t="shared" si="63"/>
        <v>0</v>
      </c>
      <c r="AQ115" s="66">
        <v>1</v>
      </c>
      <c r="AR115" s="66"/>
      <c r="AS115" s="67">
        <f t="shared" si="72"/>
        <v>0</v>
      </c>
      <c r="AT115" s="16" t="str">
        <f t="shared" si="73"/>
        <v>No Alert</v>
      </c>
      <c r="AU115" s="351">
        <f t="shared" si="64"/>
        <v>0</v>
      </c>
      <c r="AV115" s="351">
        <f t="shared" si="65"/>
        <v>0</v>
      </c>
      <c r="AW115" s="1046">
        <f t="shared" si="66"/>
        <v>0</v>
      </c>
      <c r="AX115" s="1197">
        <f t="shared" si="67"/>
        <v>0</v>
      </c>
      <c r="AY115" s="215"/>
      <c r="AZ115" s="217"/>
      <c r="BA115" s="217"/>
      <c r="BB115" s="217"/>
      <c r="BC115" s="217"/>
      <c r="BD115" s="217"/>
      <c r="BE115" s="217"/>
      <c r="BF115" s="218"/>
      <c r="BG115" s="768"/>
      <c r="BH115" s="768"/>
      <c r="BI115" s="768"/>
      <c r="BJ115" s="768"/>
      <c r="BK115" s="768"/>
      <c r="CO115" s="768"/>
      <c r="CP115" s="768"/>
      <c r="CQ115" s="768"/>
      <c r="CR115" s="768"/>
      <c r="CS115" s="768"/>
      <c r="CT115" s="768"/>
      <c r="CU115" s="768"/>
      <c r="CV115" s="768"/>
      <c r="CW115" s="768"/>
    </row>
    <row r="116" spans="2:101" s="520" customFormat="1" ht="15">
      <c r="B116" s="616" t="str">
        <f t="shared" si="68"/>
        <v/>
      </c>
      <c r="C116" s="1164">
        <v>6</v>
      </c>
      <c r="D116" s="750" t="str">
        <f t="shared" si="51"/>
        <v>Pit 6</v>
      </c>
      <c r="E116" s="324">
        <f t="shared" si="69"/>
        <v>0</v>
      </c>
      <c r="F116" s="324">
        <f t="shared" si="70"/>
        <v>0</v>
      </c>
      <c r="G116" s="37" t="s">
        <v>428</v>
      </c>
      <c r="H116" s="37" t="s">
        <v>411</v>
      </c>
      <c r="I116" s="47" t="s">
        <v>3</v>
      </c>
      <c r="J116" s="63">
        <f t="shared" si="53"/>
        <v>1.9221853757639424</v>
      </c>
      <c r="K116" s="365">
        <f t="shared" si="54"/>
        <v>0</v>
      </c>
      <c r="L116" s="63">
        <f t="shared" si="55"/>
        <v>8904.769113128099</v>
      </c>
      <c r="M116" s="367">
        <f t="shared" si="56"/>
        <v>0</v>
      </c>
      <c r="N116" s="324">
        <f t="shared" si="57"/>
        <v>0</v>
      </c>
      <c r="O116" s="37" t="s">
        <v>125</v>
      </c>
      <c r="P116" s="47" t="s">
        <v>349</v>
      </c>
      <c r="Q116" s="63">
        <f t="shared" si="58"/>
        <v>6.2664411871606829</v>
      </c>
      <c r="R116" s="365">
        <f t="shared" si="59"/>
        <v>0</v>
      </c>
      <c r="S116" s="316"/>
      <c r="T116" s="318"/>
      <c r="U116" s="319">
        <f t="shared" si="71"/>
        <v>0</v>
      </c>
      <c r="V116" s="37" t="s">
        <v>125</v>
      </c>
      <c r="W116" s="47" t="s">
        <v>348</v>
      </c>
      <c r="X116" s="162">
        <f t="shared" si="60"/>
        <v>4.8064250364478198</v>
      </c>
      <c r="Y116" s="367">
        <f t="shared" si="61"/>
        <v>0</v>
      </c>
      <c r="Z116" s="316"/>
      <c r="AA116" s="195" t="s">
        <v>48</v>
      </c>
      <c r="AB116" s="1096" t="str">
        <f>IF(AA116=Lists!$B$18,"N/A",VLOOKUP(AA116,Lists!$B$18:$C$26,Lists!$C$3,FALSE))</f>
        <v>N/A</v>
      </c>
      <c r="AC116" s="63">
        <f>IF(AA116=Lists!$B$18,0,VLOOKUP(AB116,Amend_TOV,TOV!$F$1,FALSE))</f>
        <v>0</v>
      </c>
      <c r="AD116" s="117"/>
      <c r="AE116" s="316"/>
      <c r="AF116" s="195" t="s">
        <v>48</v>
      </c>
      <c r="AG116" s="1096" t="str">
        <f>IF(AF116=Lists!$B$18,"N/A",VLOOKUP(AF116,Lists!$B$18:$C$26,Lists!$C$3,FALSE))</f>
        <v>N/A</v>
      </c>
      <c r="AH116" s="63">
        <f>IF(AF116=Lists!$B$18,0,VLOOKUP(AG116,Amend_TOV,TOV!$F$1,FALSE))</f>
        <v>0</v>
      </c>
      <c r="AI116" s="117"/>
      <c r="AJ116" s="316"/>
      <c r="AK116" s="195" t="s">
        <v>48</v>
      </c>
      <c r="AL116" s="1096" t="str">
        <f>IF(AK116=Lists!$B$18,"N/A",VLOOKUP(AK116,Lists!$B$18:$C$26,Lists!$C$3,FALSE))</f>
        <v>N/A</v>
      </c>
      <c r="AM116" s="63">
        <f>IF(AK116=Lists!$B$18,0,VLOOKUP(AL116,Amend_TOV,TOV!$F$1,FALSE))</f>
        <v>0</v>
      </c>
      <c r="AN116" s="117"/>
      <c r="AO116" s="351">
        <f t="shared" si="62"/>
        <v>0</v>
      </c>
      <c r="AP116" s="316">
        <f t="shared" si="63"/>
        <v>0</v>
      </c>
      <c r="AQ116" s="66">
        <v>1</v>
      </c>
      <c r="AR116" s="66"/>
      <c r="AS116" s="67">
        <f t="shared" si="72"/>
        <v>0</v>
      </c>
      <c r="AT116" s="16" t="str">
        <f t="shared" si="73"/>
        <v>No Alert</v>
      </c>
      <c r="AU116" s="351">
        <f t="shared" si="64"/>
        <v>0</v>
      </c>
      <c r="AV116" s="351">
        <f t="shared" si="65"/>
        <v>0</v>
      </c>
      <c r="AW116" s="1046">
        <f t="shared" si="66"/>
        <v>0</v>
      </c>
      <c r="AX116" s="1197">
        <f t="shared" si="67"/>
        <v>0</v>
      </c>
      <c r="AY116" s="215"/>
      <c r="AZ116" s="217"/>
      <c r="BA116" s="217"/>
      <c r="BB116" s="217"/>
      <c r="BC116" s="217"/>
      <c r="BD116" s="217"/>
      <c r="BE116" s="217"/>
      <c r="BF116" s="218"/>
      <c r="BG116" s="768"/>
      <c r="BH116" s="768"/>
      <c r="BI116" s="768"/>
      <c r="BJ116" s="768"/>
      <c r="BK116" s="768"/>
      <c r="CO116" s="768"/>
      <c r="CP116" s="768"/>
      <c r="CQ116" s="768"/>
      <c r="CR116" s="768"/>
      <c r="CS116" s="768"/>
      <c r="CT116" s="768"/>
      <c r="CU116" s="768"/>
      <c r="CV116" s="768"/>
      <c r="CW116" s="768"/>
    </row>
    <row r="117" spans="2:101" s="520" customFormat="1" ht="15">
      <c r="B117" s="616" t="str">
        <f t="shared" si="68"/>
        <v/>
      </c>
      <c r="C117" s="1164">
        <v>7</v>
      </c>
      <c r="D117" s="750" t="str">
        <f t="shared" si="51"/>
        <v>Pit 7</v>
      </c>
      <c r="E117" s="324">
        <f t="shared" si="69"/>
        <v>0</v>
      </c>
      <c r="F117" s="324">
        <f t="shared" si="70"/>
        <v>0</v>
      </c>
      <c r="G117" s="37" t="s">
        <v>428</v>
      </c>
      <c r="H117" s="37" t="s">
        <v>411</v>
      </c>
      <c r="I117" s="47" t="s">
        <v>3</v>
      </c>
      <c r="J117" s="63">
        <f t="shared" si="53"/>
        <v>1.9221853757639424</v>
      </c>
      <c r="K117" s="365">
        <f t="shared" si="54"/>
        <v>0</v>
      </c>
      <c r="L117" s="63">
        <f t="shared" si="55"/>
        <v>8904.769113128099</v>
      </c>
      <c r="M117" s="367">
        <f t="shared" si="56"/>
        <v>0</v>
      </c>
      <c r="N117" s="324">
        <f t="shared" si="57"/>
        <v>0</v>
      </c>
      <c r="O117" s="37" t="s">
        <v>125</v>
      </c>
      <c r="P117" s="47" t="s">
        <v>349</v>
      </c>
      <c r="Q117" s="63">
        <f t="shared" si="58"/>
        <v>6.2664411871606829</v>
      </c>
      <c r="R117" s="365">
        <f t="shared" si="59"/>
        <v>0</v>
      </c>
      <c r="S117" s="316"/>
      <c r="T117" s="318"/>
      <c r="U117" s="319">
        <f t="shared" si="71"/>
        <v>0</v>
      </c>
      <c r="V117" s="37" t="s">
        <v>125</v>
      </c>
      <c r="W117" s="47" t="s">
        <v>348</v>
      </c>
      <c r="X117" s="162">
        <f t="shared" si="60"/>
        <v>4.8064250364478198</v>
      </c>
      <c r="Y117" s="367">
        <f t="shared" si="61"/>
        <v>0</v>
      </c>
      <c r="Z117" s="316"/>
      <c r="AA117" s="195" t="s">
        <v>48</v>
      </c>
      <c r="AB117" s="1096" t="str">
        <f>IF(AA117=Lists!$B$18,"N/A",VLOOKUP(AA117,Lists!$B$18:$C$26,Lists!$C$3,FALSE))</f>
        <v>N/A</v>
      </c>
      <c r="AC117" s="63">
        <f>IF(AA117=Lists!$B$18,0,VLOOKUP(AB117,Amend_TOV,TOV!$F$1,FALSE))</f>
        <v>0</v>
      </c>
      <c r="AD117" s="117"/>
      <c r="AE117" s="316"/>
      <c r="AF117" s="195" t="s">
        <v>48</v>
      </c>
      <c r="AG117" s="1096" t="str">
        <f>IF(AF117=Lists!$B$18,"N/A",VLOOKUP(AF117,Lists!$B$18:$C$26,Lists!$C$3,FALSE))</f>
        <v>N/A</v>
      </c>
      <c r="AH117" s="63">
        <f>IF(AF117=Lists!$B$18,0,VLOOKUP(AG117,Amend_TOV,TOV!$F$1,FALSE))</f>
        <v>0</v>
      </c>
      <c r="AI117" s="117"/>
      <c r="AJ117" s="316"/>
      <c r="AK117" s="195" t="s">
        <v>48</v>
      </c>
      <c r="AL117" s="1096" t="str">
        <f>IF(AK117=Lists!$B$18,"N/A",VLOOKUP(AK117,Lists!$B$18:$C$26,Lists!$C$3,FALSE))</f>
        <v>N/A</v>
      </c>
      <c r="AM117" s="63">
        <f>IF(AK117=Lists!$B$18,0,VLOOKUP(AL117,Amend_TOV,TOV!$F$1,FALSE))</f>
        <v>0</v>
      </c>
      <c r="AN117" s="117"/>
      <c r="AO117" s="351">
        <f t="shared" si="62"/>
        <v>0</v>
      </c>
      <c r="AP117" s="316">
        <f t="shared" si="63"/>
        <v>0</v>
      </c>
      <c r="AQ117" s="66">
        <v>1</v>
      </c>
      <c r="AR117" s="66"/>
      <c r="AS117" s="67">
        <f t="shared" si="72"/>
        <v>0</v>
      </c>
      <c r="AT117" s="16" t="str">
        <f t="shared" si="73"/>
        <v>No Alert</v>
      </c>
      <c r="AU117" s="351">
        <f t="shared" si="64"/>
        <v>0</v>
      </c>
      <c r="AV117" s="351">
        <f t="shared" si="65"/>
        <v>0</v>
      </c>
      <c r="AW117" s="1046">
        <f t="shared" si="66"/>
        <v>0</v>
      </c>
      <c r="AX117" s="1197">
        <f t="shared" si="67"/>
        <v>0</v>
      </c>
      <c r="AY117" s="215"/>
      <c r="AZ117" s="217"/>
      <c r="BA117" s="217"/>
      <c r="BB117" s="217"/>
      <c r="BC117" s="217"/>
      <c r="BD117" s="217"/>
      <c r="BE117" s="217"/>
      <c r="BF117" s="218"/>
      <c r="BG117" s="768"/>
      <c r="BH117" s="768"/>
      <c r="BI117" s="768"/>
      <c r="BJ117" s="768"/>
      <c r="BK117" s="768"/>
      <c r="CO117" s="768"/>
      <c r="CP117" s="768"/>
      <c r="CQ117" s="768"/>
      <c r="CR117" s="768"/>
      <c r="CS117" s="768"/>
      <c r="CT117" s="768"/>
      <c r="CU117" s="768"/>
      <c r="CV117" s="768"/>
      <c r="CW117" s="768"/>
    </row>
    <row r="118" spans="2:101" s="520" customFormat="1" ht="15">
      <c r="B118" s="616" t="str">
        <f t="shared" si="68"/>
        <v/>
      </c>
      <c r="C118" s="1164">
        <v>8</v>
      </c>
      <c r="D118" s="750" t="str">
        <f t="shared" si="51"/>
        <v>Pit 8</v>
      </c>
      <c r="E118" s="324">
        <f t="shared" si="69"/>
        <v>0</v>
      </c>
      <c r="F118" s="324">
        <f t="shared" si="70"/>
        <v>0</v>
      </c>
      <c r="G118" s="37" t="s">
        <v>428</v>
      </c>
      <c r="H118" s="37" t="s">
        <v>411</v>
      </c>
      <c r="I118" s="47" t="s">
        <v>3</v>
      </c>
      <c r="J118" s="63">
        <f t="shared" si="53"/>
        <v>1.9221853757639424</v>
      </c>
      <c r="K118" s="365">
        <f t="shared" si="54"/>
        <v>0</v>
      </c>
      <c r="L118" s="63">
        <f t="shared" si="55"/>
        <v>8904.769113128099</v>
      </c>
      <c r="M118" s="367">
        <f t="shared" si="56"/>
        <v>0</v>
      </c>
      <c r="N118" s="324">
        <f t="shared" si="57"/>
        <v>0</v>
      </c>
      <c r="O118" s="37" t="s">
        <v>125</v>
      </c>
      <c r="P118" s="47" t="s">
        <v>349</v>
      </c>
      <c r="Q118" s="63">
        <f t="shared" si="58"/>
        <v>6.2664411871606829</v>
      </c>
      <c r="R118" s="365">
        <f t="shared" si="59"/>
        <v>0</v>
      </c>
      <c r="S118" s="316"/>
      <c r="T118" s="318"/>
      <c r="U118" s="319">
        <f t="shared" si="71"/>
        <v>0</v>
      </c>
      <c r="V118" s="37" t="s">
        <v>125</v>
      </c>
      <c r="W118" s="47" t="s">
        <v>348</v>
      </c>
      <c r="X118" s="162">
        <f t="shared" si="60"/>
        <v>4.8064250364478198</v>
      </c>
      <c r="Y118" s="367">
        <f t="shared" si="61"/>
        <v>0</v>
      </c>
      <c r="Z118" s="316"/>
      <c r="AA118" s="195" t="s">
        <v>48</v>
      </c>
      <c r="AB118" s="1096" t="str">
        <f>IF(AA118=Lists!$B$18,"N/A",VLOOKUP(AA118,Lists!$B$18:$C$26,Lists!$C$3,FALSE))</f>
        <v>N/A</v>
      </c>
      <c r="AC118" s="63">
        <f>IF(AA118=Lists!$B$18,0,VLOOKUP(AB118,Amend_TOV,TOV!$F$1,FALSE))</f>
        <v>0</v>
      </c>
      <c r="AD118" s="117"/>
      <c r="AE118" s="316"/>
      <c r="AF118" s="195" t="s">
        <v>48</v>
      </c>
      <c r="AG118" s="1096" t="str">
        <f>IF(AF118=Lists!$B$18,"N/A",VLOOKUP(AF118,Lists!$B$18:$C$26,Lists!$C$3,FALSE))</f>
        <v>N/A</v>
      </c>
      <c r="AH118" s="63">
        <f>IF(AF118=Lists!$B$18,0,VLOOKUP(AG118,Amend_TOV,TOV!$F$1,FALSE))</f>
        <v>0</v>
      </c>
      <c r="AI118" s="117"/>
      <c r="AJ118" s="316"/>
      <c r="AK118" s="195" t="s">
        <v>48</v>
      </c>
      <c r="AL118" s="1096" t="str">
        <f>IF(AK118=Lists!$B$18,"N/A",VLOOKUP(AK118,Lists!$B$18:$C$26,Lists!$C$3,FALSE))</f>
        <v>N/A</v>
      </c>
      <c r="AM118" s="63">
        <f>IF(AK118=Lists!$B$18,0,VLOOKUP(AL118,Amend_TOV,TOV!$F$1,FALSE))</f>
        <v>0</v>
      </c>
      <c r="AN118" s="117"/>
      <c r="AO118" s="351">
        <f t="shared" si="62"/>
        <v>0</v>
      </c>
      <c r="AP118" s="316">
        <f t="shared" si="63"/>
        <v>0</v>
      </c>
      <c r="AQ118" s="66">
        <v>1</v>
      </c>
      <c r="AR118" s="66"/>
      <c r="AS118" s="67">
        <f t="shared" si="72"/>
        <v>0</v>
      </c>
      <c r="AT118" s="16" t="str">
        <f t="shared" si="73"/>
        <v>No Alert</v>
      </c>
      <c r="AU118" s="351">
        <f t="shared" si="64"/>
        <v>0</v>
      </c>
      <c r="AV118" s="351">
        <f t="shared" si="65"/>
        <v>0</v>
      </c>
      <c r="AW118" s="1046">
        <f t="shared" si="66"/>
        <v>0</v>
      </c>
      <c r="AX118" s="1197">
        <f t="shared" si="67"/>
        <v>0</v>
      </c>
      <c r="AY118" s="215"/>
      <c r="AZ118" s="217"/>
      <c r="BA118" s="217"/>
      <c r="BB118" s="217"/>
      <c r="BC118" s="217"/>
      <c r="BD118" s="217"/>
      <c r="BE118" s="217"/>
      <c r="BF118" s="218"/>
      <c r="BG118" s="768"/>
      <c r="BH118" s="768"/>
      <c r="BI118" s="768"/>
      <c r="BJ118" s="768"/>
      <c r="BK118" s="768"/>
      <c r="CO118" s="768"/>
      <c r="CP118" s="768"/>
      <c r="CQ118" s="768"/>
      <c r="CR118" s="768"/>
      <c r="CS118" s="768"/>
      <c r="CT118" s="768"/>
      <c r="CU118" s="768"/>
      <c r="CV118" s="768"/>
      <c r="CW118" s="768"/>
    </row>
    <row r="119" spans="2:101" s="520" customFormat="1" ht="15">
      <c r="B119" s="616" t="str">
        <f t="shared" si="68"/>
        <v/>
      </c>
      <c r="C119" s="1164">
        <v>9</v>
      </c>
      <c r="D119" s="750" t="str">
        <f t="shared" si="51"/>
        <v>Pit 9</v>
      </c>
      <c r="E119" s="324">
        <f t="shared" si="69"/>
        <v>0</v>
      </c>
      <c r="F119" s="324">
        <f t="shared" si="70"/>
        <v>0</v>
      </c>
      <c r="G119" s="37" t="s">
        <v>428</v>
      </c>
      <c r="H119" s="37" t="s">
        <v>411</v>
      </c>
      <c r="I119" s="47" t="s">
        <v>3</v>
      </c>
      <c r="J119" s="63">
        <f t="shared" si="53"/>
        <v>1.9221853757639424</v>
      </c>
      <c r="K119" s="365">
        <f t="shared" si="54"/>
        <v>0</v>
      </c>
      <c r="L119" s="63">
        <f t="shared" si="55"/>
        <v>8904.769113128099</v>
      </c>
      <c r="M119" s="367">
        <f t="shared" si="56"/>
        <v>0</v>
      </c>
      <c r="N119" s="324">
        <f t="shared" si="57"/>
        <v>0</v>
      </c>
      <c r="O119" s="37" t="s">
        <v>125</v>
      </c>
      <c r="P119" s="47" t="s">
        <v>349</v>
      </c>
      <c r="Q119" s="63">
        <f t="shared" si="58"/>
        <v>6.2664411871606829</v>
      </c>
      <c r="R119" s="365">
        <f t="shared" si="59"/>
        <v>0</v>
      </c>
      <c r="S119" s="316"/>
      <c r="T119" s="318"/>
      <c r="U119" s="319">
        <f t="shared" si="71"/>
        <v>0</v>
      </c>
      <c r="V119" s="37" t="s">
        <v>125</v>
      </c>
      <c r="W119" s="47" t="s">
        <v>348</v>
      </c>
      <c r="X119" s="162">
        <f t="shared" si="60"/>
        <v>4.8064250364478198</v>
      </c>
      <c r="Y119" s="367">
        <f t="shared" si="61"/>
        <v>0</v>
      </c>
      <c r="Z119" s="316"/>
      <c r="AA119" s="195" t="s">
        <v>48</v>
      </c>
      <c r="AB119" s="1096" t="str">
        <f>IF(AA119=Lists!$B$18,"N/A",VLOOKUP(AA119,Lists!$B$18:$C$26,Lists!$C$3,FALSE))</f>
        <v>N/A</v>
      </c>
      <c r="AC119" s="63">
        <f>IF(AA119=Lists!$B$18,0,VLOOKUP(AB119,Amend_TOV,TOV!$F$1,FALSE))</f>
        <v>0</v>
      </c>
      <c r="AD119" s="117"/>
      <c r="AE119" s="316"/>
      <c r="AF119" s="195" t="s">
        <v>48</v>
      </c>
      <c r="AG119" s="1096" t="str">
        <f>IF(AF119=Lists!$B$18,"N/A",VLOOKUP(AF119,Lists!$B$18:$C$26,Lists!$C$3,FALSE))</f>
        <v>N/A</v>
      </c>
      <c r="AH119" s="63">
        <f>IF(AF119=Lists!$B$18,0,VLOOKUP(AG119,Amend_TOV,TOV!$F$1,FALSE))</f>
        <v>0</v>
      </c>
      <c r="AI119" s="117"/>
      <c r="AJ119" s="316"/>
      <c r="AK119" s="195" t="s">
        <v>48</v>
      </c>
      <c r="AL119" s="1096" t="str">
        <f>IF(AK119=Lists!$B$18,"N/A",VLOOKUP(AK119,Lists!$B$18:$C$26,Lists!$C$3,FALSE))</f>
        <v>N/A</v>
      </c>
      <c r="AM119" s="63">
        <f>IF(AK119=Lists!$B$18,0,VLOOKUP(AL119,Amend_TOV,TOV!$F$1,FALSE))</f>
        <v>0</v>
      </c>
      <c r="AN119" s="117"/>
      <c r="AO119" s="351">
        <f t="shared" si="62"/>
        <v>0</v>
      </c>
      <c r="AP119" s="316">
        <f t="shared" si="63"/>
        <v>0</v>
      </c>
      <c r="AQ119" s="66">
        <v>1</v>
      </c>
      <c r="AR119" s="66"/>
      <c r="AS119" s="67">
        <f t="shared" si="72"/>
        <v>0</v>
      </c>
      <c r="AT119" s="16" t="str">
        <f t="shared" si="73"/>
        <v>No Alert</v>
      </c>
      <c r="AU119" s="351">
        <f t="shared" si="64"/>
        <v>0</v>
      </c>
      <c r="AV119" s="351">
        <f t="shared" si="65"/>
        <v>0</v>
      </c>
      <c r="AW119" s="1046">
        <f t="shared" si="66"/>
        <v>0</v>
      </c>
      <c r="AX119" s="1197">
        <f t="shared" si="67"/>
        <v>0</v>
      </c>
      <c r="AY119" s="215"/>
      <c r="AZ119" s="217"/>
      <c r="BA119" s="217"/>
      <c r="BB119" s="217"/>
      <c r="BC119" s="217"/>
      <c r="BD119" s="217"/>
      <c r="BE119" s="217"/>
      <c r="BF119" s="218"/>
      <c r="BG119" s="768"/>
      <c r="BH119" s="768"/>
      <c r="BI119" s="768"/>
      <c r="BJ119" s="768"/>
      <c r="BK119" s="768"/>
      <c r="CO119" s="768"/>
      <c r="CP119" s="768"/>
      <c r="CQ119" s="768"/>
      <c r="CR119" s="768"/>
      <c r="CS119" s="768"/>
      <c r="CT119" s="768"/>
      <c r="CU119" s="768"/>
      <c r="CV119" s="768"/>
      <c r="CW119" s="768"/>
    </row>
    <row r="120" spans="2:101" s="520" customFormat="1" ht="15">
      <c r="B120" s="616" t="str">
        <f t="shared" si="68"/>
        <v/>
      </c>
      <c r="C120" s="1164">
        <v>10</v>
      </c>
      <c r="D120" s="750" t="str">
        <f t="shared" si="51"/>
        <v>Pit 10</v>
      </c>
      <c r="E120" s="324">
        <f t="shared" si="69"/>
        <v>0</v>
      </c>
      <c r="F120" s="324">
        <f t="shared" si="70"/>
        <v>0</v>
      </c>
      <c r="G120" s="37" t="s">
        <v>428</v>
      </c>
      <c r="H120" s="37" t="s">
        <v>411</v>
      </c>
      <c r="I120" s="47" t="s">
        <v>3</v>
      </c>
      <c r="J120" s="63">
        <f t="shared" si="53"/>
        <v>1.9221853757639424</v>
      </c>
      <c r="K120" s="365">
        <f t="shared" si="54"/>
        <v>0</v>
      </c>
      <c r="L120" s="63">
        <f t="shared" si="55"/>
        <v>8904.769113128099</v>
      </c>
      <c r="M120" s="367">
        <f t="shared" si="56"/>
        <v>0</v>
      </c>
      <c r="N120" s="324">
        <f t="shared" si="57"/>
        <v>0</v>
      </c>
      <c r="O120" s="37" t="s">
        <v>125</v>
      </c>
      <c r="P120" s="47" t="s">
        <v>349</v>
      </c>
      <c r="Q120" s="63">
        <f t="shared" si="58"/>
        <v>6.2664411871606829</v>
      </c>
      <c r="R120" s="365">
        <f t="shared" si="59"/>
        <v>0</v>
      </c>
      <c r="S120" s="316"/>
      <c r="T120" s="318"/>
      <c r="U120" s="319">
        <f t="shared" si="71"/>
        <v>0</v>
      </c>
      <c r="V120" s="37" t="s">
        <v>125</v>
      </c>
      <c r="W120" s="47" t="s">
        <v>348</v>
      </c>
      <c r="X120" s="162">
        <f t="shared" si="60"/>
        <v>4.8064250364478198</v>
      </c>
      <c r="Y120" s="367">
        <f t="shared" si="61"/>
        <v>0</v>
      </c>
      <c r="Z120" s="316"/>
      <c r="AA120" s="195" t="s">
        <v>48</v>
      </c>
      <c r="AB120" s="1096" t="str">
        <f>IF(AA120=Lists!$B$18,"N/A",VLOOKUP(AA120,Lists!$B$18:$C$26,Lists!$C$3,FALSE))</f>
        <v>N/A</v>
      </c>
      <c r="AC120" s="63">
        <f>IF(AA120=Lists!$B$18,0,VLOOKUP(AB120,Amend_TOV,TOV!$F$1,FALSE))</f>
        <v>0</v>
      </c>
      <c r="AD120" s="117"/>
      <c r="AE120" s="316"/>
      <c r="AF120" s="195" t="s">
        <v>48</v>
      </c>
      <c r="AG120" s="1096" t="str">
        <f>IF(AF120=Lists!$B$18,"N/A",VLOOKUP(AF120,Lists!$B$18:$C$26,Lists!$C$3,FALSE))</f>
        <v>N/A</v>
      </c>
      <c r="AH120" s="63">
        <f>IF(AF120=Lists!$B$18,0,VLOOKUP(AG120,Amend_TOV,TOV!$F$1,FALSE))</f>
        <v>0</v>
      </c>
      <c r="AI120" s="117"/>
      <c r="AJ120" s="316"/>
      <c r="AK120" s="195" t="s">
        <v>48</v>
      </c>
      <c r="AL120" s="1096" t="str">
        <f>IF(AK120=Lists!$B$18,"N/A",VLOOKUP(AK120,Lists!$B$18:$C$26,Lists!$C$3,FALSE))</f>
        <v>N/A</v>
      </c>
      <c r="AM120" s="63">
        <f>IF(AK120=Lists!$B$18,0,VLOOKUP(AL120,Amend_TOV,TOV!$F$1,FALSE))</f>
        <v>0</v>
      </c>
      <c r="AN120" s="117"/>
      <c r="AO120" s="351">
        <f t="shared" si="62"/>
        <v>0</v>
      </c>
      <c r="AP120" s="316">
        <f t="shared" si="63"/>
        <v>0</v>
      </c>
      <c r="AQ120" s="66">
        <v>1</v>
      </c>
      <c r="AR120" s="66"/>
      <c r="AS120" s="67">
        <f t="shared" si="72"/>
        <v>0</v>
      </c>
      <c r="AT120" s="16" t="str">
        <f t="shared" si="73"/>
        <v>No Alert</v>
      </c>
      <c r="AU120" s="351">
        <f t="shared" si="64"/>
        <v>0</v>
      </c>
      <c r="AV120" s="351">
        <f t="shared" si="65"/>
        <v>0</v>
      </c>
      <c r="AW120" s="1046">
        <f t="shared" si="66"/>
        <v>0</v>
      </c>
      <c r="AX120" s="1197">
        <f t="shared" si="67"/>
        <v>0</v>
      </c>
      <c r="AY120" s="215"/>
      <c r="AZ120" s="217"/>
      <c r="BA120" s="217"/>
      <c r="BB120" s="217"/>
      <c r="BC120" s="217"/>
      <c r="BD120" s="217"/>
      <c r="BE120" s="217"/>
      <c r="BF120" s="218"/>
      <c r="BG120" s="768"/>
      <c r="BH120" s="768"/>
      <c r="BI120" s="768"/>
      <c r="BJ120" s="768"/>
      <c r="BK120" s="768"/>
      <c r="CO120" s="768"/>
      <c r="CP120" s="768"/>
      <c r="CQ120" s="768"/>
      <c r="CR120" s="768"/>
      <c r="CS120" s="768"/>
      <c r="CT120" s="768"/>
      <c r="CU120" s="768"/>
      <c r="CV120" s="768"/>
      <c r="CW120" s="768"/>
    </row>
    <row r="121" spans="2:101" s="520" customFormat="1" ht="15">
      <c r="B121" s="616" t="str">
        <f t="shared" si="68"/>
        <v/>
      </c>
      <c r="C121" s="1164">
        <v>11</v>
      </c>
      <c r="D121" s="750" t="str">
        <f t="shared" si="51"/>
        <v>Pit 11</v>
      </c>
      <c r="E121" s="324">
        <f t="shared" si="69"/>
        <v>0</v>
      </c>
      <c r="F121" s="324">
        <f t="shared" si="70"/>
        <v>0</v>
      </c>
      <c r="G121" s="37" t="s">
        <v>428</v>
      </c>
      <c r="H121" s="37" t="s">
        <v>411</v>
      </c>
      <c r="I121" s="47" t="s">
        <v>3</v>
      </c>
      <c r="J121" s="63">
        <f t="shared" si="53"/>
        <v>1.9221853757639424</v>
      </c>
      <c r="K121" s="365">
        <f t="shared" si="54"/>
        <v>0</v>
      </c>
      <c r="L121" s="63">
        <f t="shared" si="55"/>
        <v>8904.769113128099</v>
      </c>
      <c r="M121" s="367">
        <f t="shared" si="56"/>
        <v>0</v>
      </c>
      <c r="N121" s="324">
        <f t="shared" si="57"/>
        <v>0</v>
      </c>
      <c r="O121" s="37" t="s">
        <v>125</v>
      </c>
      <c r="P121" s="47" t="s">
        <v>349</v>
      </c>
      <c r="Q121" s="63">
        <f t="shared" si="58"/>
        <v>6.2664411871606829</v>
      </c>
      <c r="R121" s="365">
        <f t="shared" si="59"/>
        <v>0</v>
      </c>
      <c r="S121" s="316"/>
      <c r="T121" s="318"/>
      <c r="U121" s="319">
        <f t="shared" si="71"/>
        <v>0</v>
      </c>
      <c r="V121" s="37" t="s">
        <v>125</v>
      </c>
      <c r="W121" s="47" t="s">
        <v>348</v>
      </c>
      <c r="X121" s="162">
        <f t="shared" si="60"/>
        <v>4.8064250364478198</v>
      </c>
      <c r="Y121" s="367">
        <f t="shared" si="61"/>
        <v>0</v>
      </c>
      <c r="Z121" s="316"/>
      <c r="AA121" s="195" t="s">
        <v>48</v>
      </c>
      <c r="AB121" s="1096" t="str">
        <f>IF(AA121=Lists!$B$18,"N/A",VLOOKUP(AA121,Lists!$B$18:$C$26,Lists!$C$3,FALSE))</f>
        <v>N/A</v>
      </c>
      <c r="AC121" s="63">
        <f>IF(AA121=Lists!$B$18,0,VLOOKUP(AB121,Amend_TOV,TOV!$F$1,FALSE))</f>
        <v>0</v>
      </c>
      <c r="AD121" s="117"/>
      <c r="AE121" s="316"/>
      <c r="AF121" s="195" t="s">
        <v>48</v>
      </c>
      <c r="AG121" s="1096" t="str">
        <f>IF(AF121=Lists!$B$18,"N/A",VLOOKUP(AF121,Lists!$B$18:$C$26,Lists!$C$3,FALSE))</f>
        <v>N/A</v>
      </c>
      <c r="AH121" s="63">
        <f>IF(AF121=Lists!$B$18,0,VLOOKUP(AG121,Amend_TOV,TOV!$F$1,FALSE))</f>
        <v>0</v>
      </c>
      <c r="AI121" s="117"/>
      <c r="AJ121" s="316"/>
      <c r="AK121" s="195" t="s">
        <v>48</v>
      </c>
      <c r="AL121" s="1096" t="str">
        <f>IF(AK121=Lists!$B$18,"N/A",VLOOKUP(AK121,Lists!$B$18:$C$26,Lists!$C$3,FALSE))</f>
        <v>N/A</v>
      </c>
      <c r="AM121" s="63">
        <f>IF(AK121=Lists!$B$18,0,VLOOKUP(AL121,Amend_TOV,TOV!$F$1,FALSE))</f>
        <v>0</v>
      </c>
      <c r="AN121" s="117"/>
      <c r="AO121" s="351">
        <f t="shared" si="62"/>
        <v>0</v>
      </c>
      <c r="AP121" s="316">
        <f t="shared" si="63"/>
        <v>0</v>
      </c>
      <c r="AQ121" s="66">
        <v>1</v>
      </c>
      <c r="AR121" s="66"/>
      <c r="AS121" s="67">
        <f t="shared" si="72"/>
        <v>0</v>
      </c>
      <c r="AT121" s="16" t="str">
        <f t="shared" si="73"/>
        <v>No Alert</v>
      </c>
      <c r="AU121" s="351">
        <f t="shared" si="64"/>
        <v>0</v>
      </c>
      <c r="AV121" s="351">
        <f t="shared" si="65"/>
        <v>0</v>
      </c>
      <c r="AW121" s="1046">
        <f t="shared" si="66"/>
        <v>0</v>
      </c>
      <c r="AX121" s="1197">
        <f t="shared" si="67"/>
        <v>0</v>
      </c>
      <c r="AY121" s="215"/>
      <c r="AZ121" s="217"/>
      <c r="BA121" s="217"/>
      <c r="BB121" s="217"/>
      <c r="BC121" s="217"/>
      <c r="BD121" s="217"/>
      <c r="BE121" s="217"/>
      <c r="BF121" s="218"/>
      <c r="BG121" s="768"/>
      <c r="BH121" s="768"/>
      <c r="BI121" s="768"/>
      <c r="BJ121" s="768"/>
      <c r="BK121" s="768"/>
      <c r="CO121" s="768"/>
      <c r="CP121" s="768"/>
      <c r="CQ121" s="768"/>
      <c r="CR121" s="768"/>
      <c r="CS121" s="768"/>
      <c r="CT121" s="768"/>
      <c r="CU121" s="768"/>
      <c r="CV121" s="768"/>
      <c r="CW121" s="768"/>
    </row>
    <row r="122" spans="2:101" s="520" customFormat="1" ht="15">
      <c r="B122" s="616" t="str">
        <f t="shared" si="68"/>
        <v/>
      </c>
      <c r="C122" s="1164">
        <v>12</v>
      </c>
      <c r="D122" s="750" t="str">
        <f t="shared" si="51"/>
        <v>Pit 12</v>
      </c>
      <c r="E122" s="324">
        <f t="shared" si="69"/>
        <v>0</v>
      </c>
      <c r="F122" s="324">
        <f t="shared" si="70"/>
        <v>0</v>
      </c>
      <c r="G122" s="37" t="s">
        <v>428</v>
      </c>
      <c r="H122" s="37" t="s">
        <v>411</v>
      </c>
      <c r="I122" s="47" t="s">
        <v>3</v>
      </c>
      <c r="J122" s="63">
        <f t="shared" si="53"/>
        <v>1.9221853757639424</v>
      </c>
      <c r="K122" s="365">
        <f t="shared" si="54"/>
        <v>0</v>
      </c>
      <c r="L122" s="63">
        <f t="shared" si="55"/>
        <v>8904.769113128099</v>
      </c>
      <c r="M122" s="367">
        <f t="shared" si="56"/>
        <v>0</v>
      </c>
      <c r="N122" s="324">
        <f t="shared" si="57"/>
        <v>0</v>
      </c>
      <c r="O122" s="37" t="s">
        <v>125</v>
      </c>
      <c r="P122" s="47" t="s">
        <v>349</v>
      </c>
      <c r="Q122" s="63">
        <f t="shared" si="58"/>
        <v>6.2664411871606829</v>
      </c>
      <c r="R122" s="365">
        <f t="shared" si="59"/>
        <v>0</v>
      </c>
      <c r="S122" s="316"/>
      <c r="T122" s="318"/>
      <c r="U122" s="319">
        <f t="shared" si="71"/>
        <v>0</v>
      </c>
      <c r="V122" s="37" t="s">
        <v>125</v>
      </c>
      <c r="W122" s="47" t="s">
        <v>348</v>
      </c>
      <c r="X122" s="162">
        <f t="shared" si="60"/>
        <v>4.8064250364478198</v>
      </c>
      <c r="Y122" s="367">
        <f t="shared" si="61"/>
        <v>0</v>
      </c>
      <c r="Z122" s="316"/>
      <c r="AA122" s="195" t="s">
        <v>48</v>
      </c>
      <c r="AB122" s="1096" t="str">
        <f>IF(AA122=Lists!$B$18,"N/A",VLOOKUP(AA122,Lists!$B$18:$C$26,Lists!$C$3,FALSE))</f>
        <v>N/A</v>
      </c>
      <c r="AC122" s="63">
        <f>IF(AA122=Lists!$B$18,0,VLOOKUP(AB122,Amend_TOV,TOV!$F$1,FALSE))</f>
        <v>0</v>
      </c>
      <c r="AD122" s="117"/>
      <c r="AE122" s="316"/>
      <c r="AF122" s="195" t="s">
        <v>48</v>
      </c>
      <c r="AG122" s="1096" t="str">
        <f>IF(AF122=Lists!$B$18,"N/A",VLOOKUP(AF122,Lists!$B$18:$C$26,Lists!$C$3,FALSE))</f>
        <v>N/A</v>
      </c>
      <c r="AH122" s="63">
        <f>IF(AF122=Lists!$B$18,0,VLOOKUP(AG122,Amend_TOV,TOV!$F$1,FALSE))</f>
        <v>0</v>
      </c>
      <c r="AI122" s="117"/>
      <c r="AJ122" s="316"/>
      <c r="AK122" s="195" t="s">
        <v>48</v>
      </c>
      <c r="AL122" s="1096" t="str">
        <f>IF(AK122=Lists!$B$18,"N/A",VLOOKUP(AK122,Lists!$B$18:$C$26,Lists!$C$3,FALSE))</f>
        <v>N/A</v>
      </c>
      <c r="AM122" s="63">
        <f>IF(AK122=Lists!$B$18,0,VLOOKUP(AL122,Amend_TOV,TOV!$F$1,FALSE))</f>
        <v>0</v>
      </c>
      <c r="AN122" s="117"/>
      <c r="AO122" s="351">
        <f t="shared" si="62"/>
        <v>0</v>
      </c>
      <c r="AP122" s="316">
        <f t="shared" si="63"/>
        <v>0</v>
      </c>
      <c r="AQ122" s="66">
        <v>1</v>
      </c>
      <c r="AR122" s="66"/>
      <c r="AS122" s="67">
        <f t="shared" si="72"/>
        <v>0</v>
      </c>
      <c r="AT122" s="16" t="str">
        <f t="shared" si="73"/>
        <v>No Alert</v>
      </c>
      <c r="AU122" s="351">
        <f t="shared" si="64"/>
        <v>0</v>
      </c>
      <c r="AV122" s="351">
        <f t="shared" si="65"/>
        <v>0</v>
      </c>
      <c r="AW122" s="1046">
        <f t="shared" si="66"/>
        <v>0</v>
      </c>
      <c r="AX122" s="1197">
        <f t="shared" si="67"/>
        <v>0</v>
      </c>
      <c r="AY122" s="215"/>
      <c r="AZ122" s="217"/>
      <c r="BA122" s="217"/>
      <c r="BB122" s="217"/>
      <c r="BC122" s="217"/>
      <c r="BD122" s="217"/>
      <c r="BE122" s="217"/>
      <c r="BF122" s="218"/>
      <c r="BG122" s="768"/>
      <c r="BH122" s="768"/>
      <c r="BI122" s="768"/>
      <c r="BJ122" s="768"/>
      <c r="BK122" s="768"/>
      <c r="CO122" s="768"/>
      <c r="CP122" s="768"/>
      <c r="CQ122" s="768"/>
      <c r="CR122" s="768"/>
      <c r="CS122" s="768"/>
      <c r="CT122" s="768"/>
      <c r="CU122" s="768"/>
      <c r="CV122" s="768"/>
      <c r="CW122" s="768"/>
    </row>
    <row r="123" spans="2:101" s="520" customFormat="1" ht="15">
      <c r="B123" s="616" t="str">
        <f t="shared" si="68"/>
        <v/>
      </c>
      <c r="C123" s="1164">
        <v>13</v>
      </c>
      <c r="D123" s="750" t="str">
        <f t="shared" si="51"/>
        <v>Pit 13</v>
      </c>
      <c r="E123" s="324">
        <f t="shared" si="69"/>
        <v>0</v>
      </c>
      <c r="F123" s="324">
        <f t="shared" si="70"/>
        <v>0</v>
      </c>
      <c r="G123" s="37" t="s">
        <v>428</v>
      </c>
      <c r="H123" s="37" t="s">
        <v>411</v>
      </c>
      <c r="I123" s="47" t="s">
        <v>3</v>
      </c>
      <c r="J123" s="63">
        <f t="shared" si="53"/>
        <v>1.9221853757639424</v>
      </c>
      <c r="K123" s="365">
        <f t="shared" si="54"/>
        <v>0</v>
      </c>
      <c r="L123" s="63">
        <f t="shared" si="55"/>
        <v>8904.769113128099</v>
      </c>
      <c r="M123" s="367">
        <f t="shared" si="56"/>
        <v>0</v>
      </c>
      <c r="N123" s="324">
        <f t="shared" si="57"/>
        <v>0</v>
      </c>
      <c r="O123" s="37" t="s">
        <v>125</v>
      </c>
      <c r="P123" s="47" t="s">
        <v>349</v>
      </c>
      <c r="Q123" s="63">
        <f t="shared" si="58"/>
        <v>6.2664411871606829</v>
      </c>
      <c r="R123" s="365">
        <f t="shared" si="59"/>
        <v>0</v>
      </c>
      <c r="S123" s="316"/>
      <c r="T123" s="318"/>
      <c r="U123" s="319">
        <f t="shared" si="71"/>
        <v>0</v>
      </c>
      <c r="V123" s="37" t="s">
        <v>125</v>
      </c>
      <c r="W123" s="47" t="s">
        <v>348</v>
      </c>
      <c r="X123" s="162">
        <f t="shared" si="60"/>
        <v>4.8064250364478198</v>
      </c>
      <c r="Y123" s="367">
        <f t="shared" si="61"/>
        <v>0</v>
      </c>
      <c r="Z123" s="316"/>
      <c r="AA123" s="195" t="s">
        <v>48</v>
      </c>
      <c r="AB123" s="1096" t="str">
        <f>IF(AA123=Lists!$B$18,"N/A",VLOOKUP(AA123,Lists!$B$18:$C$26,Lists!$C$3,FALSE))</f>
        <v>N/A</v>
      </c>
      <c r="AC123" s="63">
        <f>IF(AA123=Lists!$B$18,0,VLOOKUP(AB123,Amend_TOV,TOV!$F$1,FALSE))</f>
        <v>0</v>
      </c>
      <c r="AD123" s="117"/>
      <c r="AE123" s="316"/>
      <c r="AF123" s="195" t="s">
        <v>48</v>
      </c>
      <c r="AG123" s="1096" t="str">
        <f>IF(AF123=Lists!$B$18,"N/A",VLOOKUP(AF123,Lists!$B$18:$C$26,Lists!$C$3,FALSE))</f>
        <v>N/A</v>
      </c>
      <c r="AH123" s="63">
        <f>IF(AF123=Lists!$B$18,0,VLOOKUP(AG123,Amend_TOV,TOV!$F$1,FALSE))</f>
        <v>0</v>
      </c>
      <c r="AI123" s="117"/>
      <c r="AJ123" s="316"/>
      <c r="AK123" s="195" t="s">
        <v>48</v>
      </c>
      <c r="AL123" s="1096" t="str">
        <f>IF(AK123=Lists!$B$18,"N/A",VLOOKUP(AK123,Lists!$B$18:$C$26,Lists!$C$3,FALSE))</f>
        <v>N/A</v>
      </c>
      <c r="AM123" s="63">
        <f>IF(AK123=Lists!$B$18,0,VLOOKUP(AL123,Amend_TOV,TOV!$F$1,FALSE))</f>
        <v>0</v>
      </c>
      <c r="AN123" s="117"/>
      <c r="AO123" s="351">
        <f t="shared" si="62"/>
        <v>0</v>
      </c>
      <c r="AP123" s="316">
        <f t="shared" si="63"/>
        <v>0</v>
      </c>
      <c r="AQ123" s="66">
        <v>1</v>
      </c>
      <c r="AR123" s="66"/>
      <c r="AS123" s="67">
        <f t="shared" si="72"/>
        <v>0</v>
      </c>
      <c r="AT123" s="16" t="str">
        <f t="shared" si="73"/>
        <v>No Alert</v>
      </c>
      <c r="AU123" s="351">
        <f t="shared" si="64"/>
        <v>0</v>
      </c>
      <c r="AV123" s="351">
        <f t="shared" si="65"/>
        <v>0</v>
      </c>
      <c r="AW123" s="1046">
        <f t="shared" si="66"/>
        <v>0</v>
      </c>
      <c r="AX123" s="1197">
        <f t="shared" si="67"/>
        <v>0</v>
      </c>
      <c r="AY123" s="215"/>
      <c r="AZ123" s="217"/>
      <c r="BA123" s="217"/>
      <c r="BB123" s="217"/>
      <c r="BC123" s="217"/>
      <c r="BD123" s="217"/>
      <c r="BE123" s="217"/>
      <c r="BF123" s="218"/>
      <c r="BG123" s="768"/>
      <c r="BH123" s="768"/>
      <c r="BI123" s="768"/>
      <c r="BJ123" s="768"/>
      <c r="BK123" s="768"/>
      <c r="CO123" s="768"/>
      <c r="CP123" s="768"/>
      <c r="CQ123" s="768"/>
      <c r="CR123" s="768"/>
      <c r="CS123" s="768"/>
      <c r="CT123" s="768"/>
      <c r="CU123" s="768"/>
      <c r="CV123" s="768"/>
      <c r="CW123" s="768"/>
    </row>
    <row r="124" spans="2:101" s="520" customFormat="1" ht="15">
      <c r="B124" s="616" t="str">
        <f t="shared" si="68"/>
        <v/>
      </c>
      <c r="C124" s="1164">
        <v>14</v>
      </c>
      <c r="D124" s="750" t="str">
        <f t="shared" si="51"/>
        <v>Pit 14</v>
      </c>
      <c r="E124" s="324">
        <f t="shared" si="69"/>
        <v>0</v>
      </c>
      <c r="F124" s="324">
        <f t="shared" si="70"/>
        <v>0</v>
      </c>
      <c r="G124" s="37" t="s">
        <v>428</v>
      </c>
      <c r="H124" s="37" t="s">
        <v>411</v>
      </c>
      <c r="I124" s="47" t="s">
        <v>3</v>
      </c>
      <c r="J124" s="63">
        <f t="shared" si="53"/>
        <v>1.9221853757639424</v>
      </c>
      <c r="K124" s="365">
        <f t="shared" si="54"/>
        <v>0</v>
      </c>
      <c r="L124" s="63">
        <f t="shared" si="55"/>
        <v>8904.769113128099</v>
      </c>
      <c r="M124" s="367">
        <f t="shared" si="56"/>
        <v>0</v>
      </c>
      <c r="N124" s="324">
        <f t="shared" si="57"/>
        <v>0</v>
      </c>
      <c r="O124" s="37" t="s">
        <v>125</v>
      </c>
      <c r="P124" s="47" t="s">
        <v>349</v>
      </c>
      <c r="Q124" s="63">
        <f t="shared" si="58"/>
        <v>6.2664411871606829</v>
      </c>
      <c r="R124" s="365">
        <f t="shared" si="59"/>
        <v>0</v>
      </c>
      <c r="S124" s="316"/>
      <c r="T124" s="318"/>
      <c r="U124" s="319">
        <f t="shared" si="71"/>
        <v>0</v>
      </c>
      <c r="V124" s="37" t="s">
        <v>125</v>
      </c>
      <c r="W124" s="47" t="s">
        <v>348</v>
      </c>
      <c r="X124" s="162">
        <f t="shared" si="60"/>
        <v>4.8064250364478198</v>
      </c>
      <c r="Y124" s="367">
        <f t="shared" si="61"/>
        <v>0</v>
      </c>
      <c r="Z124" s="316"/>
      <c r="AA124" s="195" t="s">
        <v>48</v>
      </c>
      <c r="AB124" s="1096" t="str">
        <f>IF(AA124=Lists!$B$18,"N/A",VLOOKUP(AA124,Lists!$B$18:$C$26,Lists!$C$3,FALSE))</f>
        <v>N/A</v>
      </c>
      <c r="AC124" s="63">
        <f>IF(AA124=Lists!$B$18,0,VLOOKUP(AB124,Amend_TOV,TOV!$F$1,FALSE))</f>
        <v>0</v>
      </c>
      <c r="AD124" s="117"/>
      <c r="AE124" s="316"/>
      <c r="AF124" s="195" t="s">
        <v>48</v>
      </c>
      <c r="AG124" s="1096" t="str">
        <f>IF(AF124=Lists!$B$18,"N/A",VLOOKUP(AF124,Lists!$B$18:$C$26,Lists!$C$3,FALSE))</f>
        <v>N/A</v>
      </c>
      <c r="AH124" s="63">
        <f>IF(AF124=Lists!$B$18,0,VLOOKUP(AG124,Amend_TOV,TOV!$F$1,FALSE))</f>
        <v>0</v>
      </c>
      <c r="AI124" s="117"/>
      <c r="AJ124" s="316"/>
      <c r="AK124" s="195" t="s">
        <v>48</v>
      </c>
      <c r="AL124" s="1096" t="str">
        <f>IF(AK124=Lists!$B$18,"N/A",VLOOKUP(AK124,Lists!$B$18:$C$26,Lists!$C$3,FALSE))</f>
        <v>N/A</v>
      </c>
      <c r="AM124" s="63">
        <f>IF(AK124=Lists!$B$18,0,VLOOKUP(AL124,Amend_TOV,TOV!$F$1,FALSE))</f>
        <v>0</v>
      </c>
      <c r="AN124" s="117"/>
      <c r="AO124" s="351">
        <f t="shared" si="62"/>
        <v>0</v>
      </c>
      <c r="AP124" s="316">
        <f t="shared" si="63"/>
        <v>0</v>
      </c>
      <c r="AQ124" s="66">
        <v>1</v>
      </c>
      <c r="AR124" s="66"/>
      <c r="AS124" s="67">
        <f t="shared" si="72"/>
        <v>0</v>
      </c>
      <c r="AT124" s="16" t="str">
        <f t="shared" si="73"/>
        <v>No Alert</v>
      </c>
      <c r="AU124" s="351">
        <f t="shared" si="64"/>
        <v>0</v>
      </c>
      <c r="AV124" s="351">
        <f t="shared" si="65"/>
        <v>0</v>
      </c>
      <c r="AW124" s="1046">
        <f t="shared" si="66"/>
        <v>0</v>
      </c>
      <c r="AX124" s="1197">
        <f t="shared" si="67"/>
        <v>0</v>
      </c>
      <c r="AY124" s="215"/>
      <c r="AZ124" s="217"/>
      <c r="BA124" s="217"/>
      <c r="BB124" s="217"/>
      <c r="BC124" s="217"/>
      <c r="BD124" s="217"/>
      <c r="BE124" s="217"/>
      <c r="BF124" s="218"/>
      <c r="BG124" s="768"/>
      <c r="BH124" s="768"/>
      <c r="BI124" s="768"/>
      <c r="BJ124" s="768"/>
      <c r="BK124" s="768"/>
      <c r="CO124" s="768"/>
      <c r="CP124" s="768"/>
      <c r="CQ124" s="768"/>
      <c r="CR124" s="768"/>
      <c r="CS124" s="768"/>
      <c r="CT124" s="768"/>
      <c r="CU124" s="768"/>
      <c r="CV124" s="768"/>
      <c r="CW124" s="768"/>
    </row>
    <row r="125" spans="2:101" s="520" customFormat="1" ht="15">
      <c r="B125" s="616" t="str">
        <f t="shared" si="68"/>
        <v/>
      </c>
      <c r="C125" s="1164">
        <v>15</v>
      </c>
      <c r="D125" s="750" t="str">
        <f t="shared" si="51"/>
        <v>Pit 15</v>
      </c>
      <c r="E125" s="324">
        <f t="shared" si="69"/>
        <v>0</v>
      </c>
      <c r="F125" s="324">
        <f t="shared" si="70"/>
        <v>0</v>
      </c>
      <c r="G125" s="37" t="s">
        <v>428</v>
      </c>
      <c r="H125" s="37" t="s">
        <v>411</v>
      </c>
      <c r="I125" s="47" t="s">
        <v>3</v>
      </c>
      <c r="J125" s="63">
        <f t="shared" si="53"/>
        <v>1.9221853757639424</v>
      </c>
      <c r="K125" s="365">
        <f t="shared" si="54"/>
        <v>0</v>
      </c>
      <c r="L125" s="63">
        <f t="shared" si="55"/>
        <v>8904.769113128099</v>
      </c>
      <c r="M125" s="367">
        <f t="shared" si="56"/>
        <v>0</v>
      </c>
      <c r="N125" s="324">
        <f t="shared" si="57"/>
        <v>0</v>
      </c>
      <c r="O125" s="37" t="s">
        <v>125</v>
      </c>
      <c r="P125" s="47" t="s">
        <v>349</v>
      </c>
      <c r="Q125" s="63">
        <f t="shared" si="58"/>
        <v>6.2664411871606829</v>
      </c>
      <c r="R125" s="365">
        <f t="shared" si="59"/>
        <v>0</v>
      </c>
      <c r="S125" s="316"/>
      <c r="T125" s="318"/>
      <c r="U125" s="319">
        <f t="shared" si="71"/>
        <v>0</v>
      </c>
      <c r="V125" s="37" t="s">
        <v>125</v>
      </c>
      <c r="W125" s="47" t="s">
        <v>348</v>
      </c>
      <c r="X125" s="162">
        <f t="shared" si="60"/>
        <v>4.8064250364478198</v>
      </c>
      <c r="Y125" s="367">
        <f t="shared" si="61"/>
        <v>0</v>
      </c>
      <c r="Z125" s="316"/>
      <c r="AA125" s="195" t="s">
        <v>48</v>
      </c>
      <c r="AB125" s="1096" t="str">
        <f>IF(AA125=Lists!$B$18,"N/A",VLOOKUP(AA125,Lists!$B$18:$C$26,Lists!$C$3,FALSE))</f>
        <v>N/A</v>
      </c>
      <c r="AC125" s="63">
        <f>IF(AA125=Lists!$B$18,0,VLOOKUP(AB125,Amend_TOV,TOV!$F$1,FALSE))</f>
        <v>0</v>
      </c>
      <c r="AD125" s="117"/>
      <c r="AE125" s="316"/>
      <c r="AF125" s="195" t="s">
        <v>48</v>
      </c>
      <c r="AG125" s="1096" t="str">
        <f>IF(AF125=Lists!$B$18,"N/A",VLOOKUP(AF125,Lists!$B$18:$C$26,Lists!$C$3,FALSE))</f>
        <v>N/A</v>
      </c>
      <c r="AH125" s="63">
        <f>IF(AF125=Lists!$B$18,0,VLOOKUP(AG125,Amend_TOV,TOV!$F$1,FALSE))</f>
        <v>0</v>
      </c>
      <c r="AI125" s="117"/>
      <c r="AJ125" s="316"/>
      <c r="AK125" s="195" t="s">
        <v>48</v>
      </c>
      <c r="AL125" s="1096" t="str">
        <f>IF(AK125=Lists!$B$18,"N/A",VLOOKUP(AK125,Lists!$B$18:$C$26,Lists!$C$3,FALSE))</f>
        <v>N/A</v>
      </c>
      <c r="AM125" s="63">
        <f>IF(AK125=Lists!$B$18,0,VLOOKUP(AL125,Amend_TOV,TOV!$F$1,FALSE))</f>
        <v>0</v>
      </c>
      <c r="AN125" s="117"/>
      <c r="AO125" s="351">
        <f t="shared" si="62"/>
        <v>0</v>
      </c>
      <c r="AP125" s="316">
        <f t="shared" si="63"/>
        <v>0</v>
      </c>
      <c r="AQ125" s="66">
        <v>1</v>
      </c>
      <c r="AR125" s="66"/>
      <c r="AS125" s="67">
        <f t="shared" si="72"/>
        <v>0</v>
      </c>
      <c r="AT125" s="16" t="str">
        <f t="shared" si="73"/>
        <v>No Alert</v>
      </c>
      <c r="AU125" s="351">
        <f t="shared" si="64"/>
        <v>0</v>
      </c>
      <c r="AV125" s="351">
        <f t="shared" si="65"/>
        <v>0</v>
      </c>
      <c r="AW125" s="1046">
        <f t="shared" si="66"/>
        <v>0</v>
      </c>
      <c r="AX125" s="1197">
        <f t="shared" si="67"/>
        <v>0</v>
      </c>
      <c r="AY125" s="215"/>
      <c r="AZ125" s="217"/>
      <c r="BA125" s="217"/>
      <c r="BB125" s="217"/>
      <c r="BC125" s="217"/>
      <c r="BD125" s="217"/>
      <c r="BE125" s="217"/>
      <c r="BF125" s="218"/>
      <c r="BG125" s="768"/>
      <c r="BH125" s="768"/>
      <c r="BI125" s="768"/>
      <c r="BJ125" s="768"/>
      <c r="BK125" s="768"/>
      <c r="CO125" s="768"/>
      <c r="CP125" s="768"/>
      <c r="CQ125" s="768"/>
      <c r="CR125" s="768"/>
      <c r="CS125" s="768"/>
      <c r="CT125" s="768"/>
      <c r="CU125" s="768"/>
      <c r="CV125" s="768"/>
      <c r="CW125" s="768"/>
    </row>
    <row r="126" spans="2:101" s="520" customFormat="1" ht="15">
      <c r="B126" s="616" t="str">
        <f t="shared" si="68"/>
        <v/>
      </c>
      <c r="C126" s="1164">
        <v>16</v>
      </c>
      <c r="D126" s="750" t="str">
        <f t="shared" si="51"/>
        <v>Pit 16</v>
      </c>
      <c r="E126" s="324">
        <f t="shared" si="69"/>
        <v>0</v>
      </c>
      <c r="F126" s="324">
        <f t="shared" si="70"/>
        <v>0</v>
      </c>
      <c r="G126" s="37" t="s">
        <v>428</v>
      </c>
      <c r="H126" s="37" t="s">
        <v>411</v>
      </c>
      <c r="I126" s="47" t="s">
        <v>3</v>
      </c>
      <c r="J126" s="63">
        <f t="shared" si="53"/>
        <v>1.9221853757639424</v>
      </c>
      <c r="K126" s="365">
        <f t="shared" si="54"/>
        <v>0</v>
      </c>
      <c r="L126" s="63">
        <f t="shared" si="55"/>
        <v>8904.769113128099</v>
      </c>
      <c r="M126" s="367">
        <f t="shared" si="56"/>
        <v>0</v>
      </c>
      <c r="N126" s="324">
        <f t="shared" si="57"/>
        <v>0</v>
      </c>
      <c r="O126" s="37" t="s">
        <v>125</v>
      </c>
      <c r="P126" s="47" t="s">
        <v>349</v>
      </c>
      <c r="Q126" s="63">
        <f t="shared" si="58"/>
        <v>6.2664411871606829</v>
      </c>
      <c r="R126" s="365">
        <f t="shared" si="59"/>
        <v>0</v>
      </c>
      <c r="S126" s="316"/>
      <c r="T126" s="318"/>
      <c r="U126" s="319">
        <f t="shared" si="71"/>
        <v>0</v>
      </c>
      <c r="V126" s="37" t="s">
        <v>125</v>
      </c>
      <c r="W126" s="47" t="s">
        <v>348</v>
      </c>
      <c r="X126" s="162">
        <f t="shared" si="60"/>
        <v>4.8064250364478198</v>
      </c>
      <c r="Y126" s="367">
        <f t="shared" si="61"/>
        <v>0</v>
      </c>
      <c r="Z126" s="316"/>
      <c r="AA126" s="195" t="s">
        <v>48</v>
      </c>
      <c r="AB126" s="1096" t="str">
        <f>IF(AA126=Lists!$B$18,"N/A",VLOOKUP(AA126,Lists!$B$18:$C$26,Lists!$C$3,FALSE))</f>
        <v>N/A</v>
      </c>
      <c r="AC126" s="63">
        <f>IF(AA126=Lists!$B$18,0,VLOOKUP(AB126,Amend_TOV,TOV!$F$1,FALSE))</f>
        <v>0</v>
      </c>
      <c r="AD126" s="117"/>
      <c r="AE126" s="316"/>
      <c r="AF126" s="195" t="s">
        <v>48</v>
      </c>
      <c r="AG126" s="1096" t="str">
        <f>IF(AF126=Lists!$B$18,"N/A",VLOOKUP(AF126,Lists!$B$18:$C$26,Lists!$C$3,FALSE))</f>
        <v>N/A</v>
      </c>
      <c r="AH126" s="63">
        <f>IF(AF126=Lists!$B$18,0,VLOOKUP(AG126,Amend_TOV,TOV!$F$1,FALSE))</f>
        <v>0</v>
      </c>
      <c r="AI126" s="117"/>
      <c r="AJ126" s="316"/>
      <c r="AK126" s="195" t="s">
        <v>48</v>
      </c>
      <c r="AL126" s="1096" t="str">
        <f>IF(AK126=Lists!$B$18,"N/A",VLOOKUP(AK126,Lists!$B$18:$C$26,Lists!$C$3,FALSE))</f>
        <v>N/A</v>
      </c>
      <c r="AM126" s="63">
        <f>IF(AK126=Lists!$B$18,0,VLOOKUP(AL126,Amend_TOV,TOV!$F$1,FALSE))</f>
        <v>0</v>
      </c>
      <c r="AN126" s="117"/>
      <c r="AO126" s="351">
        <f t="shared" si="62"/>
        <v>0</v>
      </c>
      <c r="AP126" s="316">
        <f t="shared" si="63"/>
        <v>0</v>
      </c>
      <c r="AQ126" s="66">
        <v>1</v>
      </c>
      <c r="AR126" s="66"/>
      <c r="AS126" s="67">
        <f t="shared" si="72"/>
        <v>0</v>
      </c>
      <c r="AT126" s="16" t="str">
        <f t="shared" si="73"/>
        <v>No Alert</v>
      </c>
      <c r="AU126" s="351">
        <f t="shared" si="64"/>
        <v>0</v>
      </c>
      <c r="AV126" s="351">
        <f t="shared" si="65"/>
        <v>0</v>
      </c>
      <c r="AW126" s="1046">
        <f t="shared" si="66"/>
        <v>0</v>
      </c>
      <c r="AX126" s="1197">
        <f t="shared" si="67"/>
        <v>0</v>
      </c>
      <c r="AY126" s="215"/>
      <c r="AZ126" s="217"/>
      <c r="BA126" s="217"/>
      <c r="BB126" s="217"/>
      <c r="BC126" s="217"/>
      <c r="BD126" s="217"/>
      <c r="BE126" s="217"/>
      <c r="BF126" s="218"/>
      <c r="BG126" s="768"/>
      <c r="BH126" s="768"/>
      <c r="BI126" s="768"/>
      <c r="BJ126" s="768"/>
      <c r="BK126" s="768"/>
      <c r="CO126" s="768"/>
      <c r="CP126" s="768"/>
      <c r="CQ126" s="768"/>
      <c r="CR126" s="768"/>
      <c r="CS126" s="768"/>
      <c r="CT126" s="768"/>
      <c r="CU126" s="768"/>
      <c r="CV126" s="768"/>
      <c r="CW126" s="768"/>
    </row>
    <row r="127" spans="2:101" s="520" customFormat="1" ht="15">
      <c r="B127" s="616" t="str">
        <f t="shared" si="68"/>
        <v/>
      </c>
      <c r="C127" s="1164">
        <v>17</v>
      </c>
      <c r="D127" s="750" t="str">
        <f t="shared" si="51"/>
        <v>Pit 17</v>
      </c>
      <c r="E127" s="324">
        <f t="shared" si="69"/>
        <v>0</v>
      </c>
      <c r="F127" s="324">
        <f t="shared" si="70"/>
        <v>0</v>
      </c>
      <c r="G127" s="37" t="s">
        <v>428</v>
      </c>
      <c r="H127" s="37" t="s">
        <v>411</v>
      </c>
      <c r="I127" s="47" t="s">
        <v>3</v>
      </c>
      <c r="J127" s="63">
        <f t="shared" si="53"/>
        <v>1.9221853757639424</v>
      </c>
      <c r="K127" s="365">
        <f t="shared" si="54"/>
        <v>0</v>
      </c>
      <c r="L127" s="63">
        <f t="shared" si="55"/>
        <v>8904.769113128099</v>
      </c>
      <c r="M127" s="367">
        <f t="shared" si="56"/>
        <v>0</v>
      </c>
      <c r="N127" s="324">
        <f t="shared" si="57"/>
        <v>0</v>
      </c>
      <c r="O127" s="37" t="s">
        <v>125</v>
      </c>
      <c r="P127" s="47" t="s">
        <v>349</v>
      </c>
      <c r="Q127" s="63">
        <f t="shared" si="58"/>
        <v>6.2664411871606829</v>
      </c>
      <c r="R127" s="365">
        <f t="shared" si="59"/>
        <v>0</v>
      </c>
      <c r="S127" s="316"/>
      <c r="T127" s="318"/>
      <c r="U127" s="319">
        <f t="shared" si="71"/>
        <v>0</v>
      </c>
      <c r="V127" s="37" t="s">
        <v>125</v>
      </c>
      <c r="W127" s="47" t="s">
        <v>348</v>
      </c>
      <c r="X127" s="162">
        <f t="shared" si="60"/>
        <v>4.8064250364478198</v>
      </c>
      <c r="Y127" s="367">
        <f t="shared" si="61"/>
        <v>0</v>
      </c>
      <c r="Z127" s="316"/>
      <c r="AA127" s="195" t="s">
        <v>48</v>
      </c>
      <c r="AB127" s="1096" t="str">
        <f>IF(AA127=Lists!$B$18,"N/A",VLOOKUP(AA127,Lists!$B$18:$C$26,Lists!$C$3,FALSE))</f>
        <v>N/A</v>
      </c>
      <c r="AC127" s="63">
        <f>IF(AA127=Lists!$B$18,0,VLOOKUP(AB127,Amend_TOV,TOV!$F$1,FALSE))</f>
        <v>0</v>
      </c>
      <c r="AD127" s="117"/>
      <c r="AE127" s="316"/>
      <c r="AF127" s="195" t="s">
        <v>48</v>
      </c>
      <c r="AG127" s="1096" t="str">
        <f>IF(AF127=Lists!$B$18,"N/A",VLOOKUP(AF127,Lists!$B$18:$C$26,Lists!$C$3,FALSE))</f>
        <v>N/A</v>
      </c>
      <c r="AH127" s="63">
        <f>IF(AF127=Lists!$B$18,0,VLOOKUP(AG127,Amend_TOV,TOV!$F$1,FALSE))</f>
        <v>0</v>
      </c>
      <c r="AI127" s="117"/>
      <c r="AJ127" s="316"/>
      <c r="AK127" s="195" t="s">
        <v>48</v>
      </c>
      <c r="AL127" s="1096" t="str">
        <f>IF(AK127=Lists!$B$18,"N/A",VLOOKUP(AK127,Lists!$B$18:$C$26,Lists!$C$3,FALSE))</f>
        <v>N/A</v>
      </c>
      <c r="AM127" s="63">
        <f>IF(AK127=Lists!$B$18,0,VLOOKUP(AL127,Amend_TOV,TOV!$F$1,FALSE))</f>
        <v>0</v>
      </c>
      <c r="AN127" s="117"/>
      <c r="AO127" s="351">
        <f t="shared" si="62"/>
        <v>0</v>
      </c>
      <c r="AP127" s="316">
        <f t="shared" si="63"/>
        <v>0</v>
      </c>
      <c r="AQ127" s="66">
        <v>1</v>
      </c>
      <c r="AR127" s="66"/>
      <c r="AS127" s="67">
        <f t="shared" si="72"/>
        <v>0</v>
      </c>
      <c r="AT127" s="16" t="str">
        <f t="shared" si="73"/>
        <v>No Alert</v>
      </c>
      <c r="AU127" s="351">
        <f t="shared" si="64"/>
        <v>0</v>
      </c>
      <c r="AV127" s="351">
        <f t="shared" si="65"/>
        <v>0</v>
      </c>
      <c r="AW127" s="1046">
        <f t="shared" si="66"/>
        <v>0</v>
      </c>
      <c r="AX127" s="1197">
        <f t="shared" si="67"/>
        <v>0</v>
      </c>
      <c r="AY127" s="215"/>
      <c r="AZ127" s="217"/>
      <c r="BA127" s="217"/>
      <c r="BB127" s="217"/>
      <c r="BC127" s="217"/>
      <c r="BD127" s="217"/>
      <c r="BE127" s="217"/>
      <c r="BF127" s="218"/>
      <c r="BG127" s="768"/>
      <c r="BH127" s="768"/>
      <c r="BI127" s="768"/>
      <c r="BJ127" s="768"/>
      <c r="BK127" s="768"/>
      <c r="CO127" s="768"/>
      <c r="CP127" s="768"/>
      <c r="CQ127" s="768"/>
      <c r="CR127" s="768"/>
      <c r="CS127" s="768"/>
      <c r="CT127" s="768"/>
      <c r="CU127" s="768"/>
      <c r="CV127" s="768"/>
      <c r="CW127" s="768"/>
    </row>
    <row r="128" spans="2:101" s="520" customFormat="1" ht="15">
      <c r="B128" s="616" t="str">
        <f t="shared" si="68"/>
        <v/>
      </c>
      <c r="C128" s="1164">
        <v>18</v>
      </c>
      <c r="D128" s="750" t="str">
        <f t="shared" si="51"/>
        <v>Pit 18</v>
      </c>
      <c r="E128" s="324">
        <f t="shared" si="69"/>
        <v>0</v>
      </c>
      <c r="F128" s="324">
        <f t="shared" si="70"/>
        <v>0</v>
      </c>
      <c r="G128" s="37" t="s">
        <v>428</v>
      </c>
      <c r="H128" s="37" t="s">
        <v>411</v>
      </c>
      <c r="I128" s="47" t="s">
        <v>3</v>
      </c>
      <c r="J128" s="63">
        <f t="shared" si="53"/>
        <v>1.9221853757639424</v>
      </c>
      <c r="K128" s="365">
        <f t="shared" si="54"/>
        <v>0</v>
      </c>
      <c r="L128" s="63">
        <f t="shared" si="55"/>
        <v>8904.769113128099</v>
      </c>
      <c r="M128" s="367">
        <f t="shared" si="56"/>
        <v>0</v>
      </c>
      <c r="N128" s="324">
        <f t="shared" si="57"/>
        <v>0</v>
      </c>
      <c r="O128" s="37" t="s">
        <v>125</v>
      </c>
      <c r="P128" s="47" t="s">
        <v>349</v>
      </c>
      <c r="Q128" s="63">
        <f t="shared" si="58"/>
        <v>6.2664411871606829</v>
      </c>
      <c r="R128" s="365">
        <f t="shared" si="59"/>
        <v>0</v>
      </c>
      <c r="S128" s="316"/>
      <c r="T128" s="318"/>
      <c r="U128" s="319">
        <f t="shared" si="71"/>
        <v>0</v>
      </c>
      <c r="V128" s="37" t="s">
        <v>125</v>
      </c>
      <c r="W128" s="47" t="s">
        <v>348</v>
      </c>
      <c r="X128" s="162">
        <f t="shared" si="60"/>
        <v>4.8064250364478198</v>
      </c>
      <c r="Y128" s="367">
        <f t="shared" si="61"/>
        <v>0</v>
      </c>
      <c r="Z128" s="316"/>
      <c r="AA128" s="195" t="s">
        <v>48</v>
      </c>
      <c r="AB128" s="1096" t="str">
        <f>IF(AA128=Lists!$B$18,"N/A",VLOOKUP(AA128,Lists!$B$18:$C$26,Lists!$C$3,FALSE))</f>
        <v>N/A</v>
      </c>
      <c r="AC128" s="63">
        <f>IF(AA128=Lists!$B$18,0,VLOOKUP(AB128,Amend_TOV,TOV!$F$1,FALSE))</f>
        <v>0</v>
      </c>
      <c r="AD128" s="117"/>
      <c r="AE128" s="316"/>
      <c r="AF128" s="195" t="s">
        <v>48</v>
      </c>
      <c r="AG128" s="1096" t="str">
        <f>IF(AF128=Lists!$B$18,"N/A",VLOOKUP(AF128,Lists!$B$18:$C$26,Lists!$C$3,FALSE))</f>
        <v>N/A</v>
      </c>
      <c r="AH128" s="63">
        <f>IF(AF128=Lists!$B$18,0,VLOOKUP(AG128,Amend_TOV,TOV!$F$1,FALSE))</f>
        <v>0</v>
      </c>
      <c r="AI128" s="117"/>
      <c r="AJ128" s="316"/>
      <c r="AK128" s="195" t="s">
        <v>48</v>
      </c>
      <c r="AL128" s="1096" t="str">
        <f>IF(AK128=Lists!$B$18,"N/A",VLOOKUP(AK128,Lists!$B$18:$C$26,Lists!$C$3,FALSE))</f>
        <v>N/A</v>
      </c>
      <c r="AM128" s="63">
        <f>IF(AK128=Lists!$B$18,0,VLOOKUP(AL128,Amend_TOV,TOV!$F$1,FALSE))</f>
        <v>0</v>
      </c>
      <c r="AN128" s="117"/>
      <c r="AO128" s="351">
        <f t="shared" si="62"/>
        <v>0</v>
      </c>
      <c r="AP128" s="316">
        <f t="shared" si="63"/>
        <v>0</v>
      </c>
      <c r="AQ128" s="66">
        <v>1</v>
      </c>
      <c r="AR128" s="66"/>
      <c r="AS128" s="67">
        <f t="shared" si="72"/>
        <v>0</v>
      </c>
      <c r="AT128" s="16" t="str">
        <f t="shared" si="73"/>
        <v>No Alert</v>
      </c>
      <c r="AU128" s="351">
        <f t="shared" si="64"/>
        <v>0</v>
      </c>
      <c r="AV128" s="351">
        <f t="shared" si="65"/>
        <v>0</v>
      </c>
      <c r="AW128" s="1046">
        <f t="shared" si="66"/>
        <v>0</v>
      </c>
      <c r="AX128" s="1197">
        <f t="shared" si="67"/>
        <v>0</v>
      </c>
      <c r="AY128" s="215"/>
      <c r="AZ128" s="217"/>
      <c r="BA128" s="217"/>
      <c r="BB128" s="217"/>
      <c r="BC128" s="217"/>
      <c r="BD128" s="217"/>
      <c r="BE128" s="217"/>
      <c r="BF128" s="218"/>
      <c r="BG128" s="768"/>
      <c r="BH128" s="768"/>
      <c r="BI128" s="768"/>
      <c r="BJ128" s="768"/>
      <c r="BK128" s="768"/>
      <c r="CO128" s="768"/>
      <c r="CP128" s="768"/>
      <c r="CQ128" s="768"/>
      <c r="CR128" s="768"/>
      <c r="CS128" s="768"/>
      <c r="CT128" s="768"/>
      <c r="CU128" s="768"/>
      <c r="CV128" s="768"/>
      <c r="CW128" s="768"/>
    </row>
    <row r="129" spans="2:125" s="520" customFormat="1" ht="15">
      <c r="B129" s="616" t="str">
        <f t="shared" si="68"/>
        <v/>
      </c>
      <c r="C129" s="1164">
        <v>19</v>
      </c>
      <c r="D129" s="750" t="str">
        <f t="shared" si="51"/>
        <v>Pit 19</v>
      </c>
      <c r="E129" s="324">
        <f t="shared" si="69"/>
        <v>0</v>
      </c>
      <c r="F129" s="324">
        <f t="shared" si="70"/>
        <v>0</v>
      </c>
      <c r="G129" s="37" t="s">
        <v>428</v>
      </c>
      <c r="H129" s="37" t="s">
        <v>411</v>
      </c>
      <c r="I129" s="47" t="s">
        <v>3</v>
      </c>
      <c r="J129" s="63">
        <f t="shared" si="53"/>
        <v>1.9221853757639424</v>
      </c>
      <c r="K129" s="365">
        <f t="shared" si="54"/>
        <v>0</v>
      </c>
      <c r="L129" s="63">
        <f t="shared" si="55"/>
        <v>8904.769113128099</v>
      </c>
      <c r="M129" s="367">
        <f t="shared" si="56"/>
        <v>0</v>
      </c>
      <c r="N129" s="324">
        <f t="shared" si="57"/>
        <v>0</v>
      </c>
      <c r="O129" s="37" t="s">
        <v>125</v>
      </c>
      <c r="P129" s="47" t="s">
        <v>349</v>
      </c>
      <c r="Q129" s="63">
        <f t="shared" si="58"/>
        <v>6.2664411871606829</v>
      </c>
      <c r="R129" s="365">
        <f t="shared" si="59"/>
        <v>0</v>
      </c>
      <c r="S129" s="316"/>
      <c r="T129" s="318"/>
      <c r="U129" s="319">
        <f t="shared" si="71"/>
        <v>0</v>
      </c>
      <c r="V129" s="37" t="s">
        <v>125</v>
      </c>
      <c r="W129" s="47" t="s">
        <v>348</v>
      </c>
      <c r="X129" s="162">
        <f t="shared" si="60"/>
        <v>4.8064250364478198</v>
      </c>
      <c r="Y129" s="367">
        <f t="shared" si="61"/>
        <v>0</v>
      </c>
      <c r="Z129" s="316"/>
      <c r="AA129" s="195" t="s">
        <v>48</v>
      </c>
      <c r="AB129" s="1096" t="str">
        <f>IF(AA129=Lists!$B$18,"N/A",VLOOKUP(AA129,Lists!$B$18:$C$26,Lists!$C$3,FALSE))</f>
        <v>N/A</v>
      </c>
      <c r="AC129" s="63">
        <f>IF(AA129=Lists!$B$18,0,VLOOKUP(AB129,Amend_TOV,TOV!$F$1,FALSE))</f>
        <v>0</v>
      </c>
      <c r="AD129" s="117"/>
      <c r="AE129" s="316"/>
      <c r="AF129" s="195" t="s">
        <v>48</v>
      </c>
      <c r="AG129" s="1096" t="str">
        <f>IF(AF129=Lists!$B$18,"N/A",VLOOKUP(AF129,Lists!$B$18:$C$26,Lists!$C$3,FALSE))</f>
        <v>N/A</v>
      </c>
      <c r="AH129" s="63">
        <f>IF(AF129=Lists!$B$18,0,VLOOKUP(AG129,Amend_TOV,TOV!$F$1,FALSE))</f>
        <v>0</v>
      </c>
      <c r="AI129" s="117"/>
      <c r="AJ129" s="316"/>
      <c r="AK129" s="195" t="s">
        <v>48</v>
      </c>
      <c r="AL129" s="1096" t="str">
        <f>IF(AK129=Lists!$B$18,"N/A",VLOOKUP(AK129,Lists!$B$18:$C$26,Lists!$C$3,FALSE))</f>
        <v>N/A</v>
      </c>
      <c r="AM129" s="63">
        <f>IF(AK129=Lists!$B$18,0,VLOOKUP(AL129,Amend_TOV,TOV!$F$1,FALSE))</f>
        <v>0</v>
      </c>
      <c r="AN129" s="117"/>
      <c r="AO129" s="351">
        <f t="shared" si="62"/>
        <v>0</v>
      </c>
      <c r="AP129" s="316">
        <f t="shared" si="63"/>
        <v>0</v>
      </c>
      <c r="AQ129" s="66">
        <v>1</v>
      </c>
      <c r="AR129" s="66"/>
      <c r="AS129" s="67">
        <f t="shared" si="72"/>
        <v>0</v>
      </c>
      <c r="AT129" s="16" t="str">
        <f t="shared" si="73"/>
        <v>No Alert</v>
      </c>
      <c r="AU129" s="351">
        <f t="shared" si="64"/>
        <v>0</v>
      </c>
      <c r="AV129" s="351">
        <f t="shared" si="65"/>
        <v>0</v>
      </c>
      <c r="AW129" s="1046">
        <f t="shared" si="66"/>
        <v>0</v>
      </c>
      <c r="AX129" s="1197">
        <f t="shared" si="67"/>
        <v>0</v>
      </c>
      <c r="AY129" s="215"/>
      <c r="AZ129" s="217"/>
      <c r="BA129" s="217"/>
      <c r="BB129" s="217"/>
      <c r="BC129" s="217"/>
      <c r="BD129" s="217"/>
      <c r="BE129" s="217"/>
      <c r="BF129" s="218"/>
      <c r="BG129" s="768"/>
      <c r="BH129" s="768"/>
      <c r="BI129" s="768"/>
      <c r="BJ129" s="768"/>
      <c r="BK129" s="768"/>
      <c r="CO129" s="768"/>
      <c r="CP129" s="768"/>
      <c r="CQ129" s="768"/>
      <c r="CR129" s="768"/>
      <c r="CS129" s="768"/>
      <c r="CT129" s="768"/>
      <c r="CU129" s="768"/>
      <c r="CV129" s="768"/>
      <c r="CW129" s="768"/>
    </row>
    <row r="130" spans="2:125" s="520" customFormat="1" ht="15">
      <c r="B130" s="616" t="str">
        <f t="shared" si="68"/>
        <v/>
      </c>
      <c r="C130" s="1164">
        <v>20</v>
      </c>
      <c r="D130" s="750" t="str">
        <f t="shared" si="51"/>
        <v>Pit 20</v>
      </c>
      <c r="E130" s="324">
        <f t="shared" si="69"/>
        <v>0</v>
      </c>
      <c r="F130" s="324">
        <f t="shared" si="70"/>
        <v>0</v>
      </c>
      <c r="G130" s="37" t="s">
        <v>428</v>
      </c>
      <c r="H130" s="37" t="s">
        <v>411</v>
      </c>
      <c r="I130" s="47" t="s">
        <v>3</v>
      </c>
      <c r="J130" s="63">
        <f t="shared" si="53"/>
        <v>1.9221853757639424</v>
      </c>
      <c r="K130" s="365">
        <f t="shared" si="54"/>
        <v>0</v>
      </c>
      <c r="L130" s="63">
        <f t="shared" si="55"/>
        <v>8904.769113128099</v>
      </c>
      <c r="M130" s="367">
        <f t="shared" si="56"/>
        <v>0</v>
      </c>
      <c r="N130" s="324">
        <f t="shared" si="57"/>
        <v>0</v>
      </c>
      <c r="O130" s="37" t="s">
        <v>125</v>
      </c>
      <c r="P130" s="47" t="s">
        <v>349</v>
      </c>
      <c r="Q130" s="63">
        <f t="shared" si="58"/>
        <v>6.2664411871606829</v>
      </c>
      <c r="R130" s="365">
        <f t="shared" si="59"/>
        <v>0</v>
      </c>
      <c r="S130" s="316"/>
      <c r="T130" s="318"/>
      <c r="U130" s="319">
        <f t="shared" si="71"/>
        <v>0</v>
      </c>
      <c r="V130" s="37" t="s">
        <v>125</v>
      </c>
      <c r="W130" s="47" t="s">
        <v>348</v>
      </c>
      <c r="X130" s="162">
        <f t="shared" si="60"/>
        <v>4.8064250364478198</v>
      </c>
      <c r="Y130" s="367">
        <f t="shared" si="61"/>
        <v>0</v>
      </c>
      <c r="Z130" s="316"/>
      <c r="AA130" s="195" t="s">
        <v>48</v>
      </c>
      <c r="AB130" s="1096" t="str">
        <f>IF(AA130=Lists!$B$18,"N/A",VLOOKUP(AA130,Lists!$B$18:$C$26,Lists!$C$3,FALSE))</f>
        <v>N/A</v>
      </c>
      <c r="AC130" s="63">
        <f>IF(AA130=Lists!$B$18,0,VLOOKUP(AB130,Amend_TOV,TOV!$F$1,FALSE))</f>
        <v>0</v>
      </c>
      <c r="AD130" s="117"/>
      <c r="AE130" s="316"/>
      <c r="AF130" s="195" t="s">
        <v>48</v>
      </c>
      <c r="AG130" s="1096" t="str">
        <f>IF(AF130=Lists!$B$18,"N/A",VLOOKUP(AF130,Lists!$B$18:$C$26,Lists!$C$3,FALSE))</f>
        <v>N/A</v>
      </c>
      <c r="AH130" s="63">
        <f>IF(AF130=Lists!$B$18,0,VLOOKUP(AG130,Amend_TOV,TOV!$F$1,FALSE))</f>
        <v>0</v>
      </c>
      <c r="AI130" s="117"/>
      <c r="AJ130" s="316"/>
      <c r="AK130" s="195" t="s">
        <v>48</v>
      </c>
      <c r="AL130" s="1096" t="str">
        <f>IF(AK130=Lists!$B$18,"N/A",VLOOKUP(AK130,Lists!$B$18:$C$26,Lists!$C$3,FALSE))</f>
        <v>N/A</v>
      </c>
      <c r="AM130" s="63">
        <f>IF(AK130=Lists!$B$18,0,VLOOKUP(AL130,Amend_TOV,TOV!$F$1,FALSE))</f>
        <v>0</v>
      </c>
      <c r="AN130" s="117"/>
      <c r="AO130" s="351">
        <f t="shared" si="62"/>
        <v>0</v>
      </c>
      <c r="AP130" s="316">
        <f t="shared" si="63"/>
        <v>0</v>
      </c>
      <c r="AQ130" s="66">
        <v>1</v>
      </c>
      <c r="AR130" s="66"/>
      <c r="AS130" s="67">
        <f t="shared" si="72"/>
        <v>0</v>
      </c>
      <c r="AT130" s="16" t="str">
        <f t="shared" si="73"/>
        <v>No Alert</v>
      </c>
      <c r="AU130" s="351">
        <f t="shared" si="64"/>
        <v>0</v>
      </c>
      <c r="AV130" s="351">
        <f t="shared" si="65"/>
        <v>0</v>
      </c>
      <c r="AW130" s="1046">
        <f t="shared" si="66"/>
        <v>0</v>
      </c>
      <c r="AX130" s="1197">
        <f t="shared" si="67"/>
        <v>0</v>
      </c>
      <c r="AY130" s="215"/>
      <c r="AZ130" s="217"/>
      <c r="BA130" s="217"/>
      <c r="BB130" s="217"/>
      <c r="BC130" s="217"/>
      <c r="BD130" s="217"/>
      <c r="BE130" s="217"/>
      <c r="BF130" s="218"/>
      <c r="BG130" s="768"/>
      <c r="BH130" s="768"/>
      <c r="BI130" s="768"/>
      <c r="BJ130" s="768"/>
      <c r="BK130" s="768"/>
      <c r="CO130" s="768"/>
      <c r="CP130" s="768"/>
      <c r="CQ130" s="768"/>
      <c r="CR130" s="768"/>
      <c r="CS130" s="768"/>
      <c r="CT130" s="768"/>
      <c r="CU130" s="768"/>
      <c r="CV130" s="768"/>
      <c r="CW130" s="768"/>
    </row>
    <row r="131" spans="2:125" ht="18" customHeight="1">
      <c r="E131" s="795"/>
      <c r="F131" s="795"/>
      <c r="G131" s="475"/>
      <c r="H131" s="475"/>
      <c r="I131" s="475"/>
      <c r="J131" s="475"/>
      <c r="K131" s="1105"/>
      <c r="L131" s="475"/>
      <c r="M131" s="475"/>
      <c r="N131" s="795"/>
      <c r="R131" s="1105"/>
      <c r="S131" s="475"/>
      <c r="T131" s="1123"/>
      <c r="U131" s="1123"/>
      <c r="V131" s="475"/>
      <c r="W131" s="475"/>
      <c r="AE131" s="1123"/>
      <c r="AJ131" s="1123"/>
      <c r="AK131" s="475"/>
      <c r="AL131" s="475"/>
      <c r="AM131" s="475"/>
      <c r="AN131" s="475"/>
      <c r="AO131" s="1123"/>
      <c r="AP131" s="1123"/>
      <c r="AQ131" s="475"/>
      <c r="AR131" s="475"/>
      <c r="AS131" s="475"/>
      <c r="AT131" s="475"/>
      <c r="AU131" s="475"/>
      <c r="AV131" s="475"/>
      <c r="AW131" s="1105"/>
      <c r="AX131" s="1105"/>
      <c r="BC131" s="474"/>
      <c r="BD131" s="474"/>
      <c r="BE131" s="474"/>
      <c r="BF131" s="474"/>
      <c r="BG131" s="474"/>
      <c r="BH131" s="474"/>
      <c r="BI131" s="474"/>
      <c r="BJ131" s="474"/>
      <c r="BK131" s="474"/>
      <c r="CF131" s="475"/>
      <c r="CG131" s="475"/>
      <c r="CH131" s="475"/>
      <c r="CI131" s="475"/>
      <c r="CJ131" s="475"/>
      <c r="CK131" s="475"/>
      <c r="CL131" s="475"/>
      <c r="CM131" s="475"/>
      <c r="CN131" s="475"/>
      <c r="CO131" s="474"/>
      <c r="CP131" s="474"/>
      <c r="CQ131" s="474"/>
      <c r="CR131" s="474"/>
      <c r="CS131" s="474"/>
      <c r="CT131" s="474"/>
      <c r="CU131" s="474"/>
      <c r="CV131" s="474"/>
      <c r="CW131" s="474"/>
    </row>
    <row r="132" spans="2:125" ht="18" customHeight="1">
      <c r="E132" s="372">
        <f t="shared" ref="E132:F132" si="74">SUM(E110:E131)</f>
        <v>0</v>
      </c>
      <c r="F132" s="372">
        <f t="shared" si="74"/>
        <v>0</v>
      </c>
      <c r="G132" s="475"/>
      <c r="H132" s="475"/>
      <c r="I132" s="475"/>
      <c r="J132" s="475"/>
      <c r="K132" s="351">
        <f>SUM(K110:K131)</f>
        <v>0</v>
      </c>
      <c r="L132" s="475"/>
      <c r="M132" s="351">
        <f>SUM(M110:M131)</f>
        <v>0</v>
      </c>
      <c r="N132" s="372">
        <f>SUM(N110:N131)</f>
        <v>0</v>
      </c>
      <c r="R132" s="351">
        <f>SUM(R110:R131)</f>
        <v>0</v>
      </c>
      <c r="S132" s="475"/>
      <c r="T132" s="372">
        <f>SUM(T110:T131)</f>
        <v>0</v>
      </c>
      <c r="U132" s="372">
        <f>SUM(U110:U131)</f>
        <v>0</v>
      </c>
      <c r="V132" s="520"/>
      <c r="W132" s="520"/>
      <c r="Y132" s="351">
        <f>SUM(Y110:Y131)</f>
        <v>0</v>
      </c>
      <c r="Z132" s="372">
        <f t="shared" ref="Z132:AO132" si="75">SUM(Z110:Z131)</f>
        <v>0</v>
      </c>
      <c r="AE132" s="372">
        <f t="shared" si="75"/>
        <v>0</v>
      </c>
      <c r="AJ132" s="372">
        <f t="shared" si="75"/>
        <v>0</v>
      </c>
      <c r="AK132" s="475"/>
      <c r="AL132" s="475"/>
      <c r="AM132" s="475"/>
      <c r="AN132" s="475"/>
      <c r="AO132" s="346">
        <f t="shared" si="75"/>
        <v>0</v>
      </c>
      <c r="AP132" s="372">
        <f>SUM(AP110:AP131)</f>
        <v>0</v>
      </c>
      <c r="AU132" s="346">
        <f t="shared" ref="AU132:AV132" si="76">SUM(AU110:AU131)</f>
        <v>0</v>
      </c>
      <c r="AV132" s="346">
        <f t="shared" si="76"/>
        <v>0</v>
      </c>
      <c r="AW132" s="1046">
        <f t="shared" ref="AW132" si="77">SUM(AW110:AW131)</f>
        <v>0</v>
      </c>
      <c r="AX132" s="351">
        <f>IF(AW132="E","E",IF(E132=0,0,AW132/E132))</f>
        <v>0</v>
      </c>
      <c r="BC132" s="474"/>
      <c r="BD132" s="474"/>
      <c r="BE132" s="474"/>
      <c r="BF132" s="474"/>
      <c r="BG132" s="474"/>
      <c r="BH132" s="474"/>
      <c r="BI132" s="474"/>
      <c r="BJ132" s="474"/>
      <c r="BK132" s="474"/>
      <c r="CF132" s="475"/>
      <c r="CG132" s="475"/>
      <c r="CH132" s="475"/>
      <c r="CI132" s="475"/>
      <c r="CJ132" s="475"/>
      <c r="CK132" s="475"/>
      <c r="CL132" s="475"/>
      <c r="CM132" s="475"/>
      <c r="CN132" s="475"/>
      <c r="CO132" s="474"/>
      <c r="CP132" s="474"/>
      <c r="CQ132" s="474"/>
      <c r="CR132" s="474"/>
      <c r="CS132" s="474"/>
      <c r="CT132" s="474"/>
      <c r="CU132" s="474"/>
      <c r="CV132" s="474"/>
      <c r="CW132" s="474"/>
    </row>
    <row r="133" spans="2:125" ht="18" customHeight="1">
      <c r="F133" s="475"/>
      <c r="G133" s="475"/>
      <c r="H133" s="475"/>
      <c r="I133" s="475"/>
      <c r="K133" s="475"/>
      <c r="M133" s="475"/>
      <c r="N133" s="475"/>
      <c r="R133" s="475"/>
      <c r="S133" s="475"/>
      <c r="T133" s="475"/>
      <c r="U133" s="475"/>
      <c r="V133" s="475"/>
      <c r="W133" s="475"/>
      <c r="X133" s="475"/>
      <c r="AO133" s="475"/>
      <c r="AP133" s="475"/>
      <c r="AU133" s="475"/>
      <c r="AV133" s="475"/>
      <c r="AW133" s="882">
        <f>IF(E132=0,0,AW132/E132)</f>
        <v>0</v>
      </c>
      <c r="AX133" s="475"/>
      <c r="AZ133" s="475"/>
      <c r="BA133" s="475"/>
      <c r="BB133" s="475"/>
      <c r="BE133" s="474"/>
      <c r="BF133" s="474"/>
      <c r="BG133" s="474"/>
      <c r="BH133" s="474"/>
      <c r="BI133" s="474"/>
      <c r="BJ133" s="474"/>
      <c r="BK133" s="474"/>
      <c r="CF133" s="475"/>
      <c r="CG133" s="475"/>
      <c r="CH133" s="475"/>
      <c r="CI133" s="475"/>
      <c r="CJ133" s="475"/>
      <c r="CK133" s="475"/>
      <c r="CL133" s="475"/>
      <c r="CM133" s="475"/>
      <c r="CN133" s="475"/>
      <c r="CO133" s="474"/>
      <c r="CP133" s="474"/>
      <c r="CQ133" s="474"/>
      <c r="CR133" s="474"/>
      <c r="CS133" s="474"/>
      <c r="CT133" s="474"/>
      <c r="CU133" s="474"/>
      <c r="CV133" s="474"/>
      <c r="CW133" s="474"/>
    </row>
    <row r="134" spans="2:125" ht="18" customHeight="1">
      <c r="F134" s="475"/>
      <c r="G134" s="475"/>
      <c r="N134" s="475"/>
      <c r="O134" s="475"/>
      <c r="S134" s="475"/>
      <c r="T134" s="475"/>
      <c r="U134" s="475"/>
      <c r="V134" s="475"/>
      <c r="Y134" s="475"/>
      <c r="Z134" s="475"/>
      <c r="AA134" s="475"/>
      <c r="AB134" s="475"/>
      <c r="AC134" s="475"/>
      <c r="AE134" s="475"/>
      <c r="AF134" s="475"/>
      <c r="AG134" s="475"/>
      <c r="AH134" s="475"/>
      <c r="AI134" s="475"/>
      <c r="AJ134" s="475"/>
      <c r="AK134" s="475"/>
      <c r="AL134" s="475"/>
      <c r="AM134" s="475"/>
      <c r="AN134" s="475"/>
      <c r="AO134" s="882"/>
      <c r="AP134" s="475"/>
      <c r="BC134" s="474"/>
      <c r="CF134" s="475"/>
      <c r="CO134" s="474"/>
    </row>
    <row r="135" spans="2:125" ht="18" customHeight="1">
      <c r="G135" s="475"/>
      <c r="N135" s="475"/>
      <c r="O135" s="475"/>
      <c r="P135" s="475"/>
      <c r="Q135" s="475"/>
      <c r="R135" s="475"/>
      <c r="S135" s="475"/>
      <c r="T135" s="475"/>
      <c r="U135" s="475"/>
      <c r="V135" s="475"/>
      <c r="W135" s="475"/>
      <c r="X135" s="475"/>
      <c r="Y135" s="475"/>
      <c r="Z135" s="475"/>
      <c r="AA135" s="475"/>
      <c r="AB135" s="475"/>
      <c r="AC135" s="475"/>
      <c r="AD135" s="475"/>
      <c r="AE135" s="475"/>
      <c r="AF135" s="475"/>
      <c r="AG135" s="475"/>
      <c r="AH135" s="475"/>
      <c r="AI135" s="475"/>
      <c r="AJ135" s="475"/>
      <c r="AK135" s="475"/>
      <c r="AL135" s="475"/>
      <c r="AM135" s="475"/>
      <c r="AN135" s="475"/>
      <c r="AO135" s="475"/>
      <c r="AP135" s="882"/>
      <c r="BC135" s="474"/>
      <c r="CF135" s="475"/>
      <c r="CO135" s="474"/>
    </row>
    <row r="136" spans="2:125" ht="18" customHeight="1">
      <c r="G136" s="1075" t="str">
        <f>IF(G139="","No Alert","Enter justification")</f>
        <v>No Alert</v>
      </c>
      <c r="H136" s="1075" t="str">
        <f t="shared" ref="H136:P136" si="78">IF(H139="","No Alert","Enter justification")</f>
        <v>No Alert</v>
      </c>
      <c r="I136" s="1075" t="str">
        <f t="shared" si="78"/>
        <v>No Alert</v>
      </c>
      <c r="J136" s="1075" t="str">
        <f t="shared" si="78"/>
        <v>No Alert</v>
      </c>
      <c r="K136" s="1075" t="str">
        <f t="shared" si="78"/>
        <v>No Alert</v>
      </c>
      <c r="L136" s="1075" t="str">
        <f t="shared" si="78"/>
        <v>No Alert</v>
      </c>
      <c r="M136" s="1075" t="str">
        <f t="shared" si="78"/>
        <v>No Alert</v>
      </c>
      <c r="N136" s="1075" t="str">
        <f t="shared" si="78"/>
        <v>No Alert</v>
      </c>
      <c r="O136" s="1075" t="str">
        <f t="shared" si="78"/>
        <v>No Alert</v>
      </c>
      <c r="P136" s="1075" t="str">
        <f t="shared" si="78"/>
        <v>No Alert</v>
      </c>
      <c r="Q136" s="475"/>
      <c r="R136" s="475"/>
      <c r="S136" s="475"/>
      <c r="T136" s="475"/>
      <c r="U136" s="475"/>
      <c r="V136" s="475"/>
      <c r="W136" s="475"/>
      <c r="X136" s="475"/>
      <c r="Y136" s="475"/>
      <c r="Z136" s="475"/>
      <c r="AA136" s="475"/>
      <c r="AB136" s="475"/>
      <c r="AC136" s="475"/>
      <c r="AD136" s="475"/>
      <c r="AE136" s="475"/>
      <c r="AF136" s="475"/>
      <c r="AG136" s="475"/>
      <c r="AH136" s="475"/>
      <c r="AI136" s="475"/>
      <c r="AJ136" s="475"/>
      <c r="AK136" s="475"/>
      <c r="AL136" s="475"/>
      <c r="AM136" s="475"/>
      <c r="AN136" s="475"/>
      <c r="AO136" s="475"/>
      <c r="AP136" s="475"/>
      <c r="AQ136" s="475"/>
      <c r="AR136" s="475"/>
      <c r="AS136" s="475"/>
      <c r="AT136" s="475"/>
      <c r="AU136" s="475"/>
      <c r="AV136" s="475"/>
      <c r="AW136" s="475"/>
      <c r="AX136" s="475"/>
      <c r="AY136" s="475"/>
      <c r="AZ136" s="475"/>
      <c r="BA136" s="475"/>
      <c r="BB136" s="475"/>
      <c r="BE136" s="906" t="str">
        <f>IF(BE139="","No Alert","Enter justification")</f>
        <v>No Alert</v>
      </c>
      <c r="BF136" s="906" t="str">
        <f>IF(BF139="","No Alert","Enter justification")</f>
        <v>No Alert</v>
      </c>
      <c r="BX136" s="474"/>
      <c r="BY136" s="474"/>
      <c r="BZ136" s="474"/>
      <c r="CA136" s="474"/>
      <c r="CB136" s="474"/>
      <c r="CC136" s="474"/>
      <c r="CD136" s="474"/>
      <c r="CE136" s="474"/>
      <c r="CG136" s="475"/>
      <c r="CH136" s="475"/>
      <c r="CI136" s="475"/>
      <c r="CJ136" s="475"/>
      <c r="CK136" s="475"/>
      <c r="CL136" s="475"/>
      <c r="CM136" s="475"/>
      <c r="CN136" s="475"/>
    </row>
    <row r="137" spans="2:125" ht="18" customHeight="1">
      <c r="E137" s="475"/>
      <c r="F137" s="848" t="s">
        <v>1596</v>
      </c>
      <c r="G137" s="828" t="str">
        <f>TOV!$C$489</f>
        <v>#10.07</v>
      </c>
      <c r="H137" s="828" t="str">
        <f>TOV!$C450</f>
        <v>#6.01</v>
      </c>
      <c r="I137" s="828" t="str">
        <f>TOV!$C451</f>
        <v>#6.02</v>
      </c>
      <c r="J137" s="828" t="str">
        <f>TOV!$C452</f>
        <v>#6.03</v>
      </c>
      <c r="K137" s="828" t="str">
        <f>TOV!$C453</f>
        <v>#6.04</v>
      </c>
      <c r="L137" s="828" t="str">
        <f>TOV!$C454</f>
        <v>#6.05</v>
      </c>
      <c r="M137" s="828" t="str">
        <f>TOV!$C455</f>
        <v>#6.06</v>
      </c>
      <c r="N137" s="828" t="str">
        <f>TOV!$C456</f>
        <v>#6.07</v>
      </c>
      <c r="O137" s="828" t="str">
        <f>TOV!$C457</f>
        <v>#6.08</v>
      </c>
      <c r="P137" s="828" t="str">
        <f>TOV!$C462</f>
        <v>#6.13</v>
      </c>
      <c r="Q137" s="898"/>
      <c r="R137" s="475"/>
      <c r="S137" s="475"/>
      <c r="T137" s="475"/>
      <c r="U137" s="475"/>
      <c r="V137" s="475"/>
      <c r="W137" s="475"/>
      <c r="X137" s="475"/>
      <c r="Y137" s="475"/>
      <c r="Z137" s="475"/>
      <c r="AA137" s="475"/>
      <c r="AB137" s="475"/>
      <c r="AC137" s="475"/>
      <c r="AD137" s="475"/>
      <c r="AE137" s="475"/>
      <c r="AF137" s="475"/>
      <c r="AG137" s="475"/>
      <c r="AH137" s="475"/>
      <c r="AI137" s="475"/>
      <c r="AJ137" s="475"/>
      <c r="AK137" s="475"/>
      <c r="AL137" s="475"/>
      <c r="AM137" s="475"/>
      <c r="AN137" s="475"/>
      <c r="AO137" s="475"/>
      <c r="AP137" s="475"/>
      <c r="AQ137" s="475"/>
      <c r="AR137" s="475"/>
      <c r="AS137" s="475"/>
      <c r="AT137" s="475"/>
      <c r="AU137" s="475"/>
      <c r="AV137" s="475"/>
      <c r="AW137" s="475"/>
      <c r="AX137" s="475"/>
      <c r="AY137" s="475"/>
      <c r="AZ137" s="475"/>
      <c r="BA137" s="475"/>
      <c r="BB137" s="475"/>
      <c r="BD137" s="848" t="s">
        <v>1596</v>
      </c>
      <c r="BE137" s="828" t="str">
        <f>TOV!$C$575</f>
        <v>#14.40</v>
      </c>
      <c r="BF137" s="828" t="str">
        <f>TOV!$C$576</f>
        <v>#14.41</v>
      </c>
      <c r="BM137" s="848"/>
      <c r="CF137" s="475"/>
      <c r="CG137" s="475"/>
      <c r="CH137" s="475"/>
      <c r="CK137" s="475"/>
      <c r="CL137" s="475"/>
      <c r="CM137" s="475"/>
      <c r="CN137" s="475"/>
      <c r="DM137" s="474"/>
      <c r="DN137" s="474"/>
      <c r="DO137" s="474"/>
      <c r="DP137" s="474"/>
      <c r="DQ137" s="474"/>
      <c r="DR137" s="474"/>
      <c r="DS137" s="474"/>
      <c r="DT137" s="474"/>
      <c r="DU137" s="474"/>
    </row>
    <row r="138" spans="2:125" ht="18" customHeight="1">
      <c r="E138" s="475"/>
      <c r="F138" s="848" t="s">
        <v>35</v>
      </c>
      <c r="G138" s="81">
        <f>VLOOKUP(G137,TOV!$C$483:$G$489,TOV!$F$1,FALSE)</f>
        <v>120.44708803025631</v>
      </c>
      <c r="H138" s="81">
        <f>VLOOKUP(H137,TOV!$C$450:$G$462,TOV!$F$1,FALSE)</f>
        <v>1911.9489400717275</v>
      </c>
      <c r="I138" s="81">
        <f>VLOOKUP(I137,TOV!$C$450:$G$462,TOV!$F$1,FALSE)</f>
        <v>2418.9489400717275</v>
      </c>
      <c r="J138" s="81">
        <f>VLOOKUP(J137,TOV!$C$450:$G$462,TOV!$F$1,FALSE)</f>
        <v>2715.508940071727</v>
      </c>
      <c r="K138" s="81">
        <f>VLOOKUP(K137,TOV!$C$450:$G$462,TOV!$F$1,FALSE)</f>
        <v>2026.5879055889689</v>
      </c>
      <c r="L138" s="81">
        <f>VLOOKUP(L137,TOV!$C$450:$G$462,TOV!$F$1,FALSE)</f>
        <v>5291.2017744629547</v>
      </c>
      <c r="M138" s="81">
        <f>VLOOKUP(M137,TOV!$C$450:$G$462,TOV!$F$1,FALSE)</f>
        <v>53739.57403519551</v>
      </c>
      <c r="N138" s="81">
        <f>VLOOKUP(N137,TOV!$C$450:$G$462,TOV!$F$1,FALSE)</f>
        <v>48000</v>
      </c>
      <c r="O138" s="81">
        <f>VLOOKUP(O137,TOV!$C$450:$G$462,TOV!$F$1,FALSE)</f>
        <v>9.9611399451846694</v>
      </c>
      <c r="P138" s="81">
        <f>VLOOKUP(P137,TOV!$C$450:$G$462,TOV!$F$1,FALSE)</f>
        <v>2700</v>
      </c>
      <c r="Q138" s="898"/>
      <c r="R138" s="475"/>
      <c r="S138" s="475"/>
      <c r="T138" s="475"/>
      <c r="U138" s="475"/>
      <c r="V138" s="475"/>
      <c r="W138" s="475"/>
      <c r="X138" s="475"/>
      <c r="Y138" s="475"/>
      <c r="Z138" s="475"/>
      <c r="AA138" s="475"/>
      <c r="AB138" s="475"/>
      <c r="AC138" s="475"/>
      <c r="AD138" s="475"/>
      <c r="AE138" s="475"/>
      <c r="AF138" s="475"/>
      <c r="AG138" s="475"/>
      <c r="AH138" s="475"/>
      <c r="AI138" s="475"/>
      <c r="AJ138" s="475"/>
      <c r="AK138" s="475"/>
      <c r="AL138" s="475"/>
      <c r="AM138" s="475"/>
      <c r="AN138" s="475"/>
      <c r="AO138" s="475"/>
      <c r="AP138" s="475"/>
      <c r="AQ138" s="475"/>
      <c r="AR138" s="475"/>
      <c r="AS138" s="475"/>
      <c r="AT138" s="475"/>
      <c r="AU138" s="475"/>
      <c r="AV138" s="475"/>
      <c r="AW138" s="475"/>
      <c r="AX138" s="475"/>
      <c r="AY138" s="475"/>
      <c r="AZ138" s="475"/>
      <c r="BA138" s="475"/>
      <c r="BB138" s="475"/>
      <c r="BD138" s="848" t="s">
        <v>35</v>
      </c>
      <c r="BE138" s="81">
        <f>VLOOKUP(BE137,TOV!$C$536:$G$585,TOV!$F$1,FALSE)</f>
        <v>1655.5</v>
      </c>
      <c r="BF138" s="81">
        <f>VLOOKUP(BF137,TOV!$C$536:$G$585,TOV!$F$1,FALSE)</f>
        <v>4196.5</v>
      </c>
      <c r="BM138" s="848"/>
      <c r="CF138" s="475"/>
      <c r="CG138" s="475"/>
      <c r="CH138" s="475"/>
      <c r="CK138" s="475"/>
      <c r="CL138" s="475"/>
      <c r="CM138" s="475"/>
      <c r="CN138" s="475"/>
      <c r="DM138" s="474"/>
      <c r="DN138" s="474"/>
      <c r="DO138" s="474"/>
      <c r="DP138" s="474"/>
      <c r="DQ138" s="474"/>
      <c r="DR138" s="474"/>
      <c r="DS138" s="474"/>
      <c r="DT138" s="474"/>
      <c r="DU138" s="474"/>
    </row>
    <row r="139" spans="2:125" ht="18" customHeight="1">
      <c r="E139" s="475"/>
      <c r="F139" s="848" t="s">
        <v>1556</v>
      </c>
      <c r="G139" s="117"/>
      <c r="H139" s="117"/>
      <c r="I139" s="117"/>
      <c r="J139" s="117"/>
      <c r="K139" s="117"/>
      <c r="L139" s="117"/>
      <c r="M139" s="117"/>
      <c r="N139" s="117"/>
      <c r="O139" s="117"/>
      <c r="P139" s="117"/>
      <c r="Q139" s="898"/>
      <c r="R139" s="475"/>
      <c r="S139" s="475"/>
      <c r="T139" s="475"/>
      <c r="U139" s="475"/>
      <c r="V139" s="475"/>
      <c r="W139" s="475"/>
      <c r="X139" s="475"/>
      <c r="Y139" s="475"/>
      <c r="Z139" s="475"/>
      <c r="AA139" s="475"/>
      <c r="AB139" s="475"/>
      <c r="AC139" s="475"/>
      <c r="AD139" s="475"/>
      <c r="AE139" s="475"/>
      <c r="AF139" s="475"/>
      <c r="AG139" s="475"/>
      <c r="AH139" s="475"/>
      <c r="AI139" s="475"/>
      <c r="AJ139" s="475"/>
      <c r="AK139" s="475"/>
      <c r="AL139" s="475"/>
      <c r="AM139" s="475"/>
      <c r="AN139" s="475"/>
      <c r="AO139" s="475"/>
      <c r="AP139" s="475"/>
      <c r="AQ139" s="475"/>
      <c r="AR139" s="475"/>
      <c r="AS139" s="475"/>
      <c r="AT139" s="475"/>
      <c r="AU139" s="475"/>
      <c r="AV139" s="475"/>
      <c r="AW139" s="475"/>
      <c r="AX139" s="475"/>
      <c r="AY139" s="475"/>
      <c r="AZ139" s="475"/>
      <c r="BA139" s="475"/>
      <c r="BB139" s="475"/>
      <c r="BD139" s="848" t="s">
        <v>1556</v>
      </c>
      <c r="BE139" s="117"/>
      <c r="BF139" s="117"/>
      <c r="BM139" s="848"/>
      <c r="BP139" s="474"/>
      <c r="BQ139" s="474"/>
      <c r="BR139" s="474"/>
      <c r="CF139" s="475"/>
      <c r="CG139" s="475"/>
      <c r="CH139" s="475"/>
      <c r="CK139" s="475"/>
      <c r="CL139" s="475"/>
      <c r="CM139" s="475"/>
      <c r="CN139" s="475"/>
      <c r="DM139" s="474"/>
      <c r="DN139" s="474"/>
      <c r="DO139" s="474"/>
      <c r="DP139" s="474"/>
      <c r="DQ139" s="474"/>
      <c r="DR139" s="474"/>
      <c r="DS139" s="474"/>
      <c r="DT139" s="474"/>
      <c r="DU139" s="474"/>
    </row>
    <row r="140" spans="2:125" ht="18" customHeight="1">
      <c r="B140" s="288" t="s">
        <v>26</v>
      </c>
      <c r="C140" s="1038" t="s">
        <v>2259</v>
      </c>
      <c r="D140" s="1039"/>
      <c r="E140" s="475"/>
      <c r="F140" s="848" t="s">
        <v>1597</v>
      </c>
      <c r="G140" s="828" t="str">
        <f>VLOOKUP(G137,TOV!$C$483:$G$489,TOV!$G$1,FALSE)</f>
        <v>ML</v>
      </c>
      <c r="H140" s="828" t="str">
        <f>VLOOKUP(H137,TOV!$C$450:$G$462,TOV!$G$1,FALSE)</f>
        <v>ML</v>
      </c>
      <c r="I140" s="828" t="str">
        <f>VLOOKUP(I137,TOV!$C$450:$G$462,TOV!$G$1,FALSE)</f>
        <v>ML</v>
      </c>
      <c r="J140" s="828" t="str">
        <f>VLOOKUP(J137,TOV!$C$450:$G$462,TOV!$G$1,FALSE)</f>
        <v>ML</v>
      </c>
      <c r="K140" s="828" t="str">
        <f>VLOOKUP(K137,TOV!$C$450:$G$462,TOV!$G$1,FALSE)</f>
        <v>ML</v>
      </c>
      <c r="L140" s="828" t="str">
        <f>VLOOKUP(L137,TOV!$C$450:$G$462,TOV!$G$1,FALSE)</f>
        <v>Dam</v>
      </c>
      <c r="M140" s="828" t="str">
        <f>VLOOKUP(M137,TOV!$C$450:$G$462,TOV!$G$1,FALSE)</f>
        <v>Dam</v>
      </c>
      <c r="N140" s="828" t="str">
        <f>VLOOKUP(N137,TOV!$C$450:$G$462,TOV!$G$1,FALSE)</f>
        <v>lump</v>
      </c>
      <c r="O140" s="828" t="str">
        <f>VLOOKUP(O137,TOV!$C$450:$G$462,TOV!$G$1,FALSE)</f>
        <v>tonne</v>
      </c>
      <c r="P140" s="828" t="str">
        <f>VLOOKUP(P137,TOV!$C$450:$G$462,TOV!$G$1,FALSE)</f>
        <v>ML</v>
      </c>
      <c r="Q140" s="898"/>
      <c r="R140" s="898"/>
      <c r="AC140" s="1193">
        <v>150</v>
      </c>
      <c r="AD140" s="770" t="s">
        <v>1543</v>
      </c>
      <c r="AE140" s="475"/>
      <c r="AF140" s="475"/>
      <c r="AG140" s="475"/>
      <c r="AH140" s="475"/>
      <c r="AI140" s="475"/>
      <c r="AJ140" s="475"/>
      <c r="AK140" s="475"/>
      <c r="AL140" s="475"/>
      <c r="AM140" s="475"/>
      <c r="AN140" s="475"/>
      <c r="AO140" s="475"/>
      <c r="AP140" s="475"/>
      <c r="AQ140" s="475"/>
      <c r="AR140" s="475"/>
      <c r="AS140" s="475"/>
      <c r="AT140" s="475"/>
      <c r="AU140" s="475"/>
      <c r="AV140" s="475"/>
      <c r="AW140" s="475"/>
      <c r="AX140" s="475"/>
      <c r="AY140" s="475"/>
      <c r="AZ140" s="475"/>
      <c r="BA140" s="475"/>
      <c r="BB140" s="475"/>
      <c r="BD140" s="848" t="s">
        <v>1597</v>
      </c>
      <c r="BE140" s="82" t="str">
        <f>VLOOKUP(BE137,TOV!$C$536:$G$585,TOV!$G$1,FALSE)</f>
        <v>ha</v>
      </c>
      <c r="BF140" s="82" t="str">
        <f>VLOOKUP(BF137,TOV!$C$536:$G$585,TOV!$G$1,FALSE)</f>
        <v>ha</v>
      </c>
      <c r="BM140" s="848"/>
      <c r="CF140" s="475"/>
      <c r="CG140" s="475"/>
      <c r="CH140" s="475"/>
      <c r="CK140" s="475"/>
      <c r="CL140" s="475"/>
      <c r="CM140" s="475"/>
      <c r="CN140" s="475"/>
      <c r="DM140" s="474"/>
      <c r="DN140" s="474"/>
      <c r="DO140" s="474"/>
      <c r="DP140" s="474"/>
      <c r="DQ140" s="474"/>
      <c r="DR140" s="474"/>
      <c r="DS140" s="474"/>
      <c r="DT140" s="474"/>
      <c r="DU140" s="474"/>
    </row>
    <row r="141" spans="2:125" ht="18" customHeight="1">
      <c r="B141" s="1176" t="s">
        <v>2152</v>
      </c>
      <c r="C141" s="1177"/>
      <c r="D141" s="1177"/>
      <c r="E141" s="1176" t="s">
        <v>2260</v>
      </c>
      <c r="F141" s="1177"/>
      <c r="G141" s="1176" t="s">
        <v>2261</v>
      </c>
      <c r="H141" s="1177"/>
      <c r="I141" s="1177"/>
      <c r="J141" s="1177"/>
      <c r="K141" s="1177"/>
      <c r="L141" s="1177"/>
      <c r="M141" s="1177"/>
      <c r="N141" s="1177"/>
      <c r="O141" s="1177"/>
      <c r="P141" s="1177"/>
      <c r="Q141" s="1177"/>
      <c r="R141" s="1176" t="s">
        <v>2262</v>
      </c>
      <c r="S141" s="1177"/>
      <c r="T141" s="1177"/>
      <c r="U141" s="1177"/>
      <c r="V141" s="1177"/>
      <c r="W141" s="1177"/>
      <c r="X141" s="1177"/>
      <c r="Y141" s="1176" t="s">
        <v>2263</v>
      </c>
      <c r="Z141" s="1177"/>
      <c r="AA141" s="1177"/>
      <c r="AB141" s="1177"/>
      <c r="AC141" s="1176" t="s">
        <v>2227</v>
      </c>
      <c r="AD141" s="1177"/>
      <c r="AE141" s="1177"/>
      <c r="AF141" s="1177"/>
      <c r="AG141" s="1194"/>
      <c r="AH141" s="1177"/>
      <c r="AI141" s="1177"/>
      <c r="AJ141" s="1177"/>
      <c r="AK141" s="1177"/>
      <c r="AL141" s="1177"/>
      <c r="AM141" s="1177"/>
      <c r="AN141" s="1177"/>
      <c r="AO141" s="1177"/>
      <c r="AP141" s="1177"/>
      <c r="AQ141" s="1177"/>
      <c r="AR141" s="1177"/>
      <c r="AS141" s="1177"/>
      <c r="AT141" s="1177"/>
      <c r="AU141" s="1177"/>
      <c r="AV141" s="1177"/>
      <c r="AW141" s="1177"/>
      <c r="AX141" s="1177"/>
      <c r="AY141" s="1177"/>
      <c r="AZ141" s="1177"/>
      <c r="BA141" s="1177"/>
      <c r="BB141" s="1177"/>
      <c r="BC141" s="1177"/>
      <c r="BD141" s="1178"/>
      <c r="BE141" s="1177"/>
      <c r="BF141" s="1178"/>
      <c r="BM141" s="474"/>
      <c r="CF141" s="475"/>
      <c r="CG141" s="475"/>
      <c r="CH141" s="475"/>
      <c r="CK141" s="475"/>
      <c r="CL141" s="475"/>
      <c r="CM141" s="475"/>
      <c r="CN141" s="475"/>
      <c r="DM141" s="474"/>
      <c r="DN141" s="474"/>
      <c r="DO141" s="474"/>
      <c r="DP141" s="474"/>
      <c r="DQ141" s="474"/>
      <c r="DR141" s="474"/>
      <c r="DS141" s="474"/>
      <c r="DT141" s="474"/>
      <c r="DU141" s="474"/>
    </row>
    <row r="142" spans="2:125" ht="63" customHeight="1">
      <c r="B142" s="774" t="s">
        <v>1517</v>
      </c>
      <c r="C142" s="773" t="s">
        <v>27</v>
      </c>
      <c r="D142" s="774" t="s">
        <v>1583</v>
      </c>
      <c r="E142" s="774" t="s">
        <v>2201</v>
      </c>
      <c r="F142" s="774" t="s">
        <v>2168</v>
      </c>
      <c r="G142" s="774" t="s">
        <v>2264</v>
      </c>
      <c r="H142" s="774" t="str">
        <f>VLOOKUP(H137,TOV!$C$450:$G$462,TOV!$E$1,FALSE)</f>
        <v>Water pH 5.5 Adjustment</v>
      </c>
      <c r="I142" s="774" t="str">
        <f>VLOOKUP(I137,TOV!$C$450:$G$462,TOV!$E$1,FALSE)</f>
        <v>Water pH 4.5 Adjustment</v>
      </c>
      <c r="J142" s="774" t="str">
        <f>VLOOKUP(J137,TOV!$C$450:$G$462,TOV!$E$1,FALSE)</f>
        <v>Water Salt Removal</v>
      </c>
      <c r="K142" s="774" t="str">
        <f>VLOOKUP(K137,TOV!$C$450:$G$462,TOV!$E$1,FALSE)</f>
        <v>Water Organics Removal</v>
      </c>
      <c r="L142" s="774" t="str">
        <f>VLOOKUP(L137,TOV!$C$450:$G$462,TOV!$E$1,FALSE)</f>
        <v>Naturally Evaporate Water in Pond</v>
      </c>
      <c r="M142" s="774" t="str">
        <f>VLOOKUP(M137,TOV!$C$450:$G$462,TOV!$E$1,FALSE)</f>
        <v>Evaporate Water with Evaporators</v>
      </c>
      <c r="N142" s="774" t="str">
        <f>VLOOKUP(N137,TOV!$C$450:$G$462,TOV!$E$1,FALSE)</f>
        <v>Mobilisation of Reverse Osmosis Unit</v>
      </c>
      <c r="O142" s="774" t="str">
        <f>VLOOKUP(O137,TOV!$C$450:$G$462,TOV!$E$1,FALSE)</f>
        <v>Salt disposal - load and transport</v>
      </c>
      <c r="P142" s="774" t="str">
        <f>VLOOKUP(P137,TOV!$C$450:$G$462,TOV!$E$1,FALSE)</f>
        <v>Water Management establishment, engineering, O&amp;M</v>
      </c>
      <c r="Q142" s="821" t="s">
        <v>2265</v>
      </c>
      <c r="R142" s="812" t="s">
        <v>2266</v>
      </c>
      <c r="S142" s="823" t="s">
        <v>2267</v>
      </c>
      <c r="T142" s="774" t="s">
        <v>2268</v>
      </c>
      <c r="U142" s="774" t="s">
        <v>2269</v>
      </c>
      <c r="V142" s="774" t="s">
        <v>2270</v>
      </c>
      <c r="W142" s="774" t="s">
        <v>2271</v>
      </c>
      <c r="X142" s="774" t="s">
        <v>2254</v>
      </c>
      <c r="Y142" s="812" t="s">
        <v>2272</v>
      </c>
      <c r="Z142" s="822" t="s">
        <v>2273</v>
      </c>
      <c r="AA142" s="774" t="s">
        <v>2231</v>
      </c>
      <c r="AB142" s="774" t="s">
        <v>2274</v>
      </c>
      <c r="AC142" s="773" t="s">
        <v>1623</v>
      </c>
      <c r="AD142" s="774" t="s">
        <v>1624</v>
      </c>
      <c r="AE142" s="774" t="s">
        <v>1625</v>
      </c>
      <c r="AF142" s="812" t="s">
        <v>2091</v>
      </c>
      <c r="AG142" s="812" t="s">
        <v>1636</v>
      </c>
      <c r="AH142" s="823" t="s">
        <v>2237</v>
      </c>
      <c r="AI142" s="774" t="s">
        <v>1703</v>
      </c>
      <c r="AJ142" s="774" t="s">
        <v>1999</v>
      </c>
      <c r="AK142" s="812" t="s">
        <v>2000</v>
      </c>
      <c r="AL142" s="812" t="s">
        <v>2238</v>
      </c>
      <c r="AM142" s="774" t="s">
        <v>2002</v>
      </c>
      <c r="AN142" s="774" t="s">
        <v>2003</v>
      </c>
      <c r="AO142" s="774" t="s">
        <v>2004</v>
      </c>
      <c r="AP142" s="812" t="s">
        <v>2005</v>
      </c>
      <c r="AQ142" s="863" t="s">
        <v>2239</v>
      </c>
      <c r="AR142" s="774" t="s">
        <v>2275</v>
      </c>
      <c r="AS142" s="774" t="s">
        <v>2007</v>
      </c>
      <c r="AT142" s="774" t="s">
        <v>2008</v>
      </c>
      <c r="AU142" s="812" t="s">
        <v>2009</v>
      </c>
      <c r="AV142" s="863" t="s">
        <v>2240</v>
      </c>
      <c r="AW142" s="774" t="s">
        <v>2010</v>
      </c>
      <c r="AX142" s="774" t="s">
        <v>2011</v>
      </c>
      <c r="AY142" s="774" t="s">
        <v>2257</v>
      </c>
      <c r="AZ142" s="774" t="s">
        <v>1626</v>
      </c>
      <c r="BA142" s="774" t="s">
        <v>1627</v>
      </c>
      <c r="BB142" s="774" t="s">
        <v>1628</v>
      </c>
      <c r="BC142" s="773" t="s">
        <v>1629</v>
      </c>
      <c r="BD142" s="773" t="s">
        <v>1630</v>
      </c>
      <c r="BE142" s="773" t="s">
        <v>2046</v>
      </c>
      <c r="BF142" s="773" t="s">
        <v>2047</v>
      </c>
      <c r="BG142" s="775" t="s">
        <v>2276</v>
      </c>
      <c r="BH142" s="773" t="s">
        <v>2243</v>
      </c>
      <c r="BI142" s="1088" t="s">
        <v>2024</v>
      </c>
      <c r="BJ142" s="776" t="s">
        <v>1526</v>
      </c>
      <c r="BK142" s="777"/>
      <c r="BL142" s="777"/>
      <c r="BM142" s="777"/>
      <c r="BN142" s="777"/>
      <c r="BO142" s="777"/>
      <c r="BP142" s="777"/>
      <c r="BQ142" s="778"/>
      <c r="CF142" s="475"/>
      <c r="CG142" s="475"/>
      <c r="CH142" s="475"/>
      <c r="CK142" s="475"/>
      <c r="CL142" s="475"/>
      <c r="CM142" s="475"/>
      <c r="CN142" s="475"/>
      <c r="DM142" s="474"/>
      <c r="DN142" s="474"/>
      <c r="DO142" s="474"/>
      <c r="DP142" s="474"/>
      <c r="DQ142" s="474"/>
      <c r="DR142" s="474"/>
      <c r="DS142" s="474"/>
      <c r="DT142" s="474"/>
      <c r="DU142" s="474"/>
    </row>
    <row r="143" spans="2:125" ht="18" customHeight="1">
      <c r="B143" s="474"/>
      <c r="C143" s="474"/>
      <c r="D143" s="474"/>
      <c r="E143" s="1201"/>
      <c r="F143" s="1040"/>
      <c r="G143" s="1040"/>
      <c r="L143" s="771" t="s">
        <v>2277</v>
      </c>
      <c r="M143" s="771" t="s">
        <v>2277</v>
      </c>
      <c r="N143" s="771" t="s">
        <v>2277</v>
      </c>
      <c r="R143" s="125" t="s">
        <v>1646</v>
      </c>
      <c r="S143" s="125" t="s">
        <v>1646</v>
      </c>
      <c r="T143" s="160" t="s">
        <v>1646</v>
      </c>
      <c r="U143" s="225" t="str">
        <f>Subrates_Table_1</f>
        <v>Subrates Table 1</v>
      </c>
      <c r="V143" s="125" t="s">
        <v>1646</v>
      </c>
      <c r="W143" s="212" t="str">
        <f>Subrates_Table_9</f>
        <v>Subrates Table 9</v>
      </c>
      <c r="Y143" s="125" t="s">
        <v>1646</v>
      </c>
      <c r="Z143" s="125" t="s">
        <v>1646</v>
      </c>
      <c r="AA143" s="212" t="str">
        <f>Subrates_Table_2</f>
        <v>Subrates Table 2</v>
      </c>
      <c r="AF143" s="125" t="s">
        <v>1646</v>
      </c>
      <c r="AG143" s="155" t="s">
        <v>1646</v>
      </c>
      <c r="AH143" s="225" t="str">
        <f>Subrates_Table_1</f>
        <v>Subrates Table 1</v>
      </c>
      <c r="AJ143" s="277"/>
      <c r="AK143" s="125" t="s">
        <v>1646</v>
      </c>
      <c r="AM143" s="278"/>
      <c r="AN143" s="475"/>
      <c r="AO143" s="277"/>
      <c r="AP143" s="125" t="s">
        <v>1646</v>
      </c>
      <c r="AQ143" s="772"/>
      <c r="AR143" s="278"/>
      <c r="AS143" s="475"/>
      <c r="AT143" s="277"/>
      <c r="AU143" s="125" t="s">
        <v>1646</v>
      </c>
      <c r="AV143" s="772"/>
      <c r="AW143" s="278"/>
      <c r="AX143" s="475"/>
      <c r="BC143" s="474"/>
      <c r="BD143" s="474"/>
      <c r="BE143" s="474"/>
      <c r="BF143" s="474"/>
      <c r="BG143" s="474"/>
      <c r="BH143" s="474"/>
      <c r="BI143" s="736"/>
      <c r="BJ143" s="474"/>
      <c r="BK143" s="474"/>
      <c r="BL143" s="474"/>
      <c r="BM143" s="474"/>
      <c r="BN143" s="474"/>
      <c r="BO143" s="474"/>
      <c r="BP143" s="474"/>
      <c r="BQ143" s="474"/>
      <c r="CF143" s="475"/>
      <c r="CG143" s="475"/>
      <c r="CH143" s="475"/>
      <c r="CK143" s="475"/>
      <c r="CL143" s="475"/>
      <c r="CM143" s="475"/>
      <c r="CN143" s="475"/>
      <c r="DM143" s="474"/>
      <c r="DN143" s="474"/>
      <c r="DO143" s="474"/>
      <c r="DP143" s="474"/>
      <c r="DQ143" s="474"/>
      <c r="DR143" s="474"/>
      <c r="DS143" s="474"/>
      <c r="DT143" s="474"/>
      <c r="DU143" s="474"/>
    </row>
    <row r="144" spans="2:125" s="520" customFormat="1" ht="15">
      <c r="B144" s="616" t="str">
        <f>IF(B13="","",B13)</f>
        <v/>
      </c>
      <c r="C144" s="1164">
        <v>1</v>
      </c>
      <c r="D144" s="750" t="str">
        <f t="shared" ref="D144:D163" si="79">IF(D13="","",D13)</f>
        <v>Pit 1</v>
      </c>
      <c r="E144" s="335">
        <f t="shared" ref="E144:E163" si="80">E13</f>
        <v>0</v>
      </c>
      <c r="F144" s="324">
        <f t="shared" ref="F144:F163" si="81">N13</f>
        <v>0</v>
      </c>
      <c r="G144" s="317"/>
      <c r="H144" s="317"/>
      <c r="I144" s="317"/>
      <c r="J144" s="317"/>
      <c r="K144" s="141"/>
      <c r="L144" s="371"/>
      <c r="M144" s="371"/>
      <c r="N144" s="371"/>
      <c r="O144" s="317"/>
      <c r="P144" s="317"/>
      <c r="Q144" s="351">
        <f>G144*IF($G$139="",$G$138,$G$139)+H144*IF($H$139="",$H$138,$H$139)+I144*IF($I$139="",$I$138,$I$139)+J144*IF($J$139="",$J$138,$J$139)+K144*IF($K$139="",$K$138,$K$139)+L144*IF($L$139="",$L$138,$L$139)+M144*IF($M$139="",$M$138,$M$139)+N144*IF($N$139="",$N$138,$N$139)+O144*IF($O$139="",$O$138,$O$139)+P144*IF($P$139="",$P$138,$P$139)</f>
        <v>0</v>
      </c>
      <c r="R144" s="37" t="s">
        <v>125</v>
      </c>
      <c r="S144" s="47" t="s">
        <v>349</v>
      </c>
      <c r="T144" s="149" t="s">
        <v>2026</v>
      </c>
      <c r="U144" s="63">
        <f t="shared" ref="U144:U163" si="82">IF(T144=Local,INDEX(Load_and_Haul_Values,MATCH(R144,Load_and_Haul,0),MATCH(S144,Load_Haul_Fleet_size,0)),0)</f>
        <v>6.2664411871606829</v>
      </c>
      <c r="V144" s="48" t="s">
        <v>485</v>
      </c>
      <c r="W144" s="63">
        <f>IF(T144=Local,0,VLOOKUP(V144,Long_distance_values_subs,Subrates!$E$5,FALSE))</f>
        <v>0</v>
      </c>
      <c r="X144" s="351">
        <f>U144*F144+F144*W144*VLOOKUP(V144,Long_distance_values_subs,Subrates!$H$5,FALSE)</f>
        <v>0</v>
      </c>
      <c r="Y144" s="37" t="s">
        <v>411</v>
      </c>
      <c r="Z144" s="47" t="s">
        <v>3</v>
      </c>
      <c r="AA144" s="150">
        <f t="shared" ref="AA144:AA163" si="83">INDEX(Dozer_Push_Values,MATCH(Y144,Dozer_Push_Length,0),MATCH(Z144,Dozers,0))</f>
        <v>1.9221853757639424</v>
      </c>
      <c r="AB144" s="351">
        <f>IFERROR(AA144*F144,"E")</f>
        <v>0</v>
      </c>
      <c r="AC144" s="151"/>
      <c r="AD144" s="138"/>
      <c r="AE144" s="139">
        <f t="shared" ref="AE144:AE163" si="84">IF(F144=0,0,IF(AD144&gt;0,AD144,E144*10000*IF(AC144&gt;0,AC144,$AC$140)/1000))</f>
        <v>0</v>
      </c>
      <c r="AF144" s="37" t="s">
        <v>125</v>
      </c>
      <c r="AG144" s="47" t="s">
        <v>348</v>
      </c>
      <c r="AH144" s="162">
        <f t="shared" ref="AH144:AH163" si="85">INDEX(Load_and_Haul_Values,MATCH(AF144,Load_and_Haul,0),MATCH(AG144,Load_Haul_Fleet_size,0))</f>
        <v>4.8064250364478198</v>
      </c>
      <c r="AI144" s="351">
        <f t="shared" ref="AI144:AI163" si="86">IFERROR(AH144*AE144,0)</f>
        <v>0</v>
      </c>
      <c r="AJ144" s="73"/>
      <c r="AK144" s="195" t="s">
        <v>48</v>
      </c>
      <c r="AL144" s="1096" t="str">
        <f>IF(AK144=Lists!$B$18,"N/A",VLOOKUP(AK144,Lists!$B$18:$C$26,Lists!$C$3,FALSE))</f>
        <v>N/A</v>
      </c>
      <c r="AM144" s="63">
        <f>IF(AK144=Lists!$B$18,0,VLOOKUP(AL144,Amend_TOV,TOV!$F$1,FALSE))</f>
        <v>0</v>
      </c>
      <c r="AN144" s="117"/>
      <c r="AO144" s="73"/>
      <c r="AP144" s="195" t="s">
        <v>48</v>
      </c>
      <c r="AQ144" s="1096" t="str">
        <f>IF(AP144=Lists!$B$18,"N/A",VLOOKUP(AP144,Lists!$B$18:$C$26,Lists!$C$3,FALSE))</f>
        <v>N/A</v>
      </c>
      <c r="AR144" s="63">
        <f>IF(AP144=Lists!$B$18,0,VLOOKUP(AQ144,Amend_TOV,TOV!$F$1,FALSE))</f>
        <v>0</v>
      </c>
      <c r="AS144" s="117"/>
      <c r="AT144" s="73"/>
      <c r="AU144" s="195" t="s">
        <v>48</v>
      </c>
      <c r="AV144" s="1096" t="str">
        <f>IF(AU144=Lists!$B$18,"N/A",VLOOKUP(AU144,Lists!$B$18:$C$26,Lists!$C$3,FALSE))</f>
        <v>N/A</v>
      </c>
      <c r="AW144" s="63">
        <f>IF(AU144=Lists!$B$18,0,VLOOKUP(AV144,Amend_TOV,TOV!$F$1,FALSE))</f>
        <v>0</v>
      </c>
      <c r="AX144" s="117"/>
      <c r="AY144" s="351">
        <f t="shared" ref="AY144:AY163" si="87">AJ144*IF(AN144="",AM144,AN144)+AO144*IF(AS144="",AR144,AS144)+AT144*IF(AX144="",AW144,AX144)</f>
        <v>0</v>
      </c>
      <c r="AZ144" s="69">
        <f t="shared" ref="AZ144:AZ163" si="88">IF(F144=0,0,E144)</f>
        <v>0</v>
      </c>
      <c r="BA144" s="66">
        <v>1</v>
      </c>
      <c r="BB144" s="66">
        <v>0</v>
      </c>
      <c r="BC144" s="67">
        <f>100%-BA144-BB144</f>
        <v>0</v>
      </c>
      <c r="BD144" s="16" t="str">
        <f>IF(BC144&lt;0%,"Error","No Alert")</f>
        <v>No Alert</v>
      </c>
      <c r="BE144" s="351">
        <f t="shared" ref="BE144:BE163" si="89">$AZ144*BA144*IF(BE$139&lt;&gt;"",BE$139,BE$138)</f>
        <v>0</v>
      </c>
      <c r="BF144" s="351">
        <f>AZ144*BB144*IF(BF$139&lt;&gt;"",BF$139,BF$138)</f>
        <v>0</v>
      </c>
      <c r="BG144" s="264">
        <f t="shared" ref="BG144:BG163" si="90">Q144+X144+AB144+AI144+AY144+BE144+BF144</f>
        <v>0</v>
      </c>
      <c r="BH144" s="1020">
        <f t="shared" ref="BH144:BH163" si="91">IF(E144=0,0,BG144/E144)</f>
        <v>0</v>
      </c>
      <c r="BI144" s="1198">
        <f>IFERROR(BG144,"Error")</f>
        <v>0</v>
      </c>
      <c r="BJ144" s="215"/>
      <c r="BK144" s="217"/>
      <c r="BL144" s="217"/>
      <c r="BM144" s="217"/>
      <c r="BN144" s="217"/>
      <c r="BO144" s="217"/>
      <c r="BP144" s="217"/>
      <c r="BQ144" s="218"/>
      <c r="DM144" s="768"/>
      <c r="DN144" s="768"/>
      <c r="DO144" s="768"/>
      <c r="DP144" s="768"/>
      <c r="DQ144" s="768"/>
      <c r="DR144" s="768"/>
      <c r="DS144" s="768"/>
      <c r="DT144" s="768"/>
      <c r="DU144" s="768"/>
    </row>
    <row r="145" spans="2:125" s="520" customFormat="1" ht="15">
      <c r="B145" s="616" t="str">
        <f t="shared" ref="B145:B163" si="92">IF(B14="","",B14)</f>
        <v/>
      </c>
      <c r="C145" s="1164">
        <v>2</v>
      </c>
      <c r="D145" s="750" t="str">
        <f t="shared" si="79"/>
        <v>Pit 2</v>
      </c>
      <c r="E145" s="335">
        <f t="shared" si="80"/>
        <v>0</v>
      </c>
      <c r="F145" s="324">
        <f t="shared" si="81"/>
        <v>0</v>
      </c>
      <c r="G145" s="317"/>
      <c r="H145" s="317"/>
      <c r="I145" s="317"/>
      <c r="J145" s="317"/>
      <c r="K145" s="141"/>
      <c r="L145" s="371"/>
      <c r="M145" s="371"/>
      <c r="N145" s="371"/>
      <c r="O145" s="317"/>
      <c r="P145" s="317"/>
      <c r="Q145" s="351">
        <f t="shared" ref="Q145:Q163" si="93">G145*IF($G$139="",$G$138,$G$139)+H145*IF($H$139="",$H$138,$H$139)+I145*IF($I$139="",$I$138,$I$139)+J145*IF($J$139="",$J$138,$J$139)+K145*IF($K$139="",$K$138,$K$139)+L145*IF($L$139="",$L$138,$L$139)+M145*IF($M$139="",$M$138,$M$139)+N145*IF($N$139="",$N$138,$N$139)+O145*IF($O$139="",$O$138,$O$139)+P145*IF($P$139="",$P$138,$P$139)</f>
        <v>0</v>
      </c>
      <c r="R145" s="37" t="s">
        <v>125</v>
      </c>
      <c r="S145" s="47" t="s">
        <v>349</v>
      </c>
      <c r="T145" s="149" t="s">
        <v>2026</v>
      </c>
      <c r="U145" s="63">
        <f t="shared" si="82"/>
        <v>6.2664411871606829</v>
      </c>
      <c r="V145" s="48" t="s">
        <v>485</v>
      </c>
      <c r="W145" s="63">
        <f>IF(T145=Local,0,VLOOKUP(V145,Long_distance_values_subs,Subrates!$E$5,FALSE))</f>
        <v>0</v>
      </c>
      <c r="X145" s="351">
        <f>U145*F145+F145*W145*VLOOKUP(V145,Long_distance_values_subs,Subrates!$H$5,FALSE)</f>
        <v>0</v>
      </c>
      <c r="Y145" s="37" t="s">
        <v>411</v>
      </c>
      <c r="Z145" s="47" t="s">
        <v>3</v>
      </c>
      <c r="AA145" s="150">
        <f t="shared" si="83"/>
        <v>1.9221853757639424</v>
      </c>
      <c r="AB145" s="351">
        <f t="shared" ref="AB145:AB163" si="94">IFERROR(AA145*F145,"E")</f>
        <v>0</v>
      </c>
      <c r="AC145" s="151"/>
      <c r="AD145" s="138"/>
      <c r="AE145" s="139">
        <f t="shared" si="84"/>
        <v>0</v>
      </c>
      <c r="AF145" s="37" t="s">
        <v>125</v>
      </c>
      <c r="AG145" s="47" t="s">
        <v>348</v>
      </c>
      <c r="AH145" s="162">
        <f t="shared" si="85"/>
        <v>4.8064250364478198</v>
      </c>
      <c r="AI145" s="351">
        <f t="shared" si="86"/>
        <v>0</v>
      </c>
      <c r="AJ145" s="73"/>
      <c r="AK145" s="195" t="s">
        <v>48</v>
      </c>
      <c r="AL145" s="1096" t="str">
        <f>IF(AK145=Lists!$B$18,"N/A",VLOOKUP(AK145,Lists!$B$18:$C$26,Lists!$C$3,FALSE))</f>
        <v>N/A</v>
      </c>
      <c r="AM145" s="63">
        <f>IF(AK145=Lists!$B$18,0,VLOOKUP(AL145,Amend_TOV,TOV!$F$1,FALSE))</f>
        <v>0</v>
      </c>
      <c r="AN145" s="117"/>
      <c r="AO145" s="73"/>
      <c r="AP145" s="195" t="s">
        <v>48</v>
      </c>
      <c r="AQ145" s="1096" t="str">
        <f>IF(AP145=Lists!$B$18,"N/A",VLOOKUP(AP145,Lists!$B$18:$C$26,Lists!$C$3,FALSE))</f>
        <v>N/A</v>
      </c>
      <c r="AR145" s="63">
        <f>IF(AP145=Lists!$B$18,0,VLOOKUP(AQ145,Amend_TOV,TOV!$F$1,FALSE))</f>
        <v>0</v>
      </c>
      <c r="AS145" s="117"/>
      <c r="AT145" s="73"/>
      <c r="AU145" s="195" t="s">
        <v>48</v>
      </c>
      <c r="AV145" s="1096" t="str">
        <f>IF(AU145=Lists!$B$18,"N/A",VLOOKUP(AU145,Lists!$B$18:$C$26,Lists!$C$3,FALSE))</f>
        <v>N/A</v>
      </c>
      <c r="AW145" s="63">
        <f>IF(AU145=Lists!$B$18,0,VLOOKUP(AV145,Amend_TOV,TOV!$F$1,FALSE))</f>
        <v>0</v>
      </c>
      <c r="AX145" s="117"/>
      <c r="AY145" s="351">
        <f t="shared" si="87"/>
        <v>0</v>
      </c>
      <c r="AZ145" s="69">
        <f t="shared" si="88"/>
        <v>0</v>
      </c>
      <c r="BA145" s="66">
        <v>1</v>
      </c>
      <c r="BB145" s="66">
        <v>0</v>
      </c>
      <c r="BC145" s="67">
        <f t="shared" ref="BC145:BC163" si="95">100%-BA145-BB145</f>
        <v>0</v>
      </c>
      <c r="BD145" s="16" t="str">
        <f t="shared" ref="BD145:BD163" si="96">IF(BC145&lt;0%,"Error","No Alert")</f>
        <v>No Alert</v>
      </c>
      <c r="BE145" s="351">
        <f t="shared" si="89"/>
        <v>0</v>
      </c>
      <c r="BF145" s="351">
        <f t="shared" ref="BF145:BF163" si="97">AZ145*BB145*IF(BF$139&lt;&gt;"",BF$139,BF$138)</f>
        <v>0</v>
      </c>
      <c r="BG145" s="264">
        <f t="shared" si="90"/>
        <v>0</v>
      </c>
      <c r="BH145" s="1020">
        <f t="shared" si="91"/>
        <v>0</v>
      </c>
      <c r="BI145" s="1198">
        <f t="shared" ref="BI145:BI163" si="98">IFERROR(BG145,"Error")</f>
        <v>0</v>
      </c>
      <c r="BJ145" s="215"/>
      <c r="BK145" s="217"/>
      <c r="BL145" s="217"/>
      <c r="BM145" s="217"/>
      <c r="BN145" s="217"/>
      <c r="BO145" s="217"/>
      <c r="BP145" s="217"/>
      <c r="BQ145" s="218"/>
      <c r="DM145" s="768"/>
      <c r="DN145" s="768"/>
      <c r="DO145" s="768"/>
      <c r="DP145" s="768"/>
      <c r="DQ145" s="768"/>
      <c r="DR145" s="768"/>
      <c r="DS145" s="768"/>
      <c r="DT145" s="768"/>
      <c r="DU145" s="768"/>
    </row>
    <row r="146" spans="2:125" s="520" customFormat="1" ht="15">
      <c r="B146" s="616" t="str">
        <f t="shared" si="92"/>
        <v/>
      </c>
      <c r="C146" s="1164">
        <v>3</v>
      </c>
      <c r="D146" s="750" t="str">
        <f t="shared" si="79"/>
        <v>Pit 3</v>
      </c>
      <c r="E146" s="335">
        <f t="shared" si="80"/>
        <v>0</v>
      </c>
      <c r="F146" s="324">
        <f t="shared" si="81"/>
        <v>0</v>
      </c>
      <c r="G146" s="317"/>
      <c r="H146" s="317"/>
      <c r="I146" s="317"/>
      <c r="J146" s="317"/>
      <c r="K146" s="141"/>
      <c r="L146" s="371"/>
      <c r="M146" s="371"/>
      <c r="N146" s="371"/>
      <c r="O146" s="317"/>
      <c r="P146" s="317"/>
      <c r="Q146" s="351">
        <f t="shared" si="93"/>
        <v>0</v>
      </c>
      <c r="R146" s="37" t="s">
        <v>125</v>
      </c>
      <c r="S146" s="47" t="s">
        <v>349</v>
      </c>
      <c r="T146" s="149" t="s">
        <v>2026</v>
      </c>
      <c r="U146" s="63">
        <f t="shared" si="82"/>
        <v>6.2664411871606829</v>
      </c>
      <c r="V146" s="48" t="s">
        <v>485</v>
      </c>
      <c r="W146" s="63">
        <f>IF(T146=Local,0,VLOOKUP(V146,Long_distance_values_subs,Subrates!$E$5,FALSE))</f>
        <v>0</v>
      </c>
      <c r="X146" s="351">
        <f>U146*F146+F146*W146*VLOOKUP(V146,Long_distance_values_subs,Subrates!$H$5,FALSE)</f>
        <v>0</v>
      </c>
      <c r="Y146" s="37" t="s">
        <v>411</v>
      </c>
      <c r="Z146" s="47" t="s">
        <v>3</v>
      </c>
      <c r="AA146" s="150">
        <f t="shared" si="83"/>
        <v>1.9221853757639424</v>
      </c>
      <c r="AB146" s="351">
        <f t="shared" si="94"/>
        <v>0</v>
      </c>
      <c r="AC146" s="151"/>
      <c r="AD146" s="138"/>
      <c r="AE146" s="139">
        <f t="shared" si="84"/>
        <v>0</v>
      </c>
      <c r="AF146" s="37" t="s">
        <v>125</v>
      </c>
      <c r="AG146" s="47" t="s">
        <v>348</v>
      </c>
      <c r="AH146" s="162">
        <f t="shared" si="85"/>
        <v>4.8064250364478198</v>
      </c>
      <c r="AI146" s="351">
        <f t="shared" si="86"/>
        <v>0</v>
      </c>
      <c r="AJ146" s="73"/>
      <c r="AK146" s="195" t="s">
        <v>48</v>
      </c>
      <c r="AL146" s="1096" t="str">
        <f>IF(AK146=Lists!$B$18,"N/A",VLOOKUP(AK146,Lists!$B$18:$C$26,Lists!$C$3,FALSE))</f>
        <v>N/A</v>
      </c>
      <c r="AM146" s="63">
        <f>IF(AK146=Lists!$B$18,0,VLOOKUP(AL146,Amend_TOV,TOV!$F$1,FALSE))</f>
        <v>0</v>
      </c>
      <c r="AN146" s="117"/>
      <c r="AO146" s="73"/>
      <c r="AP146" s="195" t="s">
        <v>48</v>
      </c>
      <c r="AQ146" s="1096" t="str">
        <f>IF(AP146=Lists!$B$18,"N/A",VLOOKUP(AP146,Lists!$B$18:$C$26,Lists!$C$3,FALSE))</f>
        <v>N/A</v>
      </c>
      <c r="AR146" s="63">
        <f>IF(AP146=Lists!$B$18,0,VLOOKUP(AQ146,Amend_TOV,TOV!$F$1,FALSE))</f>
        <v>0</v>
      </c>
      <c r="AS146" s="117"/>
      <c r="AT146" s="73"/>
      <c r="AU146" s="195" t="s">
        <v>48</v>
      </c>
      <c r="AV146" s="1096" t="str">
        <f>IF(AU146=Lists!$B$18,"N/A",VLOOKUP(AU146,Lists!$B$18:$C$26,Lists!$C$3,FALSE))</f>
        <v>N/A</v>
      </c>
      <c r="AW146" s="63">
        <f>IF(AU146=Lists!$B$18,0,VLOOKUP(AV146,Amend_TOV,TOV!$F$1,FALSE))</f>
        <v>0</v>
      </c>
      <c r="AX146" s="117"/>
      <c r="AY146" s="351">
        <f t="shared" si="87"/>
        <v>0</v>
      </c>
      <c r="AZ146" s="69">
        <f t="shared" si="88"/>
        <v>0</v>
      </c>
      <c r="BA146" s="66">
        <v>1</v>
      </c>
      <c r="BB146" s="66">
        <v>0</v>
      </c>
      <c r="BC146" s="67">
        <f t="shared" si="95"/>
        <v>0</v>
      </c>
      <c r="BD146" s="16" t="str">
        <f t="shared" si="96"/>
        <v>No Alert</v>
      </c>
      <c r="BE146" s="351">
        <f t="shared" si="89"/>
        <v>0</v>
      </c>
      <c r="BF146" s="351">
        <f t="shared" si="97"/>
        <v>0</v>
      </c>
      <c r="BG146" s="264">
        <f t="shared" si="90"/>
        <v>0</v>
      </c>
      <c r="BH146" s="1020">
        <f t="shared" si="91"/>
        <v>0</v>
      </c>
      <c r="BI146" s="1198">
        <f t="shared" si="98"/>
        <v>0</v>
      </c>
      <c r="BJ146" s="215"/>
      <c r="BK146" s="217"/>
      <c r="BL146" s="217"/>
      <c r="BM146" s="217"/>
      <c r="BN146" s="217"/>
      <c r="BO146" s="217"/>
      <c r="BP146" s="217"/>
      <c r="BQ146" s="218"/>
      <c r="DM146" s="768"/>
      <c r="DN146" s="768"/>
      <c r="DO146" s="768"/>
      <c r="DP146" s="768"/>
      <c r="DQ146" s="768"/>
      <c r="DR146" s="768"/>
      <c r="DS146" s="768"/>
      <c r="DT146" s="768"/>
      <c r="DU146" s="768"/>
    </row>
    <row r="147" spans="2:125" s="520" customFormat="1" ht="15">
      <c r="B147" s="616" t="str">
        <f t="shared" si="92"/>
        <v/>
      </c>
      <c r="C147" s="1164">
        <v>4</v>
      </c>
      <c r="D147" s="750" t="str">
        <f t="shared" si="79"/>
        <v>Pit 4</v>
      </c>
      <c r="E147" s="335">
        <f t="shared" si="80"/>
        <v>0</v>
      </c>
      <c r="F147" s="324">
        <f t="shared" si="81"/>
        <v>0</v>
      </c>
      <c r="G147" s="317"/>
      <c r="H147" s="317"/>
      <c r="I147" s="317"/>
      <c r="J147" s="317"/>
      <c r="K147" s="141"/>
      <c r="L147" s="371"/>
      <c r="M147" s="371"/>
      <c r="N147" s="371"/>
      <c r="O147" s="317"/>
      <c r="P147" s="317"/>
      <c r="Q147" s="351">
        <f t="shared" si="93"/>
        <v>0</v>
      </c>
      <c r="R147" s="37" t="s">
        <v>125</v>
      </c>
      <c r="S147" s="47" t="s">
        <v>349</v>
      </c>
      <c r="T147" s="149" t="s">
        <v>2026</v>
      </c>
      <c r="U147" s="63">
        <f t="shared" si="82"/>
        <v>6.2664411871606829</v>
      </c>
      <c r="V147" s="48" t="s">
        <v>485</v>
      </c>
      <c r="W147" s="63">
        <f>IF(T147=Local,0,VLOOKUP(V147,Long_distance_values_subs,Subrates!$E$5,FALSE))</f>
        <v>0</v>
      </c>
      <c r="X147" s="351">
        <f>U147*F147+F147*W147*VLOOKUP(V147,Long_distance_values_subs,Subrates!$H$5,FALSE)</f>
        <v>0</v>
      </c>
      <c r="Y147" s="37" t="s">
        <v>411</v>
      </c>
      <c r="Z147" s="47" t="s">
        <v>3</v>
      </c>
      <c r="AA147" s="150">
        <f t="shared" si="83"/>
        <v>1.9221853757639424</v>
      </c>
      <c r="AB147" s="351">
        <f t="shared" si="94"/>
        <v>0</v>
      </c>
      <c r="AC147" s="151"/>
      <c r="AD147" s="138"/>
      <c r="AE147" s="139">
        <f t="shared" si="84"/>
        <v>0</v>
      </c>
      <c r="AF147" s="37" t="s">
        <v>125</v>
      </c>
      <c r="AG147" s="47" t="s">
        <v>348</v>
      </c>
      <c r="AH147" s="162">
        <f t="shared" si="85"/>
        <v>4.8064250364478198</v>
      </c>
      <c r="AI147" s="351">
        <f t="shared" si="86"/>
        <v>0</v>
      </c>
      <c r="AJ147" s="73"/>
      <c r="AK147" s="195" t="s">
        <v>48</v>
      </c>
      <c r="AL147" s="1096" t="str">
        <f>IF(AK147=Lists!$B$18,"N/A",VLOOKUP(AK147,Lists!$B$18:$C$26,Lists!$C$3,FALSE))</f>
        <v>N/A</v>
      </c>
      <c r="AM147" s="63">
        <f>IF(AK147=Lists!$B$18,0,VLOOKUP(AL147,Amend_TOV,TOV!$F$1,FALSE))</f>
        <v>0</v>
      </c>
      <c r="AN147" s="117"/>
      <c r="AO147" s="73"/>
      <c r="AP147" s="195" t="s">
        <v>48</v>
      </c>
      <c r="AQ147" s="1096" t="str">
        <f>IF(AP147=Lists!$B$18,"N/A",VLOOKUP(AP147,Lists!$B$18:$C$26,Lists!$C$3,FALSE))</f>
        <v>N/A</v>
      </c>
      <c r="AR147" s="63">
        <f>IF(AP147=Lists!$B$18,0,VLOOKUP(AQ147,Amend_TOV,TOV!$F$1,FALSE))</f>
        <v>0</v>
      </c>
      <c r="AS147" s="117"/>
      <c r="AT147" s="73"/>
      <c r="AU147" s="195" t="s">
        <v>48</v>
      </c>
      <c r="AV147" s="1096" t="str">
        <f>IF(AU147=Lists!$B$18,"N/A",VLOOKUP(AU147,Lists!$B$18:$C$26,Lists!$C$3,FALSE))</f>
        <v>N/A</v>
      </c>
      <c r="AW147" s="63">
        <f>IF(AU147=Lists!$B$18,0,VLOOKUP(AV147,Amend_TOV,TOV!$F$1,FALSE))</f>
        <v>0</v>
      </c>
      <c r="AX147" s="117"/>
      <c r="AY147" s="351">
        <f t="shared" si="87"/>
        <v>0</v>
      </c>
      <c r="AZ147" s="69">
        <f t="shared" si="88"/>
        <v>0</v>
      </c>
      <c r="BA147" s="66">
        <v>1</v>
      </c>
      <c r="BB147" s="66">
        <v>0</v>
      </c>
      <c r="BC147" s="67">
        <f t="shared" si="95"/>
        <v>0</v>
      </c>
      <c r="BD147" s="16" t="str">
        <f t="shared" si="96"/>
        <v>No Alert</v>
      </c>
      <c r="BE147" s="351">
        <f t="shared" si="89"/>
        <v>0</v>
      </c>
      <c r="BF147" s="351">
        <f t="shared" si="97"/>
        <v>0</v>
      </c>
      <c r="BG147" s="264">
        <f t="shared" si="90"/>
        <v>0</v>
      </c>
      <c r="BH147" s="1020">
        <f t="shared" si="91"/>
        <v>0</v>
      </c>
      <c r="BI147" s="1198">
        <f t="shared" si="98"/>
        <v>0</v>
      </c>
      <c r="BJ147" s="215"/>
      <c r="BK147" s="217"/>
      <c r="BL147" s="217"/>
      <c r="BM147" s="217"/>
      <c r="BN147" s="217"/>
      <c r="BO147" s="217"/>
      <c r="BP147" s="217"/>
      <c r="BQ147" s="218"/>
      <c r="DM147" s="768"/>
      <c r="DN147" s="768"/>
      <c r="DO147" s="768"/>
      <c r="DP147" s="768"/>
      <c r="DQ147" s="768"/>
      <c r="DR147" s="768"/>
      <c r="DS147" s="768"/>
      <c r="DT147" s="768"/>
      <c r="DU147" s="768"/>
    </row>
    <row r="148" spans="2:125" s="520" customFormat="1" ht="15">
      <c r="B148" s="616" t="str">
        <f t="shared" si="92"/>
        <v/>
      </c>
      <c r="C148" s="1164">
        <v>5</v>
      </c>
      <c r="D148" s="750" t="str">
        <f t="shared" si="79"/>
        <v>Pit 5</v>
      </c>
      <c r="E148" s="335">
        <f t="shared" si="80"/>
        <v>0</v>
      </c>
      <c r="F148" s="324">
        <f t="shared" si="81"/>
        <v>0</v>
      </c>
      <c r="G148" s="317"/>
      <c r="H148" s="317"/>
      <c r="I148" s="317"/>
      <c r="J148" s="317"/>
      <c r="K148" s="141"/>
      <c r="L148" s="371"/>
      <c r="M148" s="371"/>
      <c r="N148" s="371"/>
      <c r="O148" s="317"/>
      <c r="P148" s="317"/>
      <c r="Q148" s="351">
        <f t="shared" si="93"/>
        <v>0</v>
      </c>
      <c r="R148" s="37" t="s">
        <v>125</v>
      </c>
      <c r="S148" s="47" t="s">
        <v>349</v>
      </c>
      <c r="T148" s="149" t="s">
        <v>2026</v>
      </c>
      <c r="U148" s="63">
        <f t="shared" si="82"/>
        <v>6.2664411871606829</v>
      </c>
      <c r="V148" s="48" t="s">
        <v>485</v>
      </c>
      <c r="W148" s="63">
        <f>IF(T148=Local,0,VLOOKUP(V148,Long_distance_values_subs,Subrates!$E$5,FALSE))</f>
        <v>0</v>
      </c>
      <c r="X148" s="351">
        <f>U148*F148+F148*W148*VLOOKUP(V148,Long_distance_values_subs,Subrates!$H$5,FALSE)</f>
        <v>0</v>
      </c>
      <c r="Y148" s="37" t="s">
        <v>411</v>
      </c>
      <c r="Z148" s="47" t="s">
        <v>3</v>
      </c>
      <c r="AA148" s="150">
        <f t="shared" si="83"/>
        <v>1.9221853757639424</v>
      </c>
      <c r="AB148" s="351">
        <f t="shared" si="94"/>
        <v>0</v>
      </c>
      <c r="AC148" s="151"/>
      <c r="AD148" s="138"/>
      <c r="AE148" s="139">
        <f t="shared" si="84"/>
        <v>0</v>
      </c>
      <c r="AF148" s="37" t="s">
        <v>125</v>
      </c>
      <c r="AG148" s="47" t="s">
        <v>348</v>
      </c>
      <c r="AH148" s="162">
        <f t="shared" si="85"/>
        <v>4.8064250364478198</v>
      </c>
      <c r="AI148" s="351">
        <f t="shared" si="86"/>
        <v>0</v>
      </c>
      <c r="AJ148" s="73"/>
      <c r="AK148" s="195" t="s">
        <v>48</v>
      </c>
      <c r="AL148" s="1096" t="str">
        <f>IF(AK148=Lists!$B$18,"N/A",VLOOKUP(AK148,Lists!$B$18:$C$26,Lists!$C$3,FALSE))</f>
        <v>N/A</v>
      </c>
      <c r="AM148" s="63">
        <f>IF(AK148=Lists!$B$18,0,VLOOKUP(AL148,Amend_TOV,TOV!$F$1,FALSE))</f>
        <v>0</v>
      </c>
      <c r="AN148" s="117"/>
      <c r="AO148" s="73"/>
      <c r="AP148" s="195" t="s">
        <v>48</v>
      </c>
      <c r="AQ148" s="1096" t="str">
        <f>IF(AP148=Lists!$B$18,"N/A",VLOOKUP(AP148,Lists!$B$18:$C$26,Lists!$C$3,FALSE))</f>
        <v>N/A</v>
      </c>
      <c r="AR148" s="63">
        <f>IF(AP148=Lists!$B$18,0,VLOOKUP(AQ148,Amend_TOV,TOV!$F$1,FALSE))</f>
        <v>0</v>
      </c>
      <c r="AS148" s="117"/>
      <c r="AT148" s="73"/>
      <c r="AU148" s="195" t="s">
        <v>48</v>
      </c>
      <c r="AV148" s="1096" t="str">
        <f>IF(AU148=Lists!$B$18,"N/A",VLOOKUP(AU148,Lists!$B$18:$C$26,Lists!$C$3,FALSE))</f>
        <v>N/A</v>
      </c>
      <c r="AW148" s="63">
        <f>IF(AU148=Lists!$B$18,0,VLOOKUP(AV148,Amend_TOV,TOV!$F$1,FALSE))</f>
        <v>0</v>
      </c>
      <c r="AX148" s="117"/>
      <c r="AY148" s="351">
        <f t="shared" si="87"/>
        <v>0</v>
      </c>
      <c r="AZ148" s="69">
        <f t="shared" si="88"/>
        <v>0</v>
      </c>
      <c r="BA148" s="66">
        <v>1</v>
      </c>
      <c r="BB148" s="66">
        <v>0</v>
      </c>
      <c r="BC148" s="67">
        <f t="shared" si="95"/>
        <v>0</v>
      </c>
      <c r="BD148" s="16" t="str">
        <f t="shared" si="96"/>
        <v>No Alert</v>
      </c>
      <c r="BE148" s="351">
        <f t="shared" si="89"/>
        <v>0</v>
      </c>
      <c r="BF148" s="351">
        <f t="shared" si="97"/>
        <v>0</v>
      </c>
      <c r="BG148" s="264">
        <f t="shared" si="90"/>
        <v>0</v>
      </c>
      <c r="BH148" s="1020">
        <f t="shared" si="91"/>
        <v>0</v>
      </c>
      <c r="BI148" s="1198">
        <f t="shared" si="98"/>
        <v>0</v>
      </c>
      <c r="BJ148" s="215"/>
      <c r="BK148" s="217"/>
      <c r="BL148" s="217"/>
      <c r="BM148" s="217"/>
      <c r="BN148" s="217"/>
      <c r="BO148" s="217"/>
      <c r="BP148" s="217"/>
      <c r="BQ148" s="218"/>
      <c r="DM148" s="768"/>
      <c r="DN148" s="768"/>
      <c r="DO148" s="768"/>
      <c r="DP148" s="768"/>
      <c r="DQ148" s="768"/>
      <c r="DR148" s="768"/>
      <c r="DS148" s="768"/>
      <c r="DT148" s="768"/>
      <c r="DU148" s="768"/>
    </row>
    <row r="149" spans="2:125" s="520" customFormat="1" ht="15">
      <c r="B149" s="616" t="str">
        <f t="shared" si="92"/>
        <v/>
      </c>
      <c r="C149" s="1164">
        <v>6</v>
      </c>
      <c r="D149" s="750" t="str">
        <f t="shared" si="79"/>
        <v>Pit 6</v>
      </c>
      <c r="E149" s="335">
        <f t="shared" si="80"/>
        <v>0</v>
      </c>
      <c r="F149" s="324">
        <f t="shared" si="81"/>
        <v>0</v>
      </c>
      <c r="G149" s="317"/>
      <c r="H149" s="317"/>
      <c r="I149" s="317"/>
      <c r="J149" s="317"/>
      <c r="K149" s="141"/>
      <c r="L149" s="371"/>
      <c r="M149" s="371"/>
      <c r="N149" s="371"/>
      <c r="O149" s="317"/>
      <c r="P149" s="317"/>
      <c r="Q149" s="351">
        <f t="shared" si="93"/>
        <v>0</v>
      </c>
      <c r="R149" s="37" t="s">
        <v>125</v>
      </c>
      <c r="S149" s="47" t="s">
        <v>349</v>
      </c>
      <c r="T149" s="149" t="s">
        <v>2026</v>
      </c>
      <c r="U149" s="63">
        <f t="shared" si="82"/>
        <v>6.2664411871606829</v>
      </c>
      <c r="V149" s="48" t="s">
        <v>485</v>
      </c>
      <c r="W149" s="63">
        <f>IF(T149=Local,0,VLOOKUP(V149,Long_distance_values_subs,Subrates!$E$5,FALSE))</f>
        <v>0</v>
      </c>
      <c r="X149" s="351">
        <f>U149*F149+F149*W149*VLOOKUP(V149,Long_distance_values_subs,Subrates!$H$5,FALSE)</f>
        <v>0</v>
      </c>
      <c r="Y149" s="37" t="s">
        <v>411</v>
      </c>
      <c r="Z149" s="47" t="s">
        <v>3</v>
      </c>
      <c r="AA149" s="150">
        <f t="shared" si="83"/>
        <v>1.9221853757639424</v>
      </c>
      <c r="AB149" s="351">
        <f t="shared" si="94"/>
        <v>0</v>
      </c>
      <c r="AC149" s="151"/>
      <c r="AD149" s="138"/>
      <c r="AE149" s="139">
        <f t="shared" si="84"/>
        <v>0</v>
      </c>
      <c r="AF149" s="37" t="s">
        <v>125</v>
      </c>
      <c r="AG149" s="47" t="s">
        <v>348</v>
      </c>
      <c r="AH149" s="162">
        <f t="shared" si="85"/>
        <v>4.8064250364478198</v>
      </c>
      <c r="AI149" s="351">
        <f t="shared" si="86"/>
        <v>0</v>
      </c>
      <c r="AJ149" s="73"/>
      <c r="AK149" s="195" t="s">
        <v>48</v>
      </c>
      <c r="AL149" s="1096" t="str">
        <f>IF(AK149=Lists!$B$18,"N/A",VLOOKUP(AK149,Lists!$B$18:$C$26,Lists!$C$3,FALSE))</f>
        <v>N/A</v>
      </c>
      <c r="AM149" s="63">
        <f>IF(AK149=Lists!$B$18,0,VLOOKUP(AL149,Amend_TOV,TOV!$F$1,FALSE))</f>
        <v>0</v>
      </c>
      <c r="AN149" s="117"/>
      <c r="AO149" s="73"/>
      <c r="AP149" s="195" t="s">
        <v>48</v>
      </c>
      <c r="AQ149" s="1096" t="str">
        <f>IF(AP149=Lists!$B$18,"N/A",VLOOKUP(AP149,Lists!$B$18:$C$26,Lists!$C$3,FALSE))</f>
        <v>N/A</v>
      </c>
      <c r="AR149" s="63">
        <f>IF(AP149=Lists!$B$18,0,VLOOKUP(AQ149,Amend_TOV,TOV!$F$1,FALSE))</f>
        <v>0</v>
      </c>
      <c r="AS149" s="117"/>
      <c r="AT149" s="73"/>
      <c r="AU149" s="195" t="s">
        <v>48</v>
      </c>
      <c r="AV149" s="1096" t="str">
        <f>IF(AU149=Lists!$B$18,"N/A",VLOOKUP(AU149,Lists!$B$18:$C$26,Lists!$C$3,FALSE))</f>
        <v>N/A</v>
      </c>
      <c r="AW149" s="63">
        <f>IF(AU149=Lists!$B$18,0,VLOOKUP(AV149,Amend_TOV,TOV!$F$1,FALSE))</f>
        <v>0</v>
      </c>
      <c r="AX149" s="117"/>
      <c r="AY149" s="351">
        <f t="shared" si="87"/>
        <v>0</v>
      </c>
      <c r="AZ149" s="69">
        <f t="shared" si="88"/>
        <v>0</v>
      </c>
      <c r="BA149" s="66">
        <v>1</v>
      </c>
      <c r="BB149" s="66">
        <v>0</v>
      </c>
      <c r="BC149" s="67">
        <f t="shared" si="95"/>
        <v>0</v>
      </c>
      <c r="BD149" s="16" t="str">
        <f t="shared" si="96"/>
        <v>No Alert</v>
      </c>
      <c r="BE149" s="351">
        <f t="shared" si="89"/>
        <v>0</v>
      </c>
      <c r="BF149" s="351">
        <f t="shared" si="97"/>
        <v>0</v>
      </c>
      <c r="BG149" s="264">
        <f t="shared" si="90"/>
        <v>0</v>
      </c>
      <c r="BH149" s="1020">
        <f t="shared" si="91"/>
        <v>0</v>
      </c>
      <c r="BI149" s="1198">
        <f t="shared" si="98"/>
        <v>0</v>
      </c>
      <c r="BJ149" s="215"/>
      <c r="BK149" s="217"/>
      <c r="BL149" s="217"/>
      <c r="BM149" s="217"/>
      <c r="BN149" s="217"/>
      <c r="BO149" s="217"/>
      <c r="BP149" s="217"/>
      <c r="BQ149" s="218"/>
      <c r="DM149" s="768"/>
      <c r="DN149" s="768"/>
      <c r="DO149" s="768"/>
      <c r="DP149" s="768"/>
      <c r="DQ149" s="768"/>
      <c r="DR149" s="768"/>
      <c r="DS149" s="768"/>
      <c r="DT149" s="768"/>
      <c r="DU149" s="768"/>
    </row>
    <row r="150" spans="2:125" s="520" customFormat="1" ht="15">
      <c r="B150" s="616" t="str">
        <f t="shared" si="92"/>
        <v/>
      </c>
      <c r="C150" s="1164">
        <v>7</v>
      </c>
      <c r="D150" s="750" t="str">
        <f t="shared" si="79"/>
        <v>Pit 7</v>
      </c>
      <c r="E150" s="335">
        <f t="shared" si="80"/>
        <v>0</v>
      </c>
      <c r="F150" s="324">
        <f t="shared" si="81"/>
        <v>0</v>
      </c>
      <c r="G150" s="317"/>
      <c r="H150" s="317"/>
      <c r="I150" s="317"/>
      <c r="J150" s="317"/>
      <c r="K150" s="141"/>
      <c r="L150" s="371"/>
      <c r="M150" s="371"/>
      <c r="N150" s="371"/>
      <c r="O150" s="317"/>
      <c r="P150" s="317"/>
      <c r="Q150" s="351">
        <f t="shared" si="93"/>
        <v>0</v>
      </c>
      <c r="R150" s="37" t="s">
        <v>125</v>
      </c>
      <c r="S150" s="47" t="s">
        <v>349</v>
      </c>
      <c r="T150" s="149" t="s">
        <v>2026</v>
      </c>
      <c r="U150" s="63">
        <f t="shared" si="82"/>
        <v>6.2664411871606829</v>
      </c>
      <c r="V150" s="48" t="s">
        <v>485</v>
      </c>
      <c r="W150" s="63">
        <f>IF(T150=Local,0,VLOOKUP(V150,Long_distance_values_subs,Subrates!$E$5,FALSE))</f>
        <v>0</v>
      </c>
      <c r="X150" s="351">
        <f>U150*F150+F150*W150*VLOOKUP(V150,Long_distance_values_subs,Subrates!$H$5,FALSE)</f>
        <v>0</v>
      </c>
      <c r="Y150" s="37" t="s">
        <v>411</v>
      </c>
      <c r="Z150" s="47" t="s">
        <v>3</v>
      </c>
      <c r="AA150" s="150">
        <f t="shared" si="83"/>
        <v>1.9221853757639424</v>
      </c>
      <c r="AB150" s="351">
        <f t="shared" si="94"/>
        <v>0</v>
      </c>
      <c r="AC150" s="151"/>
      <c r="AD150" s="138"/>
      <c r="AE150" s="139">
        <f t="shared" si="84"/>
        <v>0</v>
      </c>
      <c r="AF150" s="37" t="s">
        <v>125</v>
      </c>
      <c r="AG150" s="47" t="s">
        <v>348</v>
      </c>
      <c r="AH150" s="162">
        <f t="shared" si="85"/>
        <v>4.8064250364478198</v>
      </c>
      <c r="AI150" s="351">
        <f t="shared" si="86"/>
        <v>0</v>
      </c>
      <c r="AJ150" s="73"/>
      <c r="AK150" s="195" t="s">
        <v>48</v>
      </c>
      <c r="AL150" s="1096" t="str">
        <f>IF(AK150=Lists!$B$18,"N/A",VLOOKUP(AK150,Lists!$B$18:$C$26,Lists!$C$3,FALSE))</f>
        <v>N/A</v>
      </c>
      <c r="AM150" s="63">
        <f>IF(AK150=Lists!$B$18,0,VLOOKUP(AL150,Amend_TOV,TOV!$F$1,FALSE))</f>
        <v>0</v>
      </c>
      <c r="AN150" s="117"/>
      <c r="AO150" s="73"/>
      <c r="AP150" s="195" t="s">
        <v>48</v>
      </c>
      <c r="AQ150" s="1096" t="str">
        <f>IF(AP150=Lists!$B$18,"N/A",VLOOKUP(AP150,Lists!$B$18:$C$26,Lists!$C$3,FALSE))</f>
        <v>N/A</v>
      </c>
      <c r="AR150" s="63">
        <f>IF(AP150=Lists!$B$18,0,VLOOKUP(AQ150,Amend_TOV,TOV!$F$1,FALSE))</f>
        <v>0</v>
      </c>
      <c r="AS150" s="117"/>
      <c r="AT150" s="73"/>
      <c r="AU150" s="195" t="s">
        <v>48</v>
      </c>
      <c r="AV150" s="1096" t="str">
        <f>IF(AU150=Lists!$B$18,"N/A",VLOOKUP(AU150,Lists!$B$18:$C$26,Lists!$C$3,FALSE))</f>
        <v>N/A</v>
      </c>
      <c r="AW150" s="63">
        <f>IF(AU150=Lists!$B$18,0,VLOOKUP(AV150,Amend_TOV,TOV!$F$1,FALSE))</f>
        <v>0</v>
      </c>
      <c r="AX150" s="117"/>
      <c r="AY150" s="351">
        <f t="shared" si="87"/>
        <v>0</v>
      </c>
      <c r="AZ150" s="69">
        <f t="shared" si="88"/>
        <v>0</v>
      </c>
      <c r="BA150" s="66">
        <v>1</v>
      </c>
      <c r="BB150" s="66">
        <v>0</v>
      </c>
      <c r="BC150" s="67">
        <f t="shared" si="95"/>
        <v>0</v>
      </c>
      <c r="BD150" s="16" t="str">
        <f t="shared" si="96"/>
        <v>No Alert</v>
      </c>
      <c r="BE150" s="351">
        <f t="shared" si="89"/>
        <v>0</v>
      </c>
      <c r="BF150" s="351">
        <f t="shared" si="97"/>
        <v>0</v>
      </c>
      <c r="BG150" s="264">
        <f t="shared" si="90"/>
        <v>0</v>
      </c>
      <c r="BH150" s="1020">
        <f t="shared" si="91"/>
        <v>0</v>
      </c>
      <c r="BI150" s="1198">
        <f t="shared" si="98"/>
        <v>0</v>
      </c>
      <c r="BJ150" s="215"/>
      <c r="BK150" s="217"/>
      <c r="BL150" s="217"/>
      <c r="BM150" s="217"/>
      <c r="BN150" s="217"/>
      <c r="BO150" s="217"/>
      <c r="BP150" s="217"/>
      <c r="BQ150" s="218"/>
      <c r="DM150" s="768"/>
      <c r="DN150" s="768"/>
      <c r="DO150" s="768"/>
      <c r="DP150" s="768"/>
      <c r="DQ150" s="768"/>
      <c r="DR150" s="768"/>
      <c r="DS150" s="768"/>
      <c r="DT150" s="768"/>
      <c r="DU150" s="768"/>
    </row>
    <row r="151" spans="2:125" s="520" customFormat="1" ht="15">
      <c r="B151" s="616" t="str">
        <f t="shared" si="92"/>
        <v/>
      </c>
      <c r="C151" s="1164">
        <v>8</v>
      </c>
      <c r="D151" s="750" t="str">
        <f t="shared" si="79"/>
        <v>Pit 8</v>
      </c>
      <c r="E151" s="335">
        <f t="shared" si="80"/>
        <v>0</v>
      </c>
      <c r="F151" s="324">
        <f t="shared" si="81"/>
        <v>0</v>
      </c>
      <c r="G151" s="317"/>
      <c r="H151" s="317"/>
      <c r="I151" s="317"/>
      <c r="J151" s="317"/>
      <c r="K151" s="141"/>
      <c r="L151" s="371"/>
      <c r="M151" s="371"/>
      <c r="N151" s="371"/>
      <c r="O151" s="317"/>
      <c r="P151" s="317"/>
      <c r="Q151" s="351">
        <f t="shared" si="93"/>
        <v>0</v>
      </c>
      <c r="R151" s="37" t="s">
        <v>125</v>
      </c>
      <c r="S151" s="47" t="s">
        <v>349</v>
      </c>
      <c r="T151" s="149" t="s">
        <v>2026</v>
      </c>
      <c r="U151" s="63">
        <f t="shared" si="82"/>
        <v>6.2664411871606829</v>
      </c>
      <c r="V151" s="48" t="s">
        <v>485</v>
      </c>
      <c r="W151" s="63">
        <f>IF(T151=Local,0,VLOOKUP(V151,Long_distance_values_subs,Subrates!$E$5,FALSE))</f>
        <v>0</v>
      </c>
      <c r="X151" s="351">
        <f>U151*F151+F151*W151*VLOOKUP(V151,Long_distance_values_subs,Subrates!$H$5,FALSE)</f>
        <v>0</v>
      </c>
      <c r="Y151" s="37" t="s">
        <v>411</v>
      </c>
      <c r="Z151" s="47" t="s">
        <v>3</v>
      </c>
      <c r="AA151" s="150">
        <f t="shared" si="83"/>
        <v>1.9221853757639424</v>
      </c>
      <c r="AB151" s="351">
        <f t="shared" si="94"/>
        <v>0</v>
      </c>
      <c r="AC151" s="151"/>
      <c r="AD151" s="138"/>
      <c r="AE151" s="139">
        <f t="shared" si="84"/>
        <v>0</v>
      </c>
      <c r="AF151" s="37" t="s">
        <v>125</v>
      </c>
      <c r="AG151" s="47" t="s">
        <v>348</v>
      </c>
      <c r="AH151" s="162">
        <f t="shared" si="85"/>
        <v>4.8064250364478198</v>
      </c>
      <c r="AI151" s="351">
        <f t="shared" si="86"/>
        <v>0</v>
      </c>
      <c r="AJ151" s="73"/>
      <c r="AK151" s="195" t="s">
        <v>48</v>
      </c>
      <c r="AL151" s="1096" t="str">
        <f>IF(AK151=Lists!$B$18,"N/A",VLOOKUP(AK151,Lists!$B$18:$C$26,Lists!$C$3,FALSE))</f>
        <v>N/A</v>
      </c>
      <c r="AM151" s="63">
        <f>IF(AK151=Lists!$B$18,0,VLOOKUP(AL151,Amend_TOV,TOV!$F$1,FALSE))</f>
        <v>0</v>
      </c>
      <c r="AN151" s="117"/>
      <c r="AO151" s="73"/>
      <c r="AP151" s="195" t="s">
        <v>48</v>
      </c>
      <c r="AQ151" s="1096" t="str">
        <f>IF(AP151=Lists!$B$18,"N/A",VLOOKUP(AP151,Lists!$B$18:$C$26,Lists!$C$3,FALSE))</f>
        <v>N/A</v>
      </c>
      <c r="AR151" s="63">
        <f>IF(AP151=Lists!$B$18,0,VLOOKUP(AQ151,Amend_TOV,TOV!$F$1,FALSE))</f>
        <v>0</v>
      </c>
      <c r="AS151" s="117"/>
      <c r="AT151" s="73"/>
      <c r="AU151" s="195" t="s">
        <v>48</v>
      </c>
      <c r="AV151" s="1096" t="str">
        <f>IF(AU151=Lists!$B$18,"N/A",VLOOKUP(AU151,Lists!$B$18:$C$26,Lists!$C$3,FALSE))</f>
        <v>N/A</v>
      </c>
      <c r="AW151" s="63">
        <f>IF(AU151=Lists!$B$18,0,VLOOKUP(AV151,Amend_TOV,TOV!$F$1,FALSE))</f>
        <v>0</v>
      </c>
      <c r="AX151" s="117"/>
      <c r="AY151" s="351">
        <f t="shared" si="87"/>
        <v>0</v>
      </c>
      <c r="AZ151" s="69">
        <f t="shared" si="88"/>
        <v>0</v>
      </c>
      <c r="BA151" s="66">
        <v>1</v>
      </c>
      <c r="BB151" s="66">
        <v>0</v>
      </c>
      <c r="BC151" s="67">
        <f t="shared" si="95"/>
        <v>0</v>
      </c>
      <c r="BD151" s="16" t="str">
        <f t="shared" si="96"/>
        <v>No Alert</v>
      </c>
      <c r="BE151" s="351">
        <f t="shared" si="89"/>
        <v>0</v>
      </c>
      <c r="BF151" s="351">
        <f t="shared" si="97"/>
        <v>0</v>
      </c>
      <c r="BG151" s="264">
        <f t="shared" si="90"/>
        <v>0</v>
      </c>
      <c r="BH151" s="1020">
        <f t="shared" si="91"/>
        <v>0</v>
      </c>
      <c r="BI151" s="1198">
        <f t="shared" si="98"/>
        <v>0</v>
      </c>
      <c r="BJ151" s="215"/>
      <c r="BK151" s="217"/>
      <c r="BL151" s="217"/>
      <c r="BM151" s="217"/>
      <c r="BN151" s="217"/>
      <c r="BO151" s="217"/>
      <c r="BP151" s="217"/>
      <c r="BQ151" s="218"/>
      <c r="DM151" s="768"/>
      <c r="DN151" s="768"/>
      <c r="DO151" s="768"/>
      <c r="DP151" s="768"/>
      <c r="DQ151" s="768"/>
      <c r="DR151" s="768"/>
      <c r="DS151" s="768"/>
      <c r="DT151" s="768"/>
      <c r="DU151" s="768"/>
    </row>
    <row r="152" spans="2:125" s="520" customFormat="1" ht="15">
      <c r="B152" s="616" t="str">
        <f t="shared" si="92"/>
        <v/>
      </c>
      <c r="C152" s="1164">
        <v>9</v>
      </c>
      <c r="D152" s="750" t="str">
        <f t="shared" si="79"/>
        <v>Pit 9</v>
      </c>
      <c r="E152" s="335">
        <f t="shared" si="80"/>
        <v>0</v>
      </c>
      <c r="F152" s="324">
        <f t="shared" si="81"/>
        <v>0</v>
      </c>
      <c r="G152" s="317"/>
      <c r="H152" s="317"/>
      <c r="I152" s="317"/>
      <c r="J152" s="317"/>
      <c r="K152" s="141"/>
      <c r="L152" s="371"/>
      <c r="M152" s="371"/>
      <c r="N152" s="371"/>
      <c r="O152" s="317"/>
      <c r="P152" s="317"/>
      <c r="Q152" s="351">
        <f t="shared" si="93"/>
        <v>0</v>
      </c>
      <c r="R152" s="37" t="s">
        <v>125</v>
      </c>
      <c r="S152" s="47" t="s">
        <v>349</v>
      </c>
      <c r="T152" s="149" t="s">
        <v>2026</v>
      </c>
      <c r="U152" s="63">
        <f t="shared" si="82"/>
        <v>6.2664411871606829</v>
      </c>
      <c r="V152" s="48" t="s">
        <v>485</v>
      </c>
      <c r="W152" s="63">
        <f>IF(T152=Local,0,VLOOKUP(V152,Long_distance_values_subs,Subrates!$E$5,FALSE))</f>
        <v>0</v>
      </c>
      <c r="X152" s="351">
        <f>U152*F152+F152*W152*VLOOKUP(V152,Long_distance_values_subs,Subrates!$H$5,FALSE)</f>
        <v>0</v>
      </c>
      <c r="Y152" s="37" t="s">
        <v>411</v>
      </c>
      <c r="Z152" s="47" t="s">
        <v>3</v>
      </c>
      <c r="AA152" s="150">
        <f t="shared" si="83"/>
        <v>1.9221853757639424</v>
      </c>
      <c r="AB152" s="351">
        <f t="shared" si="94"/>
        <v>0</v>
      </c>
      <c r="AC152" s="151"/>
      <c r="AD152" s="138"/>
      <c r="AE152" s="139">
        <f t="shared" si="84"/>
        <v>0</v>
      </c>
      <c r="AF152" s="37" t="s">
        <v>125</v>
      </c>
      <c r="AG152" s="47" t="s">
        <v>348</v>
      </c>
      <c r="AH152" s="162">
        <f t="shared" si="85"/>
        <v>4.8064250364478198</v>
      </c>
      <c r="AI152" s="351">
        <f t="shared" si="86"/>
        <v>0</v>
      </c>
      <c r="AJ152" s="73"/>
      <c r="AK152" s="195" t="s">
        <v>48</v>
      </c>
      <c r="AL152" s="1096" t="str">
        <f>IF(AK152=Lists!$B$18,"N/A",VLOOKUP(AK152,Lists!$B$18:$C$26,Lists!$C$3,FALSE))</f>
        <v>N/A</v>
      </c>
      <c r="AM152" s="63">
        <f>IF(AK152=Lists!$B$18,0,VLOOKUP(AL152,Amend_TOV,TOV!$F$1,FALSE))</f>
        <v>0</v>
      </c>
      <c r="AN152" s="117"/>
      <c r="AO152" s="73"/>
      <c r="AP152" s="195" t="s">
        <v>48</v>
      </c>
      <c r="AQ152" s="1096" t="str">
        <f>IF(AP152=Lists!$B$18,"N/A",VLOOKUP(AP152,Lists!$B$18:$C$26,Lists!$C$3,FALSE))</f>
        <v>N/A</v>
      </c>
      <c r="AR152" s="63">
        <f>IF(AP152=Lists!$B$18,0,VLOOKUP(AQ152,Amend_TOV,TOV!$F$1,FALSE))</f>
        <v>0</v>
      </c>
      <c r="AS152" s="117"/>
      <c r="AT152" s="73"/>
      <c r="AU152" s="195" t="s">
        <v>48</v>
      </c>
      <c r="AV152" s="1096" t="str">
        <f>IF(AU152=Lists!$B$18,"N/A",VLOOKUP(AU152,Lists!$B$18:$C$26,Lists!$C$3,FALSE))</f>
        <v>N/A</v>
      </c>
      <c r="AW152" s="63">
        <f>IF(AU152=Lists!$B$18,0,VLOOKUP(AV152,Amend_TOV,TOV!$F$1,FALSE))</f>
        <v>0</v>
      </c>
      <c r="AX152" s="117"/>
      <c r="AY152" s="351">
        <f t="shared" si="87"/>
        <v>0</v>
      </c>
      <c r="AZ152" s="69">
        <f t="shared" si="88"/>
        <v>0</v>
      </c>
      <c r="BA152" s="66">
        <v>1</v>
      </c>
      <c r="BB152" s="66">
        <v>0</v>
      </c>
      <c r="BC152" s="67">
        <f t="shared" si="95"/>
        <v>0</v>
      </c>
      <c r="BD152" s="16" t="str">
        <f t="shared" si="96"/>
        <v>No Alert</v>
      </c>
      <c r="BE152" s="351">
        <f t="shared" si="89"/>
        <v>0</v>
      </c>
      <c r="BF152" s="351">
        <f t="shared" si="97"/>
        <v>0</v>
      </c>
      <c r="BG152" s="264">
        <f t="shared" si="90"/>
        <v>0</v>
      </c>
      <c r="BH152" s="1020">
        <f t="shared" si="91"/>
        <v>0</v>
      </c>
      <c r="BI152" s="1198">
        <f t="shared" si="98"/>
        <v>0</v>
      </c>
      <c r="BJ152" s="215"/>
      <c r="BK152" s="217"/>
      <c r="BL152" s="217"/>
      <c r="BM152" s="217"/>
      <c r="BN152" s="217"/>
      <c r="BO152" s="217"/>
      <c r="BP152" s="217"/>
      <c r="BQ152" s="218"/>
      <c r="DM152" s="768"/>
      <c r="DN152" s="768"/>
      <c r="DO152" s="768"/>
      <c r="DP152" s="768"/>
      <c r="DQ152" s="768"/>
      <c r="DR152" s="768"/>
      <c r="DS152" s="768"/>
      <c r="DT152" s="768"/>
      <c r="DU152" s="768"/>
    </row>
    <row r="153" spans="2:125" s="520" customFormat="1" ht="15">
      <c r="B153" s="616" t="str">
        <f t="shared" si="92"/>
        <v/>
      </c>
      <c r="C153" s="1164">
        <v>10</v>
      </c>
      <c r="D153" s="750" t="str">
        <f t="shared" si="79"/>
        <v>Pit 10</v>
      </c>
      <c r="E153" s="335">
        <f t="shared" si="80"/>
        <v>0</v>
      </c>
      <c r="F153" s="324">
        <f t="shared" si="81"/>
        <v>0</v>
      </c>
      <c r="G153" s="317"/>
      <c r="H153" s="317"/>
      <c r="I153" s="317"/>
      <c r="J153" s="317"/>
      <c r="K153" s="141"/>
      <c r="L153" s="371"/>
      <c r="M153" s="371"/>
      <c r="N153" s="371"/>
      <c r="O153" s="317"/>
      <c r="P153" s="317"/>
      <c r="Q153" s="351">
        <f t="shared" si="93"/>
        <v>0</v>
      </c>
      <c r="R153" s="37" t="s">
        <v>125</v>
      </c>
      <c r="S153" s="47" t="s">
        <v>349</v>
      </c>
      <c r="T153" s="149" t="s">
        <v>2026</v>
      </c>
      <c r="U153" s="63">
        <f t="shared" si="82"/>
        <v>6.2664411871606829</v>
      </c>
      <c r="V153" s="48" t="s">
        <v>485</v>
      </c>
      <c r="W153" s="63">
        <f>IF(T153=Local,0,VLOOKUP(V153,Long_distance_values_subs,Subrates!$E$5,FALSE))</f>
        <v>0</v>
      </c>
      <c r="X153" s="351">
        <f>U153*F153+F153*W153*VLOOKUP(V153,Long_distance_values_subs,Subrates!$H$5,FALSE)</f>
        <v>0</v>
      </c>
      <c r="Y153" s="37" t="s">
        <v>411</v>
      </c>
      <c r="Z153" s="47" t="s">
        <v>3</v>
      </c>
      <c r="AA153" s="150">
        <f t="shared" si="83"/>
        <v>1.9221853757639424</v>
      </c>
      <c r="AB153" s="351">
        <f t="shared" si="94"/>
        <v>0</v>
      </c>
      <c r="AC153" s="151"/>
      <c r="AD153" s="138"/>
      <c r="AE153" s="139">
        <f t="shared" si="84"/>
        <v>0</v>
      </c>
      <c r="AF153" s="37" t="s">
        <v>125</v>
      </c>
      <c r="AG153" s="47" t="s">
        <v>348</v>
      </c>
      <c r="AH153" s="162">
        <f t="shared" si="85"/>
        <v>4.8064250364478198</v>
      </c>
      <c r="AI153" s="351">
        <f t="shared" si="86"/>
        <v>0</v>
      </c>
      <c r="AJ153" s="73"/>
      <c r="AK153" s="195" t="s">
        <v>48</v>
      </c>
      <c r="AL153" s="1096" t="str">
        <f>IF(AK153=Lists!$B$18,"N/A",VLOOKUP(AK153,Lists!$B$18:$C$26,Lists!$C$3,FALSE))</f>
        <v>N/A</v>
      </c>
      <c r="AM153" s="63">
        <f>IF(AK153=Lists!$B$18,0,VLOOKUP(AL153,Amend_TOV,TOV!$F$1,FALSE))</f>
        <v>0</v>
      </c>
      <c r="AN153" s="117"/>
      <c r="AO153" s="73"/>
      <c r="AP153" s="195" t="s">
        <v>48</v>
      </c>
      <c r="AQ153" s="1096" t="str">
        <f>IF(AP153=Lists!$B$18,"N/A",VLOOKUP(AP153,Lists!$B$18:$C$26,Lists!$C$3,FALSE))</f>
        <v>N/A</v>
      </c>
      <c r="AR153" s="63">
        <f>IF(AP153=Lists!$B$18,0,VLOOKUP(AQ153,Amend_TOV,TOV!$F$1,FALSE))</f>
        <v>0</v>
      </c>
      <c r="AS153" s="117"/>
      <c r="AT153" s="73"/>
      <c r="AU153" s="195" t="s">
        <v>48</v>
      </c>
      <c r="AV153" s="1096" t="str">
        <f>IF(AU153=Lists!$B$18,"N/A",VLOOKUP(AU153,Lists!$B$18:$C$26,Lists!$C$3,FALSE))</f>
        <v>N/A</v>
      </c>
      <c r="AW153" s="63">
        <f>IF(AU153=Lists!$B$18,0,VLOOKUP(AV153,Amend_TOV,TOV!$F$1,FALSE))</f>
        <v>0</v>
      </c>
      <c r="AX153" s="117"/>
      <c r="AY153" s="351">
        <f t="shared" si="87"/>
        <v>0</v>
      </c>
      <c r="AZ153" s="69">
        <f t="shared" si="88"/>
        <v>0</v>
      </c>
      <c r="BA153" s="66">
        <v>1</v>
      </c>
      <c r="BB153" s="66">
        <v>0</v>
      </c>
      <c r="BC153" s="67">
        <f t="shared" si="95"/>
        <v>0</v>
      </c>
      <c r="BD153" s="16" t="str">
        <f t="shared" si="96"/>
        <v>No Alert</v>
      </c>
      <c r="BE153" s="351">
        <f t="shared" si="89"/>
        <v>0</v>
      </c>
      <c r="BF153" s="351">
        <f t="shared" si="97"/>
        <v>0</v>
      </c>
      <c r="BG153" s="264">
        <f t="shared" si="90"/>
        <v>0</v>
      </c>
      <c r="BH153" s="1020">
        <f t="shared" si="91"/>
        <v>0</v>
      </c>
      <c r="BI153" s="1198">
        <f t="shared" si="98"/>
        <v>0</v>
      </c>
      <c r="BJ153" s="215"/>
      <c r="BK153" s="217"/>
      <c r="BL153" s="217"/>
      <c r="BM153" s="217"/>
      <c r="BN153" s="217"/>
      <c r="BO153" s="217"/>
      <c r="BP153" s="217"/>
      <c r="BQ153" s="218"/>
      <c r="DM153" s="768"/>
      <c r="DN153" s="768"/>
      <c r="DO153" s="768"/>
      <c r="DP153" s="768"/>
      <c r="DQ153" s="768"/>
      <c r="DR153" s="768"/>
      <c r="DS153" s="768"/>
      <c r="DT153" s="768"/>
      <c r="DU153" s="768"/>
    </row>
    <row r="154" spans="2:125" s="520" customFormat="1" ht="15">
      <c r="B154" s="616" t="str">
        <f t="shared" si="92"/>
        <v/>
      </c>
      <c r="C154" s="1164">
        <v>11</v>
      </c>
      <c r="D154" s="750" t="str">
        <f t="shared" si="79"/>
        <v>Pit 11</v>
      </c>
      <c r="E154" s="335">
        <f t="shared" si="80"/>
        <v>0</v>
      </c>
      <c r="F154" s="324">
        <f t="shared" si="81"/>
        <v>0</v>
      </c>
      <c r="G154" s="317"/>
      <c r="H154" s="317"/>
      <c r="I154" s="317"/>
      <c r="J154" s="317"/>
      <c r="K154" s="141"/>
      <c r="L154" s="371"/>
      <c r="M154" s="371"/>
      <c r="N154" s="371"/>
      <c r="O154" s="317"/>
      <c r="P154" s="317"/>
      <c r="Q154" s="351">
        <f t="shared" si="93"/>
        <v>0</v>
      </c>
      <c r="R154" s="37" t="s">
        <v>125</v>
      </c>
      <c r="S154" s="47" t="s">
        <v>349</v>
      </c>
      <c r="T154" s="149" t="s">
        <v>2026</v>
      </c>
      <c r="U154" s="63">
        <f t="shared" si="82"/>
        <v>6.2664411871606829</v>
      </c>
      <c r="V154" s="48" t="s">
        <v>485</v>
      </c>
      <c r="W154" s="63">
        <f>IF(T154=Local,0,VLOOKUP(V154,Long_distance_values_subs,Subrates!$E$5,FALSE))</f>
        <v>0</v>
      </c>
      <c r="X154" s="351">
        <f>U154*F154+F154*W154*VLOOKUP(V154,Long_distance_values_subs,Subrates!$H$5,FALSE)</f>
        <v>0</v>
      </c>
      <c r="Y154" s="37" t="s">
        <v>411</v>
      </c>
      <c r="Z154" s="47" t="s">
        <v>3</v>
      </c>
      <c r="AA154" s="150">
        <f t="shared" si="83"/>
        <v>1.9221853757639424</v>
      </c>
      <c r="AB154" s="351">
        <f t="shared" si="94"/>
        <v>0</v>
      </c>
      <c r="AC154" s="151"/>
      <c r="AD154" s="138"/>
      <c r="AE154" s="139">
        <f t="shared" si="84"/>
        <v>0</v>
      </c>
      <c r="AF154" s="37" t="s">
        <v>125</v>
      </c>
      <c r="AG154" s="47" t="s">
        <v>348</v>
      </c>
      <c r="AH154" s="162">
        <f t="shared" si="85"/>
        <v>4.8064250364478198</v>
      </c>
      <c r="AI154" s="351">
        <f t="shared" si="86"/>
        <v>0</v>
      </c>
      <c r="AJ154" s="73"/>
      <c r="AK154" s="195" t="s">
        <v>48</v>
      </c>
      <c r="AL154" s="1096" t="str">
        <f>IF(AK154=Lists!$B$18,"N/A",VLOOKUP(AK154,Lists!$B$18:$C$26,Lists!$C$3,FALSE))</f>
        <v>N/A</v>
      </c>
      <c r="AM154" s="63">
        <f>IF(AK154=Lists!$B$18,0,VLOOKUP(AL154,Amend_TOV,TOV!$F$1,FALSE))</f>
        <v>0</v>
      </c>
      <c r="AN154" s="117"/>
      <c r="AO154" s="73"/>
      <c r="AP154" s="195" t="s">
        <v>48</v>
      </c>
      <c r="AQ154" s="1096" t="str">
        <f>IF(AP154=Lists!$B$18,"N/A",VLOOKUP(AP154,Lists!$B$18:$C$26,Lists!$C$3,FALSE))</f>
        <v>N/A</v>
      </c>
      <c r="AR154" s="63">
        <f>IF(AP154=Lists!$B$18,0,VLOOKUP(AQ154,Amend_TOV,TOV!$F$1,FALSE))</f>
        <v>0</v>
      </c>
      <c r="AS154" s="117"/>
      <c r="AT154" s="73"/>
      <c r="AU154" s="195" t="s">
        <v>48</v>
      </c>
      <c r="AV154" s="1096" t="str">
        <f>IF(AU154=Lists!$B$18,"N/A",VLOOKUP(AU154,Lists!$B$18:$C$26,Lists!$C$3,FALSE))</f>
        <v>N/A</v>
      </c>
      <c r="AW154" s="63">
        <f>IF(AU154=Lists!$B$18,0,VLOOKUP(AV154,Amend_TOV,TOV!$F$1,FALSE))</f>
        <v>0</v>
      </c>
      <c r="AX154" s="117"/>
      <c r="AY154" s="351">
        <f t="shared" si="87"/>
        <v>0</v>
      </c>
      <c r="AZ154" s="69">
        <f t="shared" si="88"/>
        <v>0</v>
      </c>
      <c r="BA154" s="66">
        <v>1</v>
      </c>
      <c r="BB154" s="66">
        <v>0</v>
      </c>
      <c r="BC154" s="67">
        <f t="shared" si="95"/>
        <v>0</v>
      </c>
      <c r="BD154" s="16" t="str">
        <f t="shared" si="96"/>
        <v>No Alert</v>
      </c>
      <c r="BE154" s="351">
        <f t="shared" si="89"/>
        <v>0</v>
      </c>
      <c r="BF154" s="351">
        <f t="shared" si="97"/>
        <v>0</v>
      </c>
      <c r="BG154" s="264">
        <f t="shared" si="90"/>
        <v>0</v>
      </c>
      <c r="BH154" s="1020">
        <f t="shared" si="91"/>
        <v>0</v>
      </c>
      <c r="BI154" s="1198">
        <f t="shared" si="98"/>
        <v>0</v>
      </c>
      <c r="BJ154" s="215"/>
      <c r="BK154" s="217"/>
      <c r="BL154" s="217"/>
      <c r="BM154" s="217"/>
      <c r="BN154" s="217"/>
      <c r="BO154" s="217"/>
      <c r="BP154" s="217"/>
      <c r="BQ154" s="218"/>
      <c r="DM154" s="768"/>
      <c r="DN154" s="768"/>
      <c r="DO154" s="768"/>
      <c r="DP154" s="768"/>
      <c r="DQ154" s="768"/>
      <c r="DR154" s="768"/>
      <c r="DS154" s="768"/>
      <c r="DT154" s="768"/>
      <c r="DU154" s="768"/>
    </row>
    <row r="155" spans="2:125" s="520" customFormat="1" ht="15">
      <c r="B155" s="616" t="str">
        <f t="shared" si="92"/>
        <v/>
      </c>
      <c r="C155" s="1164">
        <v>12</v>
      </c>
      <c r="D155" s="750" t="str">
        <f t="shared" si="79"/>
        <v>Pit 12</v>
      </c>
      <c r="E155" s="335">
        <f t="shared" si="80"/>
        <v>0</v>
      </c>
      <c r="F155" s="324">
        <f t="shared" si="81"/>
        <v>0</v>
      </c>
      <c r="G155" s="317"/>
      <c r="H155" s="317"/>
      <c r="I155" s="317"/>
      <c r="J155" s="317"/>
      <c r="K155" s="141"/>
      <c r="L155" s="371"/>
      <c r="M155" s="371"/>
      <c r="N155" s="371"/>
      <c r="O155" s="317"/>
      <c r="P155" s="317"/>
      <c r="Q155" s="351">
        <f t="shared" si="93"/>
        <v>0</v>
      </c>
      <c r="R155" s="37" t="s">
        <v>125</v>
      </c>
      <c r="S155" s="47" t="s">
        <v>349</v>
      </c>
      <c r="T155" s="149" t="s">
        <v>2026</v>
      </c>
      <c r="U155" s="63">
        <f t="shared" si="82"/>
        <v>6.2664411871606829</v>
      </c>
      <c r="V155" s="48" t="s">
        <v>485</v>
      </c>
      <c r="W155" s="63">
        <f>IF(T155=Local,0,VLOOKUP(V155,Long_distance_values_subs,Subrates!$E$5,FALSE))</f>
        <v>0</v>
      </c>
      <c r="X155" s="351">
        <f>U155*F155+F155*W155*VLOOKUP(V155,Long_distance_values_subs,Subrates!$H$5,FALSE)</f>
        <v>0</v>
      </c>
      <c r="Y155" s="37" t="s">
        <v>411</v>
      </c>
      <c r="Z155" s="47" t="s">
        <v>3</v>
      </c>
      <c r="AA155" s="150">
        <f t="shared" si="83"/>
        <v>1.9221853757639424</v>
      </c>
      <c r="AB155" s="351">
        <f t="shared" si="94"/>
        <v>0</v>
      </c>
      <c r="AC155" s="151"/>
      <c r="AD155" s="138"/>
      <c r="AE155" s="139">
        <f t="shared" si="84"/>
        <v>0</v>
      </c>
      <c r="AF155" s="37" t="s">
        <v>125</v>
      </c>
      <c r="AG155" s="47" t="s">
        <v>348</v>
      </c>
      <c r="AH155" s="162">
        <f t="shared" si="85"/>
        <v>4.8064250364478198</v>
      </c>
      <c r="AI155" s="351">
        <f t="shared" si="86"/>
        <v>0</v>
      </c>
      <c r="AJ155" s="73"/>
      <c r="AK155" s="195" t="s">
        <v>48</v>
      </c>
      <c r="AL155" s="1096" t="str">
        <f>IF(AK155=Lists!$B$18,"N/A",VLOOKUP(AK155,Lists!$B$18:$C$26,Lists!$C$3,FALSE))</f>
        <v>N/A</v>
      </c>
      <c r="AM155" s="63">
        <f>IF(AK155=Lists!$B$18,0,VLOOKUP(AL155,Amend_TOV,TOV!$F$1,FALSE))</f>
        <v>0</v>
      </c>
      <c r="AN155" s="117"/>
      <c r="AO155" s="73"/>
      <c r="AP155" s="195" t="s">
        <v>48</v>
      </c>
      <c r="AQ155" s="1096" t="str">
        <f>IF(AP155=Lists!$B$18,"N/A",VLOOKUP(AP155,Lists!$B$18:$C$26,Lists!$C$3,FALSE))</f>
        <v>N/A</v>
      </c>
      <c r="AR155" s="63">
        <f>IF(AP155=Lists!$B$18,0,VLOOKUP(AQ155,Amend_TOV,TOV!$F$1,FALSE))</f>
        <v>0</v>
      </c>
      <c r="AS155" s="117"/>
      <c r="AT155" s="73"/>
      <c r="AU155" s="195" t="s">
        <v>48</v>
      </c>
      <c r="AV155" s="1096" t="str">
        <f>IF(AU155=Lists!$B$18,"N/A",VLOOKUP(AU155,Lists!$B$18:$C$26,Lists!$C$3,FALSE))</f>
        <v>N/A</v>
      </c>
      <c r="AW155" s="63">
        <f>IF(AU155=Lists!$B$18,0,VLOOKUP(AV155,Amend_TOV,TOV!$F$1,FALSE))</f>
        <v>0</v>
      </c>
      <c r="AX155" s="117"/>
      <c r="AY155" s="351">
        <f t="shared" si="87"/>
        <v>0</v>
      </c>
      <c r="AZ155" s="69">
        <f t="shared" si="88"/>
        <v>0</v>
      </c>
      <c r="BA155" s="66">
        <v>1</v>
      </c>
      <c r="BB155" s="66">
        <v>0</v>
      </c>
      <c r="BC155" s="67">
        <f t="shared" si="95"/>
        <v>0</v>
      </c>
      <c r="BD155" s="16" t="str">
        <f t="shared" si="96"/>
        <v>No Alert</v>
      </c>
      <c r="BE155" s="351">
        <f t="shared" si="89"/>
        <v>0</v>
      </c>
      <c r="BF155" s="351">
        <f t="shared" si="97"/>
        <v>0</v>
      </c>
      <c r="BG155" s="264">
        <f t="shared" si="90"/>
        <v>0</v>
      </c>
      <c r="BH155" s="1020">
        <f t="shared" si="91"/>
        <v>0</v>
      </c>
      <c r="BI155" s="1198">
        <f t="shared" si="98"/>
        <v>0</v>
      </c>
      <c r="BJ155" s="215"/>
      <c r="BK155" s="217"/>
      <c r="BL155" s="217"/>
      <c r="BM155" s="217"/>
      <c r="BN155" s="217"/>
      <c r="BO155" s="217"/>
      <c r="BP155" s="217"/>
      <c r="BQ155" s="218"/>
      <c r="DM155" s="768"/>
      <c r="DN155" s="768"/>
      <c r="DO155" s="768"/>
      <c r="DP155" s="768"/>
      <c r="DQ155" s="768"/>
      <c r="DR155" s="768"/>
      <c r="DS155" s="768"/>
      <c r="DT155" s="768"/>
      <c r="DU155" s="768"/>
    </row>
    <row r="156" spans="2:125" s="520" customFormat="1" ht="15">
      <c r="B156" s="616" t="str">
        <f t="shared" si="92"/>
        <v/>
      </c>
      <c r="C156" s="1164">
        <v>13</v>
      </c>
      <c r="D156" s="750" t="str">
        <f t="shared" si="79"/>
        <v>Pit 13</v>
      </c>
      <c r="E156" s="335">
        <f t="shared" si="80"/>
        <v>0</v>
      </c>
      <c r="F156" s="324">
        <f t="shared" si="81"/>
        <v>0</v>
      </c>
      <c r="G156" s="317"/>
      <c r="H156" s="317"/>
      <c r="I156" s="317"/>
      <c r="J156" s="317"/>
      <c r="K156" s="141"/>
      <c r="L156" s="371"/>
      <c r="M156" s="371"/>
      <c r="N156" s="371"/>
      <c r="O156" s="317"/>
      <c r="P156" s="317"/>
      <c r="Q156" s="351">
        <f t="shared" si="93"/>
        <v>0</v>
      </c>
      <c r="R156" s="37" t="s">
        <v>125</v>
      </c>
      <c r="S156" s="47" t="s">
        <v>349</v>
      </c>
      <c r="T156" s="149" t="s">
        <v>2026</v>
      </c>
      <c r="U156" s="63">
        <f t="shared" si="82"/>
        <v>6.2664411871606829</v>
      </c>
      <c r="V156" s="48" t="s">
        <v>485</v>
      </c>
      <c r="W156" s="63">
        <f>IF(T156=Local,0,VLOOKUP(V156,Long_distance_values_subs,Subrates!$E$5,FALSE))</f>
        <v>0</v>
      </c>
      <c r="X156" s="351">
        <f>U156*F156+F156*W156*VLOOKUP(V156,Long_distance_values_subs,Subrates!$H$5,FALSE)</f>
        <v>0</v>
      </c>
      <c r="Y156" s="37" t="s">
        <v>411</v>
      </c>
      <c r="Z156" s="47" t="s">
        <v>3</v>
      </c>
      <c r="AA156" s="150">
        <f t="shared" si="83"/>
        <v>1.9221853757639424</v>
      </c>
      <c r="AB156" s="351">
        <f t="shared" si="94"/>
        <v>0</v>
      </c>
      <c r="AC156" s="151"/>
      <c r="AD156" s="138"/>
      <c r="AE156" s="139">
        <f t="shared" si="84"/>
        <v>0</v>
      </c>
      <c r="AF156" s="37" t="s">
        <v>125</v>
      </c>
      <c r="AG156" s="47" t="s">
        <v>348</v>
      </c>
      <c r="AH156" s="162">
        <f t="shared" si="85"/>
        <v>4.8064250364478198</v>
      </c>
      <c r="AI156" s="351">
        <f t="shared" si="86"/>
        <v>0</v>
      </c>
      <c r="AJ156" s="73"/>
      <c r="AK156" s="195" t="s">
        <v>48</v>
      </c>
      <c r="AL156" s="1096" t="str">
        <f>IF(AK156=Lists!$B$18,"N/A",VLOOKUP(AK156,Lists!$B$18:$C$26,Lists!$C$3,FALSE))</f>
        <v>N/A</v>
      </c>
      <c r="AM156" s="63">
        <f>IF(AK156=Lists!$B$18,0,VLOOKUP(AL156,Amend_TOV,TOV!$F$1,FALSE))</f>
        <v>0</v>
      </c>
      <c r="AN156" s="117"/>
      <c r="AO156" s="73"/>
      <c r="AP156" s="195" t="s">
        <v>48</v>
      </c>
      <c r="AQ156" s="1096" t="str">
        <f>IF(AP156=Lists!$B$18,"N/A",VLOOKUP(AP156,Lists!$B$18:$C$26,Lists!$C$3,FALSE))</f>
        <v>N/A</v>
      </c>
      <c r="AR156" s="63">
        <f>IF(AP156=Lists!$B$18,0,VLOOKUP(AQ156,Amend_TOV,TOV!$F$1,FALSE))</f>
        <v>0</v>
      </c>
      <c r="AS156" s="117"/>
      <c r="AT156" s="73"/>
      <c r="AU156" s="195" t="s">
        <v>48</v>
      </c>
      <c r="AV156" s="1096" t="str">
        <f>IF(AU156=Lists!$B$18,"N/A",VLOOKUP(AU156,Lists!$B$18:$C$26,Lists!$C$3,FALSE))</f>
        <v>N/A</v>
      </c>
      <c r="AW156" s="63">
        <f>IF(AU156=Lists!$B$18,0,VLOOKUP(AV156,Amend_TOV,TOV!$F$1,FALSE))</f>
        <v>0</v>
      </c>
      <c r="AX156" s="117"/>
      <c r="AY156" s="351">
        <f t="shared" si="87"/>
        <v>0</v>
      </c>
      <c r="AZ156" s="69">
        <f t="shared" si="88"/>
        <v>0</v>
      </c>
      <c r="BA156" s="66">
        <v>1</v>
      </c>
      <c r="BB156" s="66">
        <v>0</v>
      </c>
      <c r="BC156" s="67">
        <f t="shared" si="95"/>
        <v>0</v>
      </c>
      <c r="BD156" s="16" t="str">
        <f t="shared" si="96"/>
        <v>No Alert</v>
      </c>
      <c r="BE156" s="351">
        <f t="shared" si="89"/>
        <v>0</v>
      </c>
      <c r="BF156" s="351">
        <f t="shared" si="97"/>
        <v>0</v>
      </c>
      <c r="BG156" s="264">
        <f t="shared" si="90"/>
        <v>0</v>
      </c>
      <c r="BH156" s="1020">
        <f t="shared" si="91"/>
        <v>0</v>
      </c>
      <c r="BI156" s="1198">
        <f t="shared" si="98"/>
        <v>0</v>
      </c>
      <c r="BJ156" s="215"/>
      <c r="BK156" s="217"/>
      <c r="BL156" s="217"/>
      <c r="BM156" s="217"/>
      <c r="BN156" s="217"/>
      <c r="BO156" s="217"/>
      <c r="BP156" s="217"/>
      <c r="BQ156" s="218"/>
      <c r="DM156" s="768"/>
      <c r="DN156" s="768"/>
      <c r="DO156" s="768"/>
      <c r="DP156" s="768"/>
      <c r="DQ156" s="768"/>
      <c r="DR156" s="768"/>
      <c r="DS156" s="768"/>
      <c r="DT156" s="768"/>
      <c r="DU156" s="768"/>
    </row>
    <row r="157" spans="2:125" s="520" customFormat="1" ht="15">
      <c r="B157" s="616" t="str">
        <f t="shared" si="92"/>
        <v/>
      </c>
      <c r="C157" s="1164">
        <v>14</v>
      </c>
      <c r="D157" s="750" t="str">
        <f t="shared" si="79"/>
        <v>Pit 14</v>
      </c>
      <c r="E157" s="335">
        <f t="shared" si="80"/>
        <v>0</v>
      </c>
      <c r="F157" s="324">
        <f t="shared" si="81"/>
        <v>0</v>
      </c>
      <c r="G157" s="317"/>
      <c r="H157" s="317"/>
      <c r="I157" s="317"/>
      <c r="J157" s="317"/>
      <c r="K157" s="141"/>
      <c r="L157" s="371"/>
      <c r="M157" s="371"/>
      <c r="N157" s="371"/>
      <c r="O157" s="317"/>
      <c r="P157" s="317"/>
      <c r="Q157" s="351">
        <f t="shared" si="93"/>
        <v>0</v>
      </c>
      <c r="R157" s="37" t="s">
        <v>125</v>
      </c>
      <c r="S157" s="47" t="s">
        <v>349</v>
      </c>
      <c r="T157" s="149" t="s">
        <v>2026</v>
      </c>
      <c r="U157" s="63">
        <f t="shared" si="82"/>
        <v>6.2664411871606829</v>
      </c>
      <c r="V157" s="48" t="s">
        <v>485</v>
      </c>
      <c r="W157" s="63">
        <f>IF(T157=Local,0,VLOOKUP(V157,Long_distance_values_subs,Subrates!$E$5,FALSE))</f>
        <v>0</v>
      </c>
      <c r="X157" s="351">
        <f>U157*F157+F157*W157*VLOOKUP(V157,Long_distance_values_subs,Subrates!$H$5,FALSE)</f>
        <v>0</v>
      </c>
      <c r="Y157" s="37" t="s">
        <v>411</v>
      </c>
      <c r="Z157" s="47" t="s">
        <v>3</v>
      </c>
      <c r="AA157" s="150">
        <f t="shared" si="83"/>
        <v>1.9221853757639424</v>
      </c>
      <c r="AB157" s="351">
        <f t="shared" si="94"/>
        <v>0</v>
      </c>
      <c r="AC157" s="151"/>
      <c r="AD157" s="138"/>
      <c r="AE157" s="139">
        <f t="shared" si="84"/>
        <v>0</v>
      </c>
      <c r="AF157" s="37" t="s">
        <v>125</v>
      </c>
      <c r="AG157" s="47" t="s">
        <v>348</v>
      </c>
      <c r="AH157" s="162">
        <f t="shared" si="85"/>
        <v>4.8064250364478198</v>
      </c>
      <c r="AI157" s="351">
        <f t="shared" si="86"/>
        <v>0</v>
      </c>
      <c r="AJ157" s="73"/>
      <c r="AK157" s="195" t="s">
        <v>48</v>
      </c>
      <c r="AL157" s="1096" t="str">
        <f>IF(AK157=Lists!$B$18,"N/A",VLOOKUP(AK157,Lists!$B$18:$C$26,Lists!$C$3,FALSE))</f>
        <v>N/A</v>
      </c>
      <c r="AM157" s="63">
        <f>IF(AK157=Lists!$B$18,0,VLOOKUP(AL157,Amend_TOV,TOV!$F$1,FALSE))</f>
        <v>0</v>
      </c>
      <c r="AN157" s="117"/>
      <c r="AO157" s="73"/>
      <c r="AP157" s="195" t="s">
        <v>48</v>
      </c>
      <c r="AQ157" s="1096" t="str">
        <f>IF(AP157=Lists!$B$18,"N/A",VLOOKUP(AP157,Lists!$B$18:$C$26,Lists!$C$3,FALSE))</f>
        <v>N/A</v>
      </c>
      <c r="AR157" s="63">
        <f>IF(AP157=Lists!$B$18,0,VLOOKUP(AQ157,Amend_TOV,TOV!$F$1,FALSE))</f>
        <v>0</v>
      </c>
      <c r="AS157" s="117"/>
      <c r="AT157" s="73"/>
      <c r="AU157" s="195" t="s">
        <v>48</v>
      </c>
      <c r="AV157" s="1096" t="str">
        <f>IF(AU157=Lists!$B$18,"N/A",VLOOKUP(AU157,Lists!$B$18:$C$26,Lists!$C$3,FALSE))</f>
        <v>N/A</v>
      </c>
      <c r="AW157" s="63">
        <f>IF(AU157=Lists!$B$18,0,VLOOKUP(AV157,Amend_TOV,TOV!$F$1,FALSE))</f>
        <v>0</v>
      </c>
      <c r="AX157" s="117"/>
      <c r="AY157" s="351">
        <f t="shared" si="87"/>
        <v>0</v>
      </c>
      <c r="AZ157" s="69">
        <f t="shared" si="88"/>
        <v>0</v>
      </c>
      <c r="BA157" s="66">
        <v>1</v>
      </c>
      <c r="BB157" s="66">
        <v>0</v>
      </c>
      <c r="BC157" s="67">
        <f t="shared" si="95"/>
        <v>0</v>
      </c>
      <c r="BD157" s="16" t="str">
        <f t="shared" si="96"/>
        <v>No Alert</v>
      </c>
      <c r="BE157" s="351">
        <f t="shared" si="89"/>
        <v>0</v>
      </c>
      <c r="BF157" s="351">
        <f t="shared" si="97"/>
        <v>0</v>
      </c>
      <c r="BG157" s="264">
        <f t="shared" si="90"/>
        <v>0</v>
      </c>
      <c r="BH157" s="1020">
        <f t="shared" si="91"/>
        <v>0</v>
      </c>
      <c r="BI157" s="1198">
        <f t="shared" si="98"/>
        <v>0</v>
      </c>
      <c r="BJ157" s="215"/>
      <c r="BK157" s="217"/>
      <c r="BL157" s="217"/>
      <c r="BM157" s="217"/>
      <c r="BN157" s="217"/>
      <c r="BO157" s="217"/>
      <c r="BP157" s="217"/>
      <c r="BQ157" s="218"/>
      <c r="DM157" s="768"/>
      <c r="DN157" s="768"/>
      <c r="DO157" s="768"/>
      <c r="DP157" s="768"/>
      <c r="DQ157" s="768"/>
      <c r="DR157" s="768"/>
      <c r="DS157" s="768"/>
      <c r="DT157" s="768"/>
      <c r="DU157" s="768"/>
    </row>
    <row r="158" spans="2:125" s="520" customFormat="1" ht="15">
      <c r="B158" s="616" t="str">
        <f t="shared" si="92"/>
        <v/>
      </c>
      <c r="C158" s="1164">
        <v>15</v>
      </c>
      <c r="D158" s="750" t="str">
        <f t="shared" si="79"/>
        <v>Pit 15</v>
      </c>
      <c r="E158" s="335">
        <f t="shared" si="80"/>
        <v>0</v>
      </c>
      <c r="F158" s="324">
        <f t="shared" si="81"/>
        <v>0</v>
      </c>
      <c r="G158" s="317"/>
      <c r="H158" s="317"/>
      <c r="I158" s="317"/>
      <c r="J158" s="317"/>
      <c r="K158" s="141"/>
      <c r="L158" s="371"/>
      <c r="M158" s="371"/>
      <c r="N158" s="371"/>
      <c r="O158" s="317"/>
      <c r="P158" s="317"/>
      <c r="Q158" s="351">
        <f t="shared" si="93"/>
        <v>0</v>
      </c>
      <c r="R158" s="37" t="s">
        <v>125</v>
      </c>
      <c r="S158" s="47" t="s">
        <v>349</v>
      </c>
      <c r="T158" s="149" t="s">
        <v>2026</v>
      </c>
      <c r="U158" s="63">
        <f t="shared" si="82"/>
        <v>6.2664411871606829</v>
      </c>
      <c r="V158" s="48" t="s">
        <v>485</v>
      </c>
      <c r="W158" s="63">
        <f>IF(T158=Local,0,VLOOKUP(V158,Long_distance_values_subs,Subrates!$E$5,FALSE))</f>
        <v>0</v>
      </c>
      <c r="X158" s="351">
        <f>U158*F158+F158*W158*VLOOKUP(V158,Long_distance_values_subs,Subrates!$H$5,FALSE)</f>
        <v>0</v>
      </c>
      <c r="Y158" s="37" t="s">
        <v>411</v>
      </c>
      <c r="Z158" s="47" t="s">
        <v>3</v>
      </c>
      <c r="AA158" s="150">
        <f t="shared" si="83"/>
        <v>1.9221853757639424</v>
      </c>
      <c r="AB158" s="351">
        <f t="shared" si="94"/>
        <v>0</v>
      </c>
      <c r="AC158" s="151"/>
      <c r="AD158" s="138"/>
      <c r="AE158" s="139">
        <f t="shared" si="84"/>
        <v>0</v>
      </c>
      <c r="AF158" s="37" t="s">
        <v>125</v>
      </c>
      <c r="AG158" s="47" t="s">
        <v>348</v>
      </c>
      <c r="AH158" s="162">
        <f t="shared" si="85"/>
        <v>4.8064250364478198</v>
      </c>
      <c r="AI158" s="351">
        <f t="shared" si="86"/>
        <v>0</v>
      </c>
      <c r="AJ158" s="73"/>
      <c r="AK158" s="195" t="s">
        <v>48</v>
      </c>
      <c r="AL158" s="1096" t="str">
        <f>IF(AK158=Lists!$B$18,"N/A",VLOOKUP(AK158,Lists!$B$18:$C$26,Lists!$C$3,FALSE))</f>
        <v>N/A</v>
      </c>
      <c r="AM158" s="63">
        <f>IF(AK158=Lists!$B$18,0,VLOOKUP(AL158,Amend_TOV,TOV!$F$1,FALSE))</f>
        <v>0</v>
      </c>
      <c r="AN158" s="117"/>
      <c r="AO158" s="73"/>
      <c r="AP158" s="195" t="s">
        <v>48</v>
      </c>
      <c r="AQ158" s="1096" t="str">
        <f>IF(AP158=Lists!$B$18,"N/A",VLOOKUP(AP158,Lists!$B$18:$C$26,Lists!$C$3,FALSE))</f>
        <v>N/A</v>
      </c>
      <c r="AR158" s="63">
        <f>IF(AP158=Lists!$B$18,0,VLOOKUP(AQ158,Amend_TOV,TOV!$F$1,FALSE))</f>
        <v>0</v>
      </c>
      <c r="AS158" s="117"/>
      <c r="AT158" s="73"/>
      <c r="AU158" s="195" t="s">
        <v>48</v>
      </c>
      <c r="AV158" s="1096" t="str">
        <f>IF(AU158=Lists!$B$18,"N/A",VLOOKUP(AU158,Lists!$B$18:$C$26,Lists!$C$3,FALSE))</f>
        <v>N/A</v>
      </c>
      <c r="AW158" s="63">
        <f>IF(AU158=Lists!$B$18,0,VLOOKUP(AV158,Amend_TOV,TOV!$F$1,FALSE))</f>
        <v>0</v>
      </c>
      <c r="AX158" s="117"/>
      <c r="AY158" s="351">
        <f t="shared" si="87"/>
        <v>0</v>
      </c>
      <c r="AZ158" s="69">
        <f t="shared" si="88"/>
        <v>0</v>
      </c>
      <c r="BA158" s="66">
        <v>1</v>
      </c>
      <c r="BB158" s="66">
        <v>0</v>
      </c>
      <c r="BC158" s="67">
        <f t="shared" si="95"/>
        <v>0</v>
      </c>
      <c r="BD158" s="16" t="str">
        <f t="shared" si="96"/>
        <v>No Alert</v>
      </c>
      <c r="BE158" s="351">
        <f t="shared" si="89"/>
        <v>0</v>
      </c>
      <c r="BF158" s="351">
        <f t="shared" si="97"/>
        <v>0</v>
      </c>
      <c r="BG158" s="264">
        <f t="shared" si="90"/>
        <v>0</v>
      </c>
      <c r="BH158" s="1020">
        <f t="shared" si="91"/>
        <v>0</v>
      </c>
      <c r="BI158" s="1198">
        <f t="shared" si="98"/>
        <v>0</v>
      </c>
      <c r="BJ158" s="215"/>
      <c r="BK158" s="217"/>
      <c r="BL158" s="217"/>
      <c r="BM158" s="217"/>
      <c r="BN158" s="217"/>
      <c r="BO158" s="217"/>
      <c r="BP158" s="217"/>
      <c r="BQ158" s="218"/>
      <c r="DM158" s="768"/>
      <c r="DN158" s="768"/>
      <c r="DO158" s="768"/>
      <c r="DP158" s="768"/>
      <c r="DQ158" s="768"/>
      <c r="DR158" s="768"/>
      <c r="DS158" s="768"/>
      <c r="DT158" s="768"/>
      <c r="DU158" s="768"/>
    </row>
    <row r="159" spans="2:125" s="520" customFormat="1" ht="15">
      <c r="B159" s="616" t="str">
        <f t="shared" si="92"/>
        <v/>
      </c>
      <c r="C159" s="1164">
        <v>16</v>
      </c>
      <c r="D159" s="750" t="str">
        <f t="shared" si="79"/>
        <v>Pit 16</v>
      </c>
      <c r="E159" s="335">
        <f t="shared" si="80"/>
        <v>0</v>
      </c>
      <c r="F159" s="324">
        <f t="shared" si="81"/>
        <v>0</v>
      </c>
      <c r="G159" s="317"/>
      <c r="H159" s="317"/>
      <c r="I159" s="317"/>
      <c r="J159" s="317"/>
      <c r="K159" s="141"/>
      <c r="L159" s="371"/>
      <c r="M159" s="371"/>
      <c r="N159" s="371"/>
      <c r="O159" s="317"/>
      <c r="P159" s="317"/>
      <c r="Q159" s="351">
        <f t="shared" si="93"/>
        <v>0</v>
      </c>
      <c r="R159" s="37" t="s">
        <v>125</v>
      </c>
      <c r="S159" s="47" t="s">
        <v>349</v>
      </c>
      <c r="T159" s="149" t="s">
        <v>2026</v>
      </c>
      <c r="U159" s="63">
        <f t="shared" si="82"/>
        <v>6.2664411871606829</v>
      </c>
      <c r="V159" s="48" t="s">
        <v>485</v>
      </c>
      <c r="W159" s="63">
        <f>IF(T159=Local,0,VLOOKUP(V159,Long_distance_values_subs,Subrates!$E$5,FALSE))</f>
        <v>0</v>
      </c>
      <c r="X159" s="351">
        <f>U159*F159+F159*W159*VLOOKUP(V159,Long_distance_values_subs,Subrates!$H$5,FALSE)</f>
        <v>0</v>
      </c>
      <c r="Y159" s="37" t="s">
        <v>411</v>
      </c>
      <c r="Z159" s="47" t="s">
        <v>3</v>
      </c>
      <c r="AA159" s="150">
        <f t="shared" si="83"/>
        <v>1.9221853757639424</v>
      </c>
      <c r="AB159" s="351">
        <f t="shared" si="94"/>
        <v>0</v>
      </c>
      <c r="AC159" s="151"/>
      <c r="AD159" s="138"/>
      <c r="AE159" s="139">
        <f t="shared" si="84"/>
        <v>0</v>
      </c>
      <c r="AF159" s="37" t="s">
        <v>125</v>
      </c>
      <c r="AG159" s="47" t="s">
        <v>348</v>
      </c>
      <c r="AH159" s="162">
        <f t="shared" si="85"/>
        <v>4.8064250364478198</v>
      </c>
      <c r="AI159" s="351">
        <f t="shared" si="86"/>
        <v>0</v>
      </c>
      <c r="AJ159" s="73"/>
      <c r="AK159" s="195" t="s">
        <v>48</v>
      </c>
      <c r="AL159" s="1096" t="str">
        <f>IF(AK159=Lists!$B$18,"N/A",VLOOKUP(AK159,Lists!$B$18:$C$26,Lists!$C$3,FALSE))</f>
        <v>N/A</v>
      </c>
      <c r="AM159" s="63">
        <f>IF(AK159=Lists!$B$18,0,VLOOKUP(AL159,Amend_TOV,TOV!$F$1,FALSE))</f>
        <v>0</v>
      </c>
      <c r="AN159" s="117"/>
      <c r="AO159" s="73"/>
      <c r="AP159" s="195" t="s">
        <v>48</v>
      </c>
      <c r="AQ159" s="1096" t="str">
        <f>IF(AP159=Lists!$B$18,"N/A",VLOOKUP(AP159,Lists!$B$18:$C$26,Lists!$C$3,FALSE))</f>
        <v>N/A</v>
      </c>
      <c r="AR159" s="63">
        <f>IF(AP159=Lists!$B$18,0,VLOOKUP(AQ159,Amend_TOV,TOV!$F$1,FALSE))</f>
        <v>0</v>
      </c>
      <c r="AS159" s="117"/>
      <c r="AT159" s="73"/>
      <c r="AU159" s="195" t="s">
        <v>48</v>
      </c>
      <c r="AV159" s="1096" t="str">
        <f>IF(AU159=Lists!$B$18,"N/A",VLOOKUP(AU159,Lists!$B$18:$C$26,Lists!$C$3,FALSE))</f>
        <v>N/A</v>
      </c>
      <c r="AW159" s="63">
        <f>IF(AU159=Lists!$B$18,0,VLOOKUP(AV159,Amend_TOV,TOV!$F$1,FALSE))</f>
        <v>0</v>
      </c>
      <c r="AX159" s="117"/>
      <c r="AY159" s="351">
        <f t="shared" si="87"/>
        <v>0</v>
      </c>
      <c r="AZ159" s="69">
        <f t="shared" si="88"/>
        <v>0</v>
      </c>
      <c r="BA159" s="66">
        <v>1</v>
      </c>
      <c r="BB159" s="66">
        <v>0</v>
      </c>
      <c r="BC159" s="67">
        <f t="shared" si="95"/>
        <v>0</v>
      </c>
      <c r="BD159" s="16" t="str">
        <f t="shared" si="96"/>
        <v>No Alert</v>
      </c>
      <c r="BE159" s="351">
        <f t="shared" si="89"/>
        <v>0</v>
      </c>
      <c r="BF159" s="351">
        <f t="shared" si="97"/>
        <v>0</v>
      </c>
      <c r="BG159" s="264">
        <f t="shared" si="90"/>
        <v>0</v>
      </c>
      <c r="BH159" s="1020">
        <f t="shared" si="91"/>
        <v>0</v>
      </c>
      <c r="BI159" s="1198">
        <f t="shared" si="98"/>
        <v>0</v>
      </c>
      <c r="BJ159" s="215"/>
      <c r="BK159" s="217"/>
      <c r="BL159" s="217"/>
      <c r="BM159" s="217"/>
      <c r="BN159" s="217"/>
      <c r="BO159" s="217"/>
      <c r="BP159" s="217"/>
      <c r="BQ159" s="218"/>
      <c r="DM159" s="768"/>
      <c r="DN159" s="768"/>
      <c r="DO159" s="768"/>
      <c r="DP159" s="768"/>
      <c r="DQ159" s="768"/>
      <c r="DR159" s="768"/>
      <c r="DS159" s="768"/>
      <c r="DT159" s="768"/>
      <c r="DU159" s="768"/>
    </row>
    <row r="160" spans="2:125" s="520" customFormat="1" ht="15">
      <c r="B160" s="616" t="str">
        <f t="shared" si="92"/>
        <v/>
      </c>
      <c r="C160" s="1164">
        <v>17</v>
      </c>
      <c r="D160" s="750" t="str">
        <f t="shared" si="79"/>
        <v>Pit 17</v>
      </c>
      <c r="E160" s="335">
        <f t="shared" si="80"/>
        <v>0</v>
      </c>
      <c r="F160" s="324">
        <f t="shared" si="81"/>
        <v>0</v>
      </c>
      <c r="G160" s="317"/>
      <c r="H160" s="317"/>
      <c r="I160" s="317"/>
      <c r="J160" s="317"/>
      <c r="K160" s="141"/>
      <c r="L160" s="371"/>
      <c r="M160" s="371"/>
      <c r="N160" s="371"/>
      <c r="O160" s="317"/>
      <c r="P160" s="317"/>
      <c r="Q160" s="351">
        <f t="shared" si="93"/>
        <v>0</v>
      </c>
      <c r="R160" s="37" t="s">
        <v>125</v>
      </c>
      <c r="S160" s="47" t="s">
        <v>349</v>
      </c>
      <c r="T160" s="149" t="s">
        <v>2026</v>
      </c>
      <c r="U160" s="63">
        <f t="shared" si="82"/>
        <v>6.2664411871606829</v>
      </c>
      <c r="V160" s="48" t="s">
        <v>485</v>
      </c>
      <c r="W160" s="63">
        <f>IF(T160=Local,0,VLOOKUP(V160,Long_distance_values_subs,Subrates!$E$5,FALSE))</f>
        <v>0</v>
      </c>
      <c r="X160" s="351">
        <f>U160*F160+F160*W160*VLOOKUP(V160,Long_distance_values_subs,Subrates!$H$5,FALSE)</f>
        <v>0</v>
      </c>
      <c r="Y160" s="37" t="s">
        <v>411</v>
      </c>
      <c r="Z160" s="47" t="s">
        <v>3</v>
      </c>
      <c r="AA160" s="150">
        <f t="shared" si="83"/>
        <v>1.9221853757639424</v>
      </c>
      <c r="AB160" s="351">
        <f t="shared" si="94"/>
        <v>0</v>
      </c>
      <c r="AC160" s="151"/>
      <c r="AD160" s="138"/>
      <c r="AE160" s="139">
        <f t="shared" si="84"/>
        <v>0</v>
      </c>
      <c r="AF160" s="37" t="s">
        <v>125</v>
      </c>
      <c r="AG160" s="47" t="s">
        <v>348</v>
      </c>
      <c r="AH160" s="162">
        <f t="shared" si="85"/>
        <v>4.8064250364478198</v>
      </c>
      <c r="AI160" s="351">
        <f t="shared" si="86"/>
        <v>0</v>
      </c>
      <c r="AJ160" s="73"/>
      <c r="AK160" s="195" t="s">
        <v>48</v>
      </c>
      <c r="AL160" s="1096" t="str">
        <f>IF(AK160=Lists!$B$18,"N/A",VLOOKUP(AK160,Lists!$B$18:$C$26,Lists!$C$3,FALSE))</f>
        <v>N/A</v>
      </c>
      <c r="AM160" s="63">
        <f>IF(AK160=Lists!$B$18,0,VLOOKUP(AL160,Amend_TOV,TOV!$F$1,FALSE))</f>
        <v>0</v>
      </c>
      <c r="AN160" s="117"/>
      <c r="AO160" s="73"/>
      <c r="AP160" s="195" t="s">
        <v>48</v>
      </c>
      <c r="AQ160" s="1096" t="str">
        <f>IF(AP160=Lists!$B$18,"N/A",VLOOKUP(AP160,Lists!$B$18:$C$26,Lists!$C$3,FALSE))</f>
        <v>N/A</v>
      </c>
      <c r="AR160" s="63">
        <f>IF(AP160=Lists!$B$18,0,VLOOKUP(AQ160,Amend_TOV,TOV!$F$1,FALSE))</f>
        <v>0</v>
      </c>
      <c r="AS160" s="117"/>
      <c r="AT160" s="73"/>
      <c r="AU160" s="195" t="s">
        <v>48</v>
      </c>
      <c r="AV160" s="1096" t="str">
        <f>IF(AU160=Lists!$B$18,"N/A",VLOOKUP(AU160,Lists!$B$18:$C$26,Lists!$C$3,FALSE))</f>
        <v>N/A</v>
      </c>
      <c r="AW160" s="63">
        <f>IF(AU160=Lists!$B$18,0,VLOOKUP(AV160,Amend_TOV,TOV!$F$1,FALSE))</f>
        <v>0</v>
      </c>
      <c r="AX160" s="117"/>
      <c r="AY160" s="351">
        <f t="shared" si="87"/>
        <v>0</v>
      </c>
      <c r="AZ160" s="69">
        <f t="shared" si="88"/>
        <v>0</v>
      </c>
      <c r="BA160" s="66">
        <v>1</v>
      </c>
      <c r="BB160" s="66">
        <v>0</v>
      </c>
      <c r="BC160" s="67">
        <f t="shared" si="95"/>
        <v>0</v>
      </c>
      <c r="BD160" s="16" t="str">
        <f t="shared" si="96"/>
        <v>No Alert</v>
      </c>
      <c r="BE160" s="351">
        <f t="shared" si="89"/>
        <v>0</v>
      </c>
      <c r="BF160" s="351">
        <f t="shared" si="97"/>
        <v>0</v>
      </c>
      <c r="BG160" s="264">
        <f t="shared" si="90"/>
        <v>0</v>
      </c>
      <c r="BH160" s="1020">
        <f t="shared" si="91"/>
        <v>0</v>
      </c>
      <c r="BI160" s="1198">
        <f t="shared" si="98"/>
        <v>0</v>
      </c>
      <c r="BJ160" s="215"/>
      <c r="BK160" s="217"/>
      <c r="BL160" s="217"/>
      <c r="BM160" s="217"/>
      <c r="BN160" s="217"/>
      <c r="BO160" s="217"/>
      <c r="BP160" s="217"/>
      <c r="BQ160" s="218"/>
      <c r="DM160" s="768"/>
      <c r="DN160" s="768"/>
      <c r="DO160" s="768"/>
      <c r="DP160" s="768"/>
      <c r="DQ160" s="768"/>
      <c r="DR160" s="768"/>
      <c r="DS160" s="768"/>
      <c r="DT160" s="768"/>
      <c r="DU160" s="768"/>
    </row>
    <row r="161" spans="2:126" s="520" customFormat="1" ht="15">
      <c r="B161" s="616" t="str">
        <f t="shared" si="92"/>
        <v/>
      </c>
      <c r="C161" s="1164">
        <v>18</v>
      </c>
      <c r="D161" s="750" t="str">
        <f t="shared" si="79"/>
        <v>Pit 18</v>
      </c>
      <c r="E161" s="335">
        <f t="shared" si="80"/>
        <v>0</v>
      </c>
      <c r="F161" s="324">
        <f t="shared" si="81"/>
        <v>0</v>
      </c>
      <c r="G161" s="317"/>
      <c r="H161" s="317"/>
      <c r="I161" s="317"/>
      <c r="J161" s="317"/>
      <c r="K161" s="141"/>
      <c r="L161" s="371"/>
      <c r="M161" s="371"/>
      <c r="N161" s="371"/>
      <c r="O161" s="317"/>
      <c r="P161" s="317"/>
      <c r="Q161" s="351">
        <f t="shared" si="93"/>
        <v>0</v>
      </c>
      <c r="R161" s="37" t="s">
        <v>125</v>
      </c>
      <c r="S161" s="47" t="s">
        <v>349</v>
      </c>
      <c r="T161" s="149" t="s">
        <v>2026</v>
      </c>
      <c r="U161" s="63">
        <f t="shared" si="82"/>
        <v>6.2664411871606829</v>
      </c>
      <c r="V161" s="48" t="s">
        <v>485</v>
      </c>
      <c r="W161" s="63">
        <f>IF(T161=Local,0,VLOOKUP(V161,Long_distance_values_subs,Subrates!$E$5,FALSE))</f>
        <v>0</v>
      </c>
      <c r="X161" s="351">
        <f>U161*F161+F161*W161*VLOOKUP(V161,Long_distance_values_subs,Subrates!$H$5,FALSE)</f>
        <v>0</v>
      </c>
      <c r="Y161" s="37" t="s">
        <v>411</v>
      </c>
      <c r="Z161" s="47" t="s">
        <v>3</v>
      </c>
      <c r="AA161" s="150">
        <f t="shared" si="83"/>
        <v>1.9221853757639424</v>
      </c>
      <c r="AB161" s="351">
        <f t="shared" si="94"/>
        <v>0</v>
      </c>
      <c r="AC161" s="151"/>
      <c r="AD161" s="138"/>
      <c r="AE161" s="139">
        <f t="shared" si="84"/>
        <v>0</v>
      </c>
      <c r="AF161" s="37" t="s">
        <v>125</v>
      </c>
      <c r="AG161" s="47" t="s">
        <v>348</v>
      </c>
      <c r="AH161" s="162">
        <f t="shared" si="85"/>
        <v>4.8064250364478198</v>
      </c>
      <c r="AI161" s="351">
        <f t="shared" si="86"/>
        <v>0</v>
      </c>
      <c r="AJ161" s="73"/>
      <c r="AK161" s="195" t="s">
        <v>48</v>
      </c>
      <c r="AL161" s="1096" t="str">
        <f>IF(AK161=Lists!$B$18,"N/A",VLOOKUP(AK161,Lists!$B$18:$C$26,Lists!$C$3,FALSE))</f>
        <v>N/A</v>
      </c>
      <c r="AM161" s="63">
        <f>IF(AK161=Lists!$B$18,0,VLOOKUP(AL161,Amend_TOV,TOV!$F$1,FALSE))</f>
        <v>0</v>
      </c>
      <c r="AN161" s="117"/>
      <c r="AO161" s="73"/>
      <c r="AP161" s="195" t="s">
        <v>48</v>
      </c>
      <c r="AQ161" s="1096" t="str">
        <f>IF(AP161=Lists!$B$18,"N/A",VLOOKUP(AP161,Lists!$B$18:$C$26,Lists!$C$3,FALSE))</f>
        <v>N/A</v>
      </c>
      <c r="AR161" s="63">
        <f>IF(AP161=Lists!$B$18,0,VLOOKUP(AQ161,Amend_TOV,TOV!$F$1,FALSE))</f>
        <v>0</v>
      </c>
      <c r="AS161" s="117"/>
      <c r="AT161" s="73"/>
      <c r="AU161" s="195" t="s">
        <v>48</v>
      </c>
      <c r="AV161" s="1096" t="str">
        <f>IF(AU161=Lists!$B$18,"N/A",VLOOKUP(AU161,Lists!$B$18:$C$26,Lists!$C$3,FALSE))</f>
        <v>N/A</v>
      </c>
      <c r="AW161" s="63">
        <f>IF(AU161=Lists!$B$18,0,VLOOKUP(AV161,Amend_TOV,TOV!$F$1,FALSE))</f>
        <v>0</v>
      </c>
      <c r="AX161" s="117"/>
      <c r="AY161" s="351">
        <f t="shared" si="87"/>
        <v>0</v>
      </c>
      <c r="AZ161" s="69">
        <f t="shared" si="88"/>
        <v>0</v>
      </c>
      <c r="BA161" s="66">
        <v>1</v>
      </c>
      <c r="BB161" s="66">
        <v>0</v>
      </c>
      <c r="BC161" s="67">
        <f t="shared" si="95"/>
        <v>0</v>
      </c>
      <c r="BD161" s="16" t="str">
        <f t="shared" si="96"/>
        <v>No Alert</v>
      </c>
      <c r="BE161" s="351">
        <f t="shared" si="89"/>
        <v>0</v>
      </c>
      <c r="BF161" s="351">
        <f t="shared" si="97"/>
        <v>0</v>
      </c>
      <c r="BG161" s="264">
        <f t="shared" si="90"/>
        <v>0</v>
      </c>
      <c r="BH161" s="1020">
        <f t="shared" si="91"/>
        <v>0</v>
      </c>
      <c r="BI161" s="1198">
        <f t="shared" si="98"/>
        <v>0</v>
      </c>
      <c r="BJ161" s="215"/>
      <c r="BK161" s="217"/>
      <c r="BL161" s="217"/>
      <c r="BM161" s="217"/>
      <c r="BN161" s="217"/>
      <c r="BO161" s="217"/>
      <c r="BP161" s="217"/>
      <c r="BQ161" s="218"/>
      <c r="DM161" s="768"/>
      <c r="DN161" s="768"/>
      <c r="DO161" s="768"/>
      <c r="DP161" s="768"/>
      <c r="DQ161" s="768"/>
      <c r="DR161" s="768"/>
      <c r="DS161" s="768"/>
      <c r="DT161" s="768"/>
      <c r="DU161" s="768"/>
    </row>
    <row r="162" spans="2:126" s="520" customFormat="1" ht="15">
      <c r="B162" s="616" t="str">
        <f t="shared" si="92"/>
        <v/>
      </c>
      <c r="C162" s="1164">
        <v>19</v>
      </c>
      <c r="D162" s="750" t="str">
        <f t="shared" si="79"/>
        <v>Pit 19</v>
      </c>
      <c r="E162" s="335">
        <f t="shared" si="80"/>
        <v>0</v>
      </c>
      <c r="F162" s="324">
        <f t="shared" si="81"/>
        <v>0</v>
      </c>
      <c r="G162" s="317"/>
      <c r="H162" s="317"/>
      <c r="I162" s="317"/>
      <c r="J162" s="317"/>
      <c r="K162" s="141"/>
      <c r="L162" s="371"/>
      <c r="M162" s="371"/>
      <c r="N162" s="371"/>
      <c r="O162" s="317"/>
      <c r="P162" s="317"/>
      <c r="Q162" s="351">
        <f t="shared" si="93"/>
        <v>0</v>
      </c>
      <c r="R162" s="37" t="s">
        <v>125</v>
      </c>
      <c r="S162" s="47" t="s">
        <v>349</v>
      </c>
      <c r="T162" s="149" t="s">
        <v>2026</v>
      </c>
      <c r="U162" s="63">
        <f t="shared" si="82"/>
        <v>6.2664411871606829</v>
      </c>
      <c r="V162" s="48" t="s">
        <v>485</v>
      </c>
      <c r="W162" s="63">
        <f>IF(T162=Local,0,VLOOKUP(V162,Long_distance_values_subs,Subrates!$E$5,FALSE))</f>
        <v>0</v>
      </c>
      <c r="X162" s="351">
        <f>U162*F162+F162*W162*VLOOKUP(V162,Long_distance_values_subs,Subrates!$H$5,FALSE)</f>
        <v>0</v>
      </c>
      <c r="Y162" s="37" t="s">
        <v>411</v>
      </c>
      <c r="Z162" s="47" t="s">
        <v>3</v>
      </c>
      <c r="AA162" s="150">
        <f t="shared" si="83"/>
        <v>1.9221853757639424</v>
      </c>
      <c r="AB162" s="351">
        <f t="shared" si="94"/>
        <v>0</v>
      </c>
      <c r="AC162" s="151"/>
      <c r="AD162" s="138"/>
      <c r="AE162" s="139">
        <f t="shared" si="84"/>
        <v>0</v>
      </c>
      <c r="AF162" s="37" t="s">
        <v>125</v>
      </c>
      <c r="AG162" s="47" t="s">
        <v>348</v>
      </c>
      <c r="AH162" s="162">
        <f t="shared" si="85"/>
        <v>4.8064250364478198</v>
      </c>
      <c r="AI162" s="351">
        <f t="shared" si="86"/>
        <v>0</v>
      </c>
      <c r="AJ162" s="73"/>
      <c r="AK162" s="195" t="s">
        <v>48</v>
      </c>
      <c r="AL162" s="1096" t="str">
        <f>IF(AK162=Lists!$B$18,"N/A",VLOOKUP(AK162,Lists!$B$18:$C$26,Lists!$C$3,FALSE))</f>
        <v>N/A</v>
      </c>
      <c r="AM162" s="63">
        <f>IF(AK162=Lists!$B$18,0,VLOOKUP(AL162,Amend_TOV,TOV!$F$1,FALSE))</f>
        <v>0</v>
      </c>
      <c r="AN162" s="117"/>
      <c r="AO162" s="73"/>
      <c r="AP162" s="195" t="s">
        <v>48</v>
      </c>
      <c r="AQ162" s="1096" t="str">
        <f>IF(AP162=Lists!$B$18,"N/A",VLOOKUP(AP162,Lists!$B$18:$C$26,Lists!$C$3,FALSE))</f>
        <v>N/A</v>
      </c>
      <c r="AR162" s="63">
        <f>IF(AP162=Lists!$B$18,0,VLOOKUP(AQ162,Amend_TOV,TOV!$F$1,FALSE))</f>
        <v>0</v>
      </c>
      <c r="AS162" s="117"/>
      <c r="AT162" s="73"/>
      <c r="AU162" s="195" t="s">
        <v>48</v>
      </c>
      <c r="AV162" s="1096" t="str">
        <f>IF(AU162=Lists!$B$18,"N/A",VLOOKUP(AU162,Lists!$B$18:$C$26,Lists!$C$3,FALSE))</f>
        <v>N/A</v>
      </c>
      <c r="AW162" s="63">
        <f>IF(AU162=Lists!$B$18,0,VLOOKUP(AV162,Amend_TOV,TOV!$F$1,FALSE))</f>
        <v>0</v>
      </c>
      <c r="AX162" s="117"/>
      <c r="AY162" s="351">
        <f t="shared" si="87"/>
        <v>0</v>
      </c>
      <c r="AZ162" s="69">
        <f t="shared" si="88"/>
        <v>0</v>
      </c>
      <c r="BA162" s="66">
        <v>1</v>
      </c>
      <c r="BB162" s="66">
        <v>0</v>
      </c>
      <c r="BC162" s="67">
        <f t="shared" si="95"/>
        <v>0</v>
      </c>
      <c r="BD162" s="16" t="str">
        <f t="shared" si="96"/>
        <v>No Alert</v>
      </c>
      <c r="BE162" s="351">
        <f t="shared" si="89"/>
        <v>0</v>
      </c>
      <c r="BF162" s="351">
        <f t="shared" si="97"/>
        <v>0</v>
      </c>
      <c r="BG162" s="264">
        <f t="shared" si="90"/>
        <v>0</v>
      </c>
      <c r="BH162" s="1020">
        <f t="shared" si="91"/>
        <v>0</v>
      </c>
      <c r="BI162" s="1198">
        <f t="shared" si="98"/>
        <v>0</v>
      </c>
      <c r="BJ162" s="215"/>
      <c r="BK162" s="217"/>
      <c r="BL162" s="217"/>
      <c r="BM162" s="217"/>
      <c r="BN162" s="217"/>
      <c r="BO162" s="217"/>
      <c r="BP162" s="217"/>
      <c r="BQ162" s="218"/>
      <c r="DM162" s="768"/>
      <c r="DN162" s="768"/>
      <c r="DO162" s="768"/>
      <c r="DP162" s="768"/>
      <c r="DQ162" s="768"/>
      <c r="DR162" s="768"/>
      <c r="DS162" s="768"/>
      <c r="DT162" s="768"/>
      <c r="DU162" s="768"/>
    </row>
    <row r="163" spans="2:126" s="520" customFormat="1" ht="15">
      <c r="B163" s="616" t="str">
        <f t="shared" si="92"/>
        <v/>
      </c>
      <c r="C163" s="1164">
        <v>20</v>
      </c>
      <c r="D163" s="750" t="str">
        <f t="shared" si="79"/>
        <v>Pit 20</v>
      </c>
      <c r="E163" s="335">
        <f t="shared" si="80"/>
        <v>0</v>
      </c>
      <c r="F163" s="324">
        <f t="shared" si="81"/>
        <v>0</v>
      </c>
      <c r="G163" s="317"/>
      <c r="H163" s="317"/>
      <c r="I163" s="317"/>
      <c r="J163" s="317"/>
      <c r="K163" s="141"/>
      <c r="L163" s="371"/>
      <c r="M163" s="371"/>
      <c r="N163" s="371"/>
      <c r="O163" s="317"/>
      <c r="P163" s="317"/>
      <c r="Q163" s="351">
        <f t="shared" si="93"/>
        <v>0</v>
      </c>
      <c r="R163" s="37" t="s">
        <v>125</v>
      </c>
      <c r="S163" s="47" t="s">
        <v>349</v>
      </c>
      <c r="T163" s="149" t="s">
        <v>2026</v>
      </c>
      <c r="U163" s="63">
        <f t="shared" si="82"/>
        <v>6.2664411871606829</v>
      </c>
      <c r="V163" s="48" t="s">
        <v>485</v>
      </c>
      <c r="W163" s="63">
        <f>IF(T163=Local,0,VLOOKUP(V163,Long_distance_values_subs,Subrates!$E$5,FALSE))</f>
        <v>0</v>
      </c>
      <c r="X163" s="351">
        <f>U163*F163+F163*W163*VLOOKUP(V163,Long_distance_values_subs,Subrates!$H$5,FALSE)</f>
        <v>0</v>
      </c>
      <c r="Y163" s="37" t="s">
        <v>411</v>
      </c>
      <c r="Z163" s="47" t="s">
        <v>3</v>
      </c>
      <c r="AA163" s="150">
        <f t="shared" si="83"/>
        <v>1.9221853757639424</v>
      </c>
      <c r="AB163" s="351">
        <f t="shared" si="94"/>
        <v>0</v>
      </c>
      <c r="AC163" s="151"/>
      <c r="AD163" s="138"/>
      <c r="AE163" s="139">
        <f t="shared" si="84"/>
        <v>0</v>
      </c>
      <c r="AF163" s="37" t="s">
        <v>125</v>
      </c>
      <c r="AG163" s="47" t="s">
        <v>348</v>
      </c>
      <c r="AH163" s="162">
        <f t="shared" si="85"/>
        <v>4.8064250364478198</v>
      </c>
      <c r="AI163" s="351">
        <f t="shared" si="86"/>
        <v>0</v>
      </c>
      <c r="AJ163" s="73"/>
      <c r="AK163" s="195" t="s">
        <v>48</v>
      </c>
      <c r="AL163" s="1096" t="str">
        <f>IF(AK163=Lists!$B$18,"N/A",VLOOKUP(AK163,Lists!$B$18:$C$26,Lists!$C$3,FALSE))</f>
        <v>N/A</v>
      </c>
      <c r="AM163" s="63">
        <f>IF(AK163=Lists!$B$18,0,VLOOKUP(AL163,Amend_TOV,TOV!$F$1,FALSE))</f>
        <v>0</v>
      </c>
      <c r="AN163" s="117"/>
      <c r="AO163" s="73"/>
      <c r="AP163" s="195" t="s">
        <v>48</v>
      </c>
      <c r="AQ163" s="1096" t="str">
        <f>IF(AP163=Lists!$B$18,"N/A",VLOOKUP(AP163,Lists!$B$18:$C$26,Lists!$C$3,FALSE))</f>
        <v>N/A</v>
      </c>
      <c r="AR163" s="63">
        <f>IF(AP163=Lists!$B$18,0,VLOOKUP(AQ163,Amend_TOV,TOV!$F$1,FALSE))</f>
        <v>0</v>
      </c>
      <c r="AS163" s="117"/>
      <c r="AT163" s="73"/>
      <c r="AU163" s="195" t="s">
        <v>48</v>
      </c>
      <c r="AV163" s="1096" t="str">
        <f>IF(AU163=Lists!$B$18,"N/A",VLOOKUP(AU163,Lists!$B$18:$C$26,Lists!$C$3,FALSE))</f>
        <v>N/A</v>
      </c>
      <c r="AW163" s="63">
        <f>IF(AU163=Lists!$B$18,0,VLOOKUP(AV163,Amend_TOV,TOV!$F$1,FALSE))</f>
        <v>0</v>
      </c>
      <c r="AX163" s="117"/>
      <c r="AY163" s="351">
        <f t="shared" si="87"/>
        <v>0</v>
      </c>
      <c r="AZ163" s="69">
        <f t="shared" si="88"/>
        <v>0</v>
      </c>
      <c r="BA163" s="66">
        <v>1</v>
      </c>
      <c r="BB163" s="66">
        <v>0</v>
      </c>
      <c r="BC163" s="67">
        <f t="shared" si="95"/>
        <v>0</v>
      </c>
      <c r="BD163" s="16" t="str">
        <f t="shared" si="96"/>
        <v>No Alert</v>
      </c>
      <c r="BE163" s="351">
        <f t="shared" si="89"/>
        <v>0</v>
      </c>
      <c r="BF163" s="351">
        <f t="shared" si="97"/>
        <v>0</v>
      </c>
      <c r="BG163" s="264">
        <f t="shared" si="90"/>
        <v>0</v>
      </c>
      <c r="BH163" s="1020">
        <f t="shared" si="91"/>
        <v>0</v>
      </c>
      <c r="BI163" s="1198">
        <f t="shared" si="98"/>
        <v>0</v>
      </c>
      <c r="BJ163" s="215"/>
      <c r="BK163" s="217"/>
      <c r="BL163" s="217"/>
      <c r="BM163" s="217"/>
      <c r="BN163" s="217"/>
      <c r="BO163" s="217"/>
      <c r="BP163" s="217"/>
      <c r="BQ163" s="218"/>
      <c r="DM163" s="768"/>
      <c r="DN163" s="768"/>
      <c r="DO163" s="768"/>
      <c r="DP163" s="768"/>
      <c r="DQ163" s="768"/>
      <c r="DR163" s="768"/>
      <c r="DS163" s="768"/>
      <c r="DT163" s="768"/>
      <c r="DU163" s="768"/>
    </row>
    <row r="164" spans="2:126" s="520" customFormat="1" ht="18" customHeight="1">
      <c r="E164" s="868"/>
      <c r="F164" s="868"/>
      <c r="G164" s="868"/>
      <c r="H164" s="869"/>
      <c r="I164" s="869"/>
      <c r="J164" s="869"/>
      <c r="O164" s="869"/>
      <c r="P164" s="869"/>
      <c r="R164" s="898"/>
      <c r="S164" s="898"/>
      <c r="T164" s="898"/>
      <c r="U164" s="898"/>
      <c r="V164" s="898"/>
      <c r="W164" s="898"/>
      <c r="X164" s="1020"/>
      <c r="AA164" s="474"/>
      <c r="AB164" s="1020"/>
      <c r="AD164" s="925"/>
      <c r="AE164" s="925"/>
      <c r="AF164" s="925"/>
      <c r="AG164" s="925"/>
      <c r="AH164" s="925"/>
      <c r="AI164" s="1020"/>
      <c r="AJ164" s="925"/>
      <c r="AK164" s="475"/>
      <c r="AL164" s="475"/>
      <c r="AM164" s="475"/>
      <c r="AN164" s="475"/>
      <c r="AO164" s="925"/>
      <c r="AP164" s="475"/>
      <c r="AQ164" s="475"/>
      <c r="AR164" s="475"/>
      <c r="AS164" s="475"/>
      <c r="AT164" s="925"/>
      <c r="AU164" s="925"/>
      <c r="AV164" s="925"/>
      <c r="AW164" s="925"/>
      <c r="AX164" s="925"/>
      <c r="AY164" s="1020"/>
      <c r="AZ164" s="925"/>
      <c r="BG164" s="872"/>
      <c r="BH164" s="1020"/>
      <c r="BJ164" s="475"/>
      <c r="DM164" s="768"/>
      <c r="DN164" s="768"/>
      <c r="DO164" s="768"/>
      <c r="DP164" s="768"/>
      <c r="DQ164" s="768"/>
      <c r="DR164" s="768"/>
      <c r="DS164" s="768"/>
      <c r="DT164" s="768"/>
      <c r="DU164" s="768"/>
    </row>
    <row r="165" spans="2:126" s="520" customFormat="1" ht="18" customHeight="1">
      <c r="E165" s="372">
        <f>SUM(E143:E164)</f>
        <v>0</v>
      </c>
      <c r="F165" s="868"/>
      <c r="G165" s="372">
        <f>SUM(G143:G164)</f>
        <v>0</v>
      </c>
      <c r="H165" s="372">
        <f t="shared" ref="H165:P165" si="99">SUM(H143:H164)</f>
        <v>0</v>
      </c>
      <c r="I165" s="372">
        <f t="shared" si="99"/>
        <v>0</v>
      </c>
      <c r="J165" s="372">
        <f t="shared" si="99"/>
        <v>0</v>
      </c>
      <c r="K165" s="373">
        <f t="shared" si="99"/>
        <v>0</v>
      </c>
      <c r="L165" s="806">
        <f t="shared" si="99"/>
        <v>0</v>
      </c>
      <c r="M165" s="806">
        <f t="shared" si="99"/>
        <v>0</v>
      </c>
      <c r="N165" s="806">
        <f t="shared" si="99"/>
        <v>0</v>
      </c>
      <c r="O165" s="372">
        <f t="shared" si="99"/>
        <v>0</v>
      </c>
      <c r="P165" s="372">
        <f t="shared" si="99"/>
        <v>0</v>
      </c>
      <c r="Q165" s="351">
        <f>SUM(H143:H164)</f>
        <v>0</v>
      </c>
      <c r="R165" s="768"/>
      <c r="S165" s="768"/>
      <c r="T165" s="768"/>
      <c r="U165" s="768"/>
      <c r="V165" s="768"/>
      <c r="W165" s="768"/>
      <c r="X165" s="351">
        <f>SUM(X143:X164)</f>
        <v>0</v>
      </c>
      <c r="Y165" s="474"/>
      <c r="Z165" s="474"/>
      <c r="AA165" s="474"/>
      <c r="AB165" s="351">
        <f>SUM(G143:G164)</f>
        <v>0</v>
      </c>
      <c r="AD165" s="263">
        <f>SUM(AD143:AD164)</f>
        <v>0</v>
      </c>
      <c r="AE165" s="263">
        <f>SUM(AE143:AE164)</f>
        <v>0</v>
      </c>
      <c r="AF165" s="925"/>
      <c r="AG165" s="925"/>
      <c r="AH165" s="925"/>
      <c r="AI165" s="351">
        <f>SUM(AI143:AI164)</f>
        <v>0</v>
      </c>
      <c r="AJ165" s="373">
        <f>SUM(AJ143:AJ164)</f>
        <v>0</v>
      </c>
      <c r="AK165" s="475"/>
      <c r="AL165" s="475"/>
      <c r="AM165" s="475"/>
      <c r="AN165" s="475"/>
      <c r="AO165" s="373">
        <f>SUM(AO143:AO164)</f>
        <v>0</v>
      </c>
      <c r="AP165" s="475"/>
      <c r="AQ165" s="475"/>
      <c r="AR165" s="475"/>
      <c r="AS165" s="475"/>
      <c r="AT165" s="373">
        <f>SUM(AT143:AT164)</f>
        <v>0</v>
      </c>
      <c r="AY165" s="351">
        <f>SUM(AY143:AY164)</f>
        <v>0</v>
      </c>
      <c r="AZ165" s="263">
        <f>SUM(AZ143:AZ164)</f>
        <v>0</v>
      </c>
      <c r="BB165" s="768"/>
      <c r="BC165" s="768"/>
      <c r="BD165" s="768"/>
      <c r="BE165" s="351">
        <f>SUM(BE143:BE164)</f>
        <v>0</v>
      </c>
      <c r="BF165" s="351">
        <f>SUM(BF143:BF164)</f>
        <v>0</v>
      </c>
      <c r="BG165" s="1046">
        <f>SUM(BG143:BG164)</f>
        <v>0</v>
      </c>
      <c r="BH165" s="351">
        <f>SUM(BH143:BH164)</f>
        <v>0</v>
      </c>
      <c r="BJ165" s="475"/>
      <c r="DM165" s="768"/>
      <c r="DN165" s="768"/>
      <c r="DO165" s="768"/>
      <c r="DP165" s="768"/>
      <c r="DQ165" s="768"/>
      <c r="DR165" s="768"/>
      <c r="DS165" s="768"/>
      <c r="DT165" s="768"/>
      <c r="DU165" s="768"/>
    </row>
    <row r="166" spans="2:126" ht="18" customHeight="1">
      <c r="E166" s="814"/>
      <c r="L166" s="1202"/>
      <c r="M166" s="1202"/>
      <c r="N166" s="1202"/>
      <c r="AC166" s="475"/>
      <c r="AD166" s="475"/>
      <c r="AE166" s="475"/>
      <c r="AF166" s="475"/>
      <c r="AG166" s="475"/>
      <c r="AH166" s="475"/>
      <c r="AI166" s="475"/>
      <c r="AJ166" s="475"/>
      <c r="AK166" s="475"/>
      <c r="AL166" s="475"/>
      <c r="AM166" s="475"/>
      <c r="AN166" s="475"/>
      <c r="AO166" s="475"/>
      <c r="AP166" s="475"/>
      <c r="AQ166" s="475"/>
      <c r="AR166" s="475"/>
      <c r="AS166" s="475"/>
      <c r="AT166" s="475"/>
      <c r="AU166" s="475"/>
      <c r="AV166" s="475"/>
      <c r="AW166" s="475"/>
      <c r="AX166" s="475"/>
      <c r="AY166" s="475"/>
      <c r="AZ166" s="475"/>
      <c r="BA166" s="475"/>
      <c r="BB166" s="475"/>
      <c r="BG166" s="1105"/>
      <c r="BH166" s="797">
        <f>IF(N34=0,0,BG165/N34)</f>
        <v>0</v>
      </c>
      <c r="BI166" s="474"/>
      <c r="BL166" s="520"/>
      <c r="BM166" s="520"/>
      <c r="BN166" s="520"/>
      <c r="BP166" s="520"/>
      <c r="CF166" s="475"/>
      <c r="CG166" s="475"/>
      <c r="CH166" s="475"/>
      <c r="CI166" s="475"/>
      <c r="CL166" s="475"/>
      <c r="CM166" s="475"/>
      <c r="CN166" s="475"/>
      <c r="DN166" s="474"/>
      <c r="DO166" s="474"/>
      <c r="DP166" s="474"/>
      <c r="DQ166" s="474"/>
      <c r="DR166" s="474"/>
      <c r="DS166" s="474"/>
      <c r="DT166" s="474"/>
      <c r="DU166" s="474"/>
      <c r="DV166" s="474"/>
    </row>
    <row r="167" spans="2:126" ht="18" customHeight="1">
      <c r="E167" s="814"/>
      <c r="AC167" s="475"/>
      <c r="AD167" s="475"/>
      <c r="AE167" s="475"/>
      <c r="AF167" s="475"/>
      <c r="AG167" s="475"/>
      <c r="AH167" s="475"/>
      <c r="AI167" s="475"/>
      <c r="AJ167" s="475"/>
      <c r="AK167" s="475"/>
      <c r="AL167" s="475"/>
      <c r="AM167" s="475"/>
      <c r="AN167" s="475"/>
      <c r="AO167" s="475"/>
      <c r="AP167" s="475"/>
      <c r="AQ167" s="475"/>
      <c r="AR167" s="475"/>
      <c r="AS167" s="475"/>
      <c r="AT167" s="475"/>
      <c r="AU167" s="475"/>
      <c r="AV167" s="475"/>
      <c r="AW167" s="475"/>
      <c r="AX167" s="475"/>
      <c r="AY167" s="475"/>
      <c r="AZ167" s="475"/>
      <c r="BA167" s="475"/>
      <c r="BB167" s="475"/>
      <c r="BH167" s="1203"/>
      <c r="BI167" s="474"/>
      <c r="BL167" s="520"/>
      <c r="BM167" s="520"/>
      <c r="BN167" s="520"/>
      <c r="BP167" s="520"/>
      <c r="CF167" s="475"/>
      <c r="CG167" s="475"/>
      <c r="CH167" s="475"/>
      <c r="CI167" s="475"/>
      <c r="CL167" s="475"/>
      <c r="CM167" s="475"/>
      <c r="CN167" s="475"/>
      <c r="DN167" s="474"/>
      <c r="DO167" s="474"/>
      <c r="DP167" s="474"/>
      <c r="DQ167" s="474"/>
      <c r="DR167" s="474"/>
      <c r="DS167" s="474"/>
      <c r="DT167" s="474"/>
      <c r="DU167" s="474"/>
      <c r="DV167" s="474"/>
    </row>
    <row r="168" spans="2:126" ht="18" customHeight="1">
      <c r="E168" s="475"/>
      <c r="F168" s="475"/>
      <c r="G168" s="475"/>
      <c r="H168" s="475"/>
      <c r="I168" s="475"/>
      <c r="J168" s="475"/>
      <c r="K168" s="475"/>
      <c r="L168" s="475"/>
      <c r="M168" s="475"/>
      <c r="N168" s="475"/>
      <c r="O168" s="475"/>
      <c r="P168" s="475"/>
      <c r="AB168" s="475"/>
      <c r="AC168" s="475"/>
      <c r="AD168" s="475"/>
      <c r="AE168" s="475"/>
      <c r="AF168" s="475"/>
      <c r="AG168" s="475"/>
      <c r="AH168" s="475"/>
      <c r="AI168" s="475"/>
      <c r="AJ168" s="475"/>
      <c r="AK168" s="475"/>
      <c r="AL168" s="475"/>
      <c r="AM168" s="475"/>
      <c r="AN168" s="475"/>
      <c r="AO168" s="475"/>
      <c r="AP168" s="475"/>
      <c r="AQ168" s="475"/>
      <c r="AR168" s="475"/>
      <c r="AS168" s="475"/>
      <c r="AT168" s="475"/>
      <c r="AU168" s="475"/>
      <c r="AV168" s="475"/>
      <c r="AW168" s="475"/>
      <c r="AX168" s="475"/>
      <c r="AY168" s="475"/>
      <c r="AZ168" s="475"/>
      <c r="BA168" s="475"/>
      <c r="BB168" s="475"/>
      <c r="BJ168" s="906" t="str">
        <f>IF(BJ171="","No Alert","Enter justification")</f>
        <v>No Alert</v>
      </c>
      <c r="BK168" s="906" t="str">
        <f>IF(BK171="","No Alert","Enter justification")</f>
        <v>No Alert</v>
      </c>
      <c r="BU168" s="474"/>
      <c r="BV168" s="474"/>
      <c r="BW168" s="474"/>
      <c r="CF168" s="475"/>
      <c r="CG168" s="475"/>
      <c r="CH168" s="475"/>
      <c r="CI168" s="475"/>
      <c r="CJ168" s="475"/>
      <c r="CK168" s="475"/>
      <c r="CL168" s="475"/>
      <c r="CM168" s="475"/>
      <c r="CN168" s="475"/>
      <c r="DA168" s="474"/>
      <c r="DB168" s="474"/>
      <c r="DC168" s="474"/>
      <c r="DD168" s="474"/>
      <c r="DE168" s="474"/>
      <c r="DF168" s="474"/>
      <c r="DG168" s="474"/>
      <c r="DH168" s="474"/>
      <c r="DI168" s="474"/>
    </row>
    <row r="169" spans="2:126" ht="18" customHeight="1">
      <c r="E169" s="475"/>
      <c r="F169" s="475"/>
      <c r="G169" s="475"/>
      <c r="H169" s="475"/>
      <c r="I169" s="475"/>
      <c r="J169" s="475"/>
      <c r="K169" s="475"/>
      <c r="L169" s="475"/>
      <c r="M169" s="475"/>
      <c r="N169" s="475"/>
      <c r="O169" s="475"/>
      <c r="P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I169" s="848" t="s">
        <v>1596</v>
      </c>
      <c r="BJ169" s="828" t="str">
        <f>TOV!$C$575</f>
        <v>#14.40</v>
      </c>
      <c r="BK169" s="828" t="str">
        <f>TOV!$C$576</f>
        <v>#14.41</v>
      </c>
      <c r="CF169" s="475"/>
      <c r="CG169" s="475"/>
      <c r="CH169" s="475"/>
      <c r="CI169" s="475"/>
      <c r="CJ169" s="475"/>
      <c r="CK169" s="475"/>
      <c r="CL169" s="475"/>
      <c r="CM169" s="475"/>
      <c r="CN169" s="475"/>
      <c r="CX169" s="474"/>
      <c r="CY169" s="474"/>
      <c r="CZ169" s="474"/>
      <c r="DA169" s="474"/>
      <c r="DB169" s="474"/>
      <c r="DC169" s="474"/>
      <c r="DD169" s="474"/>
      <c r="DE169" s="474"/>
      <c r="DF169" s="474"/>
    </row>
    <row r="170" spans="2:126" ht="18" customHeight="1">
      <c r="E170" s="475"/>
      <c r="F170" s="475"/>
      <c r="G170" s="475"/>
      <c r="H170" s="475"/>
      <c r="I170" s="475"/>
      <c r="J170" s="475"/>
      <c r="K170" s="475"/>
      <c r="L170" s="475"/>
      <c r="M170" s="475"/>
      <c r="N170" s="475"/>
      <c r="O170" s="475"/>
      <c r="P170" s="475"/>
      <c r="R170" s="475"/>
      <c r="S170" s="475"/>
      <c r="T170" s="475"/>
      <c r="U170" s="475"/>
      <c r="V170" s="475"/>
      <c r="W170" s="475"/>
      <c r="X170" s="475"/>
      <c r="Y170" s="475"/>
      <c r="AG170" s="475"/>
      <c r="AH170" s="475"/>
      <c r="AI170" s="475"/>
      <c r="AJ170" s="475"/>
      <c r="AK170" s="475"/>
      <c r="AL170" s="475"/>
      <c r="AM170" s="475"/>
      <c r="AN170" s="475"/>
      <c r="AO170" s="475"/>
      <c r="AP170" s="475"/>
      <c r="AQ170" s="475"/>
      <c r="AR170" s="475"/>
      <c r="AS170" s="475"/>
      <c r="AT170" s="475"/>
      <c r="AU170" s="475"/>
      <c r="AV170" s="475"/>
      <c r="AW170" s="475"/>
      <c r="AX170" s="475"/>
      <c r="AY170" s="475"/>
      <c r="AZ170" s="475"/>
      <c r="BA170" s="475"/>
      <c r="BB170" s="475"/>
      <c r="BI170" s="848" t="s">
        <v>35</v>
      </c>
      <c r="BJ170" s="81">
        <f>VLOOKUP(BJ169,TOV!$C$536:$G$585,TOV!$F$1,FALSE)</f>
        <v>1655.5</v>
      </c>
      <c r="BK170" s="81">
        <f>VLOOKUP(BK169,TOV!$C$536:$G$585,TOV!$F$1,FALSE)</f>
        <v>4196.5</v>
      </c>
      <c r="CF170" s="475"/>
      <c r="CG170" s="475"/>
      <c r="CH170" s="475"/>
      <c r="CI170" s="475"/>
      <c r="CJ170" s="475"/>
      <c r="CK170" s="475"/>
      <c r="CL170" s="475"/>
      <c r="CM170" s="475"/>
      <c r="CN170" s="475"/>
      <c r="CX170" s="474"/>
      <c r="CY170" s="474"/>
      <c r="CZ170" s="474"/>
      <c r="DA170" s="474"/>
      <c r="DB170" s="474"/>
      <c r="DC170" s="474"/>
      <c r="DD170" s="474"/>
      <c r="DE170" s="474"/>
      <c r="DF170" s="474"/>
    </row>
    <row r="171" spans="2:126" ht="18" customHeight="1">
      <c r="E171" s="475"/>
      <c r="F171" s="475"/>
      <c r="G171" s="475"/>
      <c r="H171" s="475"/>
      <c r="I171" s="475"/>
      <c r="J171" s="475"/>
      <c r="K171" s="475"/>
      <c r="L171" s="475"/>
      <c r="M171" s="475"/>
      <c r="N171" s="475"/>
      <c r="O171" s="475"/>
      <c r="P171" s="475"/>
      <c r="R171" s="475"/>
      <c r="S171" s="475"/>
      <c r="T171" s="475"/>
      <c r="U171" s="475"/>
      <c r="V171" s="475"/>
      <c r="W171" s="475"/>
      <c r="X171" s="475"/>
      <c r="Y171" s="475"/>
      <c r="AA171" s="475"/>
      <c r="AB171" s="475"/>
      <c r="AC171" s="475"/>
      <c r="AD171" s="475"/>
      <c r="AE171" s="475"/>
      <c r="AF171" s="475"/>
      <c r="AG171" s="475"/>
      <c r="AH171" s="475"/>
      <c r="AK171" s="475"/>
      <c r="AL171" s="475"/>
      <c r="AM171" s="475"/>
      <c r="AN171" s="475"/>
      <c r="AO171" s="475"/>
      <c r="AP171" s="475"/>
      <c r="AQ171" s="475"/>
      <c r="AR171" s="475"/>
      <c r="AS171" s="475"/>
      <c r="AT171" s="475"/>
      <c r="AU171" s="475"/>
      <c r="AV171" s="475"/>
      <c r="AW171" s="475"/>
      <c r="AX171" s="475"/>
      <c r="AY171" s="475"/>
      <c r="AZ171" s="475"/>
      <c r="BA171" s="475"/>
      <c r="BB171" s="475"/>
      <c r="BI171" s="848" t="s">
        <v>1556</v>
      </c>
      <c r="BJ171" s="117"/>
      <c r="BK171" s="117"/>
      <c r="CF171" s="475"/>
      <c r="CG171" s="475"/>
      <c r="CH171" s="475"/>
      <c r="CI171" s="475"/>
      <c r="CJ171" s="475"/>
      <c r="CK171" s="475"/>
      <c r="CL171" s="475"/>
      <c r="CM171" s="475"/>
      <c r="CN171" s="475"/>
      <c r="CX171" s="474"/>
      <c r="CY171" s="474"/>
      <c r="CZ171" s="474"/>
      <c r="DA171" s="474"/>
      <c r="DB171" s="474"/>
      <c r="DC171" s="474"/>
      <c r="DD171" s="474"/>
      <c r="DE171" s="474"/>
      <c r="DF171" s="474"/>
    </row>
    <row r="172" spans="2:126" ht="18" customHeight="1">
      <c r="B172" s="288" t="s">
        <v>26</v>
      </c>
      <c r="C172" s="1038" t="s">
        <v>2278</v>
      </c>
      <c r="D172" s="1039"/>
      <c r="E172" s="1030"/>
      <c r="F172" s="1030"/>
      <c r="G172" s="1030"/>
      <c r="H172" s="1030"/>
      <c r="I172" s="1030"/>
      <c r="J172" s="1030"/>
      <c r="L172" s="1204" t="s">
        <v>1</v>
      </c>
      <c r="M172" s="828">
        <v>0.5</v>
      </c>
      <c r="N172" s="1030"/>
      <c r="O172" s="1030"/>
      <c r="P172" s="1030"/>
      <c r="R172" s="1030"/>
      <c r="S172" s="1030"/>
      <c r="T172" s="1030"/>
      <c r="U172" s="1030"/>
      <c r="V172" s="1030"/>
      <c r="W172" s="1030"/>
      <c r="X172" s="1030"/>
      <c r="Y172" s="1030"/>
      <c r="AF172" s="1204" t="s">
        <v>1</v>
      </c>
      <c r="AG172" s="1193">
        <v>150</v>
      </c>
      <c r="AH172" s="520" t="s">
        <v>1543</v>
      </c>
      <c r="AK172" s="1030"/>
      <c r="AL172" s="1030"/>
      <c r="AM172" s="1030"/>
      <c r="AN172" s="1030"/>
      <c r="AO172" s="1030"/>
      <c r="AP172" s="1030"/>
      <c r="AQ172" s="1030"/>
      <c r="AR172" s="1030"/>
      <c r="AS172" s="1030"/>
      <c r="AT172" s="1030"/>
      <c r="AU172" s="1030"/>
      <c r="AV172" s="1030"/>
      <c r="AW172" s="1030"/>
      <c r="AX172" s="1030"/>
      <c r="AY172" s="1030"/>
      <c r="AZ172" s="1030"/>
      <c r="BA172" s="1030"/>
      <c r="BB172" s="1030"/>
      <c r="BC172" s="1030"/>
      <c r="BD172" s="1030"/>
      <c r="BE172" s="1030"/>
      <c r="BF172" s="1030"/>
      <c r="BG172" s="1030"/>
      <c r="BH172" s="1030"/>
      <c r="BI172" s="848" t="s">
        <v>1597</v>
      </c>
      <c r="BJ172" s="82" t="str">
        <f>VLOOKUP(BJ169,TOV!$C$536:$G$585,TOV!$G$1,FALSE)</f>
        <v>ha</v>
      </c>
      <c r="BK172" s="82" t="str">
        <f>VLOOKUP(BK169,TOV!$C$536:$G$585,TOV!$G$1,FALSE)</f>
        <v>ha</v>
      </c>
      <c r="BP172" s="1030"/>
      <c r="BU172" s="1030"/>
      <c r="BV172" s="1030"/>
      <c r="BW172" s="1030"/>
      <c r="BX172" s="1030"/>
      <c r="BY172" s="1030"/>
      <c r="BZ172" s="1030"/>
      <c r="CA172" s="1030"/>
      <c r="CB172" s="1030"/>
      <c r="CC172" s="1030"/>
      <c r="CF172" s="475"/>
      <c r="CG172" s="475"/>
      <c r="CH172" s="475"/>
      <c r="CI172" s="475"/>
      <c r="CJ172" s="475"/>
      <c r="CK172" s="475"/>
      <c r="CL172" s="475"/>
      <c r="CM172" s="475"/>
      <c r="CN172" s="475"/>
      <c r="CX172" s="474"/>
      <c r="CY172" s="474"/>
      <c r="CZ172" s="474"/>
      <c r="DA172" s="474"/>
      <c r="DB172" s="474"/>
      <c r="DC172" s="474"/>
      <c r="DD172" s="474"/>
      <c r="DE172" s="474"/>
      <c r="DF172" s="474"/>
    </row>
    <row r="173" spans="2:126" ht="18" customHeight="1">
      <c r="B173" s="1176" t="s">
        <v>2152</v>
      </c>
      <c r="C173" s="1177"/>
      <c r="D173" s="1177"/>
      <c r="E173" s="1176" t="s">
        <v>2279</v>
      </c>
      <c r="F173" s="1205"/>
      <c r="G173" s="1177"/>
      <c r="H173" s="1177"/>
      <c r="I173" s="1177"/>
      <c r="J173" s="1177"/>
      <c r="K173" s="1177"/>
      <c r="L173" s="1176" t="s">
        <v>2280</v>
      </c>
      <c r="M173" s="1177"/>
      <c r="N173" s="1177"/>
      <c r="O173" s="1177"/>
      <c r="P173" s="1177"/>
      <c r="Q173" s="1177"/>
      <c r="R173" s="1177"/>
      <c r="S173" s="1177"/>
      <c r="T173" s="1177"/>
      <c r="U173" s="1177"/>
      <c r="V173" s="1177"/>
      <c r="W173" s="1206"/>
      <c r="X173" s="1176" t="s">
        <v>2281</v>
      </c>
      <c r="Y173" s="1177"/>
      <c r="Z173" s="1177"/>
      <c r="AA173" s="1177"/>
      <c r="AB173" s="1177"/>
      <c r="AC173" s="1177"/>
      <c r="AD173" s="1177"/>
      <c r="AE173" s="1206"/>
      <c r="AF173" s="1206"/>
      <c r="AG173" s="1176" t="s">
        <v>2227</v>
      </c>
      <c r="AH173" s="1177"/>
      <c r="AI173" s="1177"/>
      <c r="AJ173" s="1177"/>
      <c r="AK173" s="1177"/>
      <c r="AL173" s="1177"/>
      <c r="AM173" s="1206"/>
      <c r="AN173" s="1177"/>
      <c r="AO173" s="1177"/>
      <c r="AP173" s="1177"/>
      <c r="AQ173" s="1177"/>
      <c r="AR173" s="1177"/>
      <c r="AS173" s="1177"/>
      <c r="AT173" s="1177"/>
      <c r="AU173" s="1177"/>
      <c r="AV173" s="1177"/>
      <c r="AW173" s="1177"/>
      <c r="AX173" s="1177"/>
      <c r="AY173" s="1177"/>
      <c r="AZ173" s="1177"/>
      <c r="BA173" s="1177"/>
      <c r="BB173" s="1177"/>
      <c r="BC173" s="1177"/>
      <c r="BD173" s="1177"/>
      <c r="BE173" s="1177"/>
      <c r="BF173" s="1177"/>
      <c r="BG173" s="1177"/>
      <c r="BH173" s="1177"/>
      <c r="BI173" s="1178"/>
      <c r="BJ173" s="1177"/>
      <c r="BK173" s="1178"/>
      <c r="BU173" s="474"/>
      <c r="CC173" s="1030"/>
      <c r="CF173" s="475"/>
      <c r="CG173" s="475"/>
      <c r="CH173" s="475"/>
      <c r="CI173" s="475"/>
      <c r="CJ173" s="475"/>
      <c r="CK173" s="475"/>
      <c r="CL173" s="475"/>
      <c r="CM173" s="475"/>
      <c r="CN173" s="475"/>
      <c r="CX173" s="474"/>
      <c r="CY173" s="474"/>
      <c r="CZ173" s="474"/>
      <c r="DA173" s="474"/>
      <c r="DB173" s="474"/>
      <c r="DC173" s="474"/>
      <c r="DD173" s="474"/>
      <c r="DE173" s="474"/>
      <c r="DF173" s="474"/>
    </row>
    <row r="174" spans="2:126" ht="71.650000000000006" customHeight="1">
      <c r="B174" s="774" t="s">
        <v>1517</v>
      </c>
      <c r="C174" s="773" t="s">
        <v>27</v>
      </c>
      <c r="D174" s="774" t="s">
        <v>1583</v>
      </c>
      <c r="E174" s="774" t="s">
        <v>2282</v>
      </c>
      <c r="F174" s="774" t="s">
        <v>2283</v>
      </c>
      <c r="G174" s="774" t="s">
        <v>2284</v>
      </c>
      <c r="H174" s="774" t="s">
        <v>2285</v>
      </c>
      <c r="I174" s="774" t="s">
        <v>2286</v>
      </c>
      <c r="J174" s="774" t="s">
        <v>2287</v>
      </c>
      <c r="K174" s="774" t="s">
        <v>2288</v>
      </c>
      <c r="L174" s="774" t="s">
        <v>2289</v>
      </c>
      <c r="M174" s="773" t="s">
        <v>2290</v>
      </c>
      <c r="N174" s="773" t="s">
        <v>2291</v>
      </c>
      <c r="O174" s="773" t="s">
        <v>2292</v>
      </c>
      <c r="P174" s="812" t="s">
        <v>2293</v>
      </c>
      <c r="Q174" s="823" t="s">
        <v>2294</v>
      </c>
      <c r="R174" s="773" t="s">
        <v>2231</v>
      </c>
      <c r="S174" s="773" t="s">
        <v>2295</v>
      </c>
      <c r="T174" s="812" t="s">
        <v>2296</v>
      </c>
      <c r="U174" s="823" t="s">
        <v>2267</v>
      </c>
      <c r="V174" s="773" t="s">
        <v>2297</v>
      </c>
      <c r="W174" s="773" t="s">
        <v>2298</v>
      </c>
      <c r="X174" s="812" t="s">
        <v>2299</v>
      </c>
      <c r="Y174" s="823" t="s">
        <v>2267</v>
      </c>
      <c r="Z174" s="773" t="s">
        <v>2300</v>
      </c>
      <c r="AA174" s="773" t="s">
        <v>2301</v>
      </c>
      <c r="AB174" s="812" t="s">
        <v>2302</v>
      </c>
      <c r="AC174" s="823" t="s">
        <v>2294</v>
      </c>
      <c r="AD174" s="773" t="s">
        <v>2231</v>
      </c>
      <c r="AE174" s="773" t="s">
        <v>2303</v>
      </c>
      <c r="AF174" s="773" t="s">
        <v>2304</v>
      </c>
      <c r="AG174" s="773" t="s">
        <v>1623</v>
      </c>
      <c r="AH174" s="773" t="s">
        <v>1624</v>
      </c>
      <c r="AI174" s="773" t="s">
        <v>1625</v>
      </c>
      <c r="AJ174" s="812" t="s">
        <v>2091</v>
      </c>
      <c r="AK174" s="823" t="s">
        <v>2267</v>
      </c>
      <c r="AL174" s="773" t="s">
        <v>1826</v>
      </c>
      <c r="AM174" s="773" t="s">
        <v>1703</v>
      </c>
      <c r="AN174" s="774" t="s">
        <v>1999</v>
      </c>
      <c r="AO174" s="812" t="s">
        <v>2000</v>
      </c>
      <c r="AP174" s="812" t="s">
        <v>2238</v>
      </c>
      <c r="AQ174" s="774" t="s">
        <v>2002</v>
      </c>
      <c r="AR174" s="774" t="s">
        <v>2003</v>
      </c>
      <c r="AS174" s="774" t="s">
        <v>2004</v>
      </c>
      <c r="AT174" s="812" t="s">
        <v>2005</v>
      </c>
      <c r="AU174" s="823"/>
      <c r="AV174" s="863" t="s">
        <v>2239</v>
      </c>
      <c r="AW174" s="774" t="s">
        <v>2006</v>
      </c>
      <c r="AX174" s="774" t="s">
        <v>2007</v>
      </c>
      <c r="AY174" s="774" t="s">
        <v>2008</v>
      </c>
      <c r="AZ174" s="812" t="s">
        <v>2009</v>
      </c>
      <c r="BA174" s="863" t="s">
        <v>2240</v>
      </c>
      <c r="BB174" s="774" t="s">
        <v>2010</v>
      </c>
      <c r="BC174" s="774" t="s">
        <v>2011</v>
      </c>
      <c r="BD174" s="774" t="s">
        <v>2257</v>
      </c>
      <c r="BE174" s="774" t="s">
        <v>2305</v>
      </c>
      <c r="BF174" s="774" t="s">
        <v>1627</v>
      </c>
      <c r="BG174" s="774" t="s">
        <v>1628</v>
      </c>
      <c r="BH174" s="774" t="s">
        <v>1629</v>
      </c>
      <c r="BI174" s="774" t="s">
        <v>1630</v>
      </c>
      <c r="BJ174" s="773" t="s">
        <v>2046</v>
      </c>
      <c r="BK174" s="773" t="s">
        <v>2047</v>
      </c>
      <c r="BL174" s="864" t="s">
        <v>2306</v>
      </c>
      <c r="BM174" s="1088" t="s">
        <v>2024</v>
      </c>
      <c r="BN174" s="776" t="s">
        <v>1526</v>
      </c>
      <c r="BO174" s="777"/>
      <c r="BP174" s="777"/>
      <c r="BQ174" s="777"/>
      <c r="BR174" s="777"/>
      <c r="BS174" s="777"/>
      <c r="BT174" s="777"/>
      <c r="BU174" s="778"/>
      <c r="CF174" s="475"/>
      <c r="CG174" s="475"/>
      <c r="CH174" s="475"/>
      <c r="CI174" s="475"/>
      <c r="CJ174" s="475"/>
      <c r="CK174" s="475"/>
      <c r="CL174" s="475"/>
      <c r="CM174" s="475"/>
      <c r="CN174" s="475"/>
      <c r="CX174" s="474"/>
      <c r="CY174" s="474"/>
      <c r="CZ174" s="474"/>
      <c r="DA174" s="474"/>
      <c r="DB174" s="474"/>
      <c r="DC174" s="474"/>
      <c r="DD174" s="474"/>
      <c r="DE174" s="474"/>
      <c r="DF174" s="474"/>
    </row>
    <row r="175" spans="2:126" ht="18" customHeight="1">
      <c r="B175" s="768"/>
      <c r="C175" s="768"/>
      <c r="D175" s="768"/>
      <c r="H175" s="1051" t="s">
        <v>1563</v>
      </c>
      <c r="P175" s="125" t="s">
        <v>1646</v>
      </c>
      <c r="Q175" s="125" t="s">
        <v>1646</v>
      </c>
      <c r="R175" s="212" t="str">
        <f>Subrates_Table_2</f>
        <v>Subrates Table 2</v>
      </c>
      <c r="T175" s="125" t="s">
        <v>1646</v>
      </c>
      <c r="U175" s="125" t="s">
        <v>1646</v>
      </c>
      <c r="V175" s="225" t="str">
        <f>Subrates_Table_1</f>
        <v>Subrates Table 1</v>
      </c>
      <c r="X175" s="125" t="s">
        <v>1646</v>
      </c>
      <c r="Y175" s="125" t="s">
        <v>1646</v>
      </c>
      <c r="Z175" s="225" t="str">
        <f>Subrates_Table_1</f>
        <v>Subrates Table 1</v>
      </c>
      <c r="AB175" s="125" t="s">
        <v>1646</v>
      </c>
      <c r="AC175" s="125" t="s">
        <v>1646</v>
      </c>
      <c r="AD175" s="212" t="str">
        <f>Subrates_Table_2</f>
        <v>Subrates Table 2</v>
      </c>
      <c r="AF175" s="768"/>
      <c r="AJ175" s="125" t="s">
        <v>1646</v>
      </c>
      <c r="AK175" s="125" t="s">
        <v>1646</v>
      </c>
      <c r="AL175" s="225" t="str">
        <f>Subrates_Table_1</f>
        <v>Subrates Table 1</v>
      </c>
      <c r="AM175" s="768"/>
      <c r="AN175" s="277"/>
      <c r="AO175" s="125" t="s">
        <v>1646</v>
      </c>
      <c r="AQ175" s="278"/>
      <c r="AR175" s="475"/>
      <c r="AS175" s="277"/>
      <c r="AT175" s="125" t="s">
        <v>1646</v>
      </c>
      <c r="AU175" s="772"/>
      <c r="AV175" s="772"/>
      <c r="AW175" s="278"/>
      <c r="AX175" s="475"/>
      <c r="AY175" s="277"/>
      <c r="AZ175" s="125" t="s">
        <v>1646</v>
      </c>
      <c r="BA175" s="772"/>
      <c r="BB175" s="278"/>
      <c r="BD175" s="474"/>
      <c r="BE175" s="768"/>
      <c r="BF175" s="768"/>
      <c r="BG175" s="768"/>
      <c r="BH175" s="768"/>
      <c r="BI175" s="768"/>
      <c r="BJ175" s="768"/>
      <c r="BK175" s="768"/>
      <c r="BL175" s="474"/>
      <c r="BM175" s="736"/>
      <c r="BN175" s="474"/>
      <c r="BO175" s="474"/>
      <c r="BP175" s="474"/>
      <c r="BQ175" s="474"/>
      <c r="BR175" s="474"/>
      <c r="BS175" s="474"/>
      <c r="BT175" s="474"/>
      <c r="BU175" s="474"/>
      <c r="CF175" s="475"/>
      <c r="CG175" s="475"/>
      <c r="CH175" s="475"/>
      <c r="CI175" s="475"/>
      <c r="CJ175" s="475"/>
      <c r="CK175" s="475"/>
      <c r="CL175" s="475"/>
      <c r="CM175" s="475"/>
      <c r="CN175" s="475"/>
      <c r="CX175" s="474"/>
      <c r="CY175" s="474"/>
      <c r="CZ175" s="474"/>
      <c r="DA175" s="474"/>
      <c r="DB175" s="474"/>
      <c r="DC175" s="474"/>
      <c r="DD175" s="474"/>
      <c r="DE175" s="474"/>
      <c r="DF175" s="474"/>
    </row>
    <row r="176" spans="2:126" ht="15">
      <c r="B176" s="616" t="str">
        <f t="shared" ref="B176:B195" si="100">IF(B13="","",B13)</f>
        <v/>
      </c>
      <c r="C176" s="989">
        <v>1</v>
      </c>
      <c r="D176" s="750" t="str">
        <f t="shared" ref="D176:D195" si="101">IF(D13="","",D13)</f>
        <v>Pit 1</v>
      </c>
      <c r="E176" s="136"/>
      <c r="F176" s="136"/>
      <c r="G176" s="316"/>
      <c r="H176" s="42"/>
      <c r="I176" s="324">
        <f>F176*G176*H176/10000</f>
        <v>0</v>
      </c>
      <c r="J176" s="324">
        <f t="shared" ref="J176:J195" si="102">O13</f>
        <v>0</v>
      </c>
      <c r="K176" s="324">
        <f>IF(J176=0,E176*F176*G176*H176,J176)</f>
        <v>0</v>
      </c>
      <c r="L176" s="136"/>
      <c r="M176" s="135">
        <f t="shared" ref="M176:M195" si="103">IF(K176&gt;0,0,IF(L176=0,$M$172,L176))</f>
        <v>0.5</v>
      </c>
      <c r="N176" s="316"/>
      <c r="O176" s="324">
        <f t="shared" ref="O176:O195" si="104">IF(N176="",M176*I176*10000,N176)</f>
        <v>0</v>
      </c>
      <c r="P176" s="37" t="s">
        <v>411</v>
      </c>
      <c r="Q176" s="47" t="s">
        <v>3</v>
      </c>
      <c r="R176" s="150">
        <f t="shared" ref="R176:R195" si="105">INDEX(Dozer_Push_Values,MATCH(P176,Dozer_Push_Length,0),MATCH(Q176,Dozers,0))</f>
        <v>1.9221853757639424</v>
      </c>
      <c r="S176" s="146">
        <f t="shared" ref="S176:S195" si="106">IFERROR(O176*R176,"E")</f>
        <v>0</v>
      </c>
      <c r="T176" s="37" t="s">
        <v>125</v>
      </c>
      <c r="U176" s="47" t="s">
        <v>349</v>
      </c>
      <c r="V176" s="63">
        <f t="shared" ref="V176:V195" si="107">INDEX(Load_and_Haul_Values,MATCH(T176,Load_and_Haul,0),MATCH(U176,Load_Haul_Fleet_size,0))</f>
        <v>6.2664411871606829</v>
      </c>
      <c r="W176" s="368">
        <f t="shared" ref="W176:W195" si="108">IFERROR(V176*O176+S176,0)</f>
        <v>0</v>
      </c>
      <c r="X176" s="37" t="s">
        <v>125</v>
      </c>
      <c r="Y176" s="47" t="s">
        <v>349</v>
      </c>
      <c r="Z176" s="63">
        <f t="shared" ref="Z176:Z195" si="109">INDEX(Load_and_Haul_Values,MATCH(X176,Load_and_Haul,0),MATCH(Y176,Load_Haul_Fleet_size,0))</f>
        <v>6.2664411871606829</v>
      </c>
      <c r="AA176" s="146">
        <f t="shared" ref="AA176:AA195" si="110">IFERROR(Z176*K176,"E")</f>
        <v>0</v>
      </c>
      <c r="AB176" s="37" t="s">
        <v>411</v>
      </c>
      <c r="AC176" s="47" t="s">
        <v>3</v>
      </c>
      <c r="AD176" s="150">
        <f t="shared" ref="AD176:AD195" si="111">INDEX(Dozer_Push_Values,MATCH(AB176,Dozer_Push_Length,0),MATCH(AC176,Dozers,0))</f>
        <v>1.9221853757639424</v>
      </c>
      <c r="AE176" s="146">
        <f t="shared" ref="AE176:AE195" si="112">IFERROR(K176*AD176,"E")</f>
        <v>0</v>
      </c>
      <c r="AF176" s="368">
        <f t="shared" ref="AF176:AF195" si="113">AE176+AA176</f>
        <v>0</v>
      </c>
      <c r="AG176" s="142"/>
      <c r="AH176" s="318"/>
      <c r="AI176" s="324">
        <f t="shared" ref="AI176:AI195" si="114">IF(AH176&gt;0,AH176,IF(AG176&gt;0,AG176,$AG$172)/1000*I176*10000)</f>
        <v>0</v>
      </c>
      <c r="AJ176" s="37" t="s">
        <v>125</v>
      </c>
      <c r="AK176" s="47" t="s">
        <v>348</v>
      </c>
      <c r="AL176" s="162">
        <f t="shared" ref="AL176:AL195" si="115">INDEX(Load_and_Haul_Values,MATCH(AJ176,Load_and_Haul,0),MATCH(AK176,Load_Haul_Fleet_size,0))</f>
        <v>4.8064250364478198</v>
      </c>
      <c r="AM176" s="16">
        <f t="shared" ref="AM176:AM195" si="116">IFERROR(AL176*AI176,"E")</f>
        <v>0</v>
      </c>
      <c r="AN176" s="316"/>
      <c r="AO176" s="195" t="s">
        <v>48</v>
      </c>
      <c r="AP176" s="1096" t="str">
        <f>IF(AO176=Lists!$B$18,"N/A",VLOOKUP(AO176,Lists!$B$18:$C$26,Lists!$C$3,FALSE))</f>
        <v>N/A</v>
      </c>
      <c r="AQ176" s="63">
        <f>IF(AO176=Lists!$B$18,0,VLOOKUP(AP176,Amend_TOV,TOV!$F$1,FALSE))</f>
        <v>0</v>
      </c>
      <c r="AR176" s="370"/>
      <c r="AS176" s="316"/>
      <c r="AT176" s="98" t="s">
        <v>48</v>
      </c>
      <c r="AU176" s="99"/>
      <c r="AV176" s="1096" t="str">
        <f>IF(AT176=Lists!$B$18,"N/A",VLOOKUP(AT176,Lists!$B$18:$C$26,Lists!$C$3,FALSE))</f>
        <v>N/A</v>
      </c>
      <c r="AW176" s="369">
        <f>IF(AT176=Lists!$B$18,0,VLOOKUP(AV176,Amend_TOV,TOV!$F$1,FALSE))</f>
        <v>0</v>
      </c>
      <c r="AX176" s="117"/>
      <c r="AY176" s="316"/>
      <c r="AZ176" s="195" t="s">
        <v>48</v>
      </c>
      <c r="BA176" s="1096" t="str">
        <f>IF(AZ176=Lists!$B$18,"N/A",VLOOKUP(AZ176,Lists!$B$18:$C$26,Lists!$C$3,FALSE))</f>
        <v>N/A</v>
      </c>
      <c r="BB176" s="63">
        <f>IF(AZ176=Lists!$B$18,0,VLOOKUP(BA176,Amend_TOV,TOV!$F$1,FALSE))</f>
        <v>0</v>
      </c>
      <c r="BC176" s="370"/>
      <c r="BD176" s="351">
        <f t="shared" ref="BD176:BD195" si="117">AN176*IF(AR176="",AQ176,AR176)+AS176*IF(AX176="",AW176,AX176)+AY176*IF(BC176="",BB176,BC176)</f>
        <v>0</v>
      </c>
      <c r="BE176" s="316">
        <f t="shared" ref="BE176:BE195" si="118">I176</f>
        <v>0</v>
      </c>
      <c r="BF176" s="66">
        <v>1</v>
      </c>
      <c r="BG176" s="66"/>
      <c r="BH176" s="67">
        <f>100%-BF176-BG176</f>
        <v>0</v>
      </c>
      <c r="BI176" s="16" t="str">
        <f>IF(BH176&lt;0%,"Error","No Alert")</f>
        <v>No Alert</v>
      </c>
      <c r="BJ176" s="351">
        <f>$BE176*$BF176*IF(BJ$171&lt;&gt;"",BJ$171,BJ$170)</f>
        <v>0</v>
      </c>
      <c r="BK176" s="351">
        <f>$BE176*$BG176*IF(BK$171&lt;&gt;"",BK$171,BK$170)</f>
        <v>0</v>
      </c>
      <c r="BL176" s="264">
        <f t="shared" ref="BL176:BL195" si="119">SUM(W176,AF176,AM176,BD176,BJ176,BK176)</f>
        <v>0</v>
      </c>
      <c r="BM176" s="803">
        <f>IFERROR(BL176,"Error")</f>
        <v>0</v>
      </c>
      <c r="BN176" s="215"/>
      <c r="BO176" s="217"/>
      <c r="BP176" s="217"/>
      <c r="BQ176" s="217"/>
      <c r="BR176" s="217"/>
      <c r="BS176" s="217"/>
      <c r="BT176" s="217"/>
      <c r="BU176" s="218"/>
      <c r="CF176" s="475"/>
      <c r="CG176" s="475"/>
      <c r="CH176" s="475"/>
      <c r="CI176" s="475"/>
      <c r="CJ176" s="475"/>
      <c r="CK176" s="475"/>
      <c r="CL176" s="475"/>
      <c r="CM176" s="475"/>
      <c r="CN176" s="475"/>
      <c r="CX176" s="474"/>
      <c r="CY176" s="474"/>
      <c r="CZ176" s="474"/>
      <c r="DA176" s="474"/>
      <c r="DB176" s="474"/>
      <c r="DC176" s="474"/>
      <c r="DD176" s="474"/>
      <c r="DE176" s="474"/>
      <c r="DF176" s="474"/>
    </row>
    <row r="177" spans="2:110" ht="15">
      <c r="B177" s="616" t="str">
        <f t="shared" si="100"/>
        <v/>
      </c>
      <c r="C177" s="989">
        <v>2</v>
      </c>
      <c r="D177" s="750" t="str">
        <f t="shared" si="101"/>
        <v>Pit 2</v>
      </c>
      <c r="E177" s="136"/>
      <c r="F177" s="136"/>
      <c r="G177" s="316"/>
      <c r="H177" s="42"/>
      <c r="I177" s="324">
        <f t="shared" ref="I177:I195" si="120">F177*G177*H177/10000</f>
        <v>0</v>
      </c>
      <c r="J177" s="324">
        <f t="shared" si="102"/>
        <v>0</v>
      </c>
      <c r="K177" s="324">
        <f t="shared" ref="K177:K195" si="121">IF(J177=0,E177*F177*G177*H177,J177)</f>
        <v>0</v>
      </c>
      <c r="L177" s="136"/>
      <c r="M177" s="135">
        <f t="shared" si="103"/>
        <v>0.5</v>
      </c>
      <c r="N177" s="316"/>
      <c r="O177" s="324">
        <f t="shared" si="104"/>
        <v>0</v>
      </c>
      <c r="P177" s="37" t="s">
        <v>411</v>
      </c>
      <c r="Q177" s="47" t="s">
        <v>3</v>
      </c>
      <c r="R177" s="150">
        <f t="shared" si="105"/>
        <v>1.9221853757639424</v>
      </c>
      <c r="S177" s="146">
        <f t="shared" si="106"/>
        <v>0</v>
      </c>
      <c r="T177" s="37" t="s">
        <v>125</v>
      </c>
      <c r="U177" s="47" t="s">
        <v>349</v>
      </c>
      <c r="V177" s="63">
        <f t="shared" si="107"/>
        <v>6.2664411871606829</v>
      </c>
      <c r="W177" s="368">
        <f t="shared" si="108"/>
        <v>0</v>
      </c>
      <c r="X177" s="37" t="s">
        <v>125</v>
      </c>
      <c r="Y177" s="47" t="s">
        <v>349</v>
      </c>
      <c r="Z177" s="63">
        <f t="shared" si="109"/>
        <v>6.2664411871606829</v>
      </c>
      <c r="AA177" s="146">
        <f t="shared" si="110"/>
        <v>0</v>
      </c>
      <c r="AB177" s="37" t="s">
        <v>411</v>
      </c>
      <c r="AC177" s="47" t="s">
        <v>3</v>
      </c>
      <c r="AD177" s="150">
        <f t="shared" si="111"/>
        <v>1.9221853757639424</v>
      </c>
      <c r="AE177" s="146">
        <f t="shared" si="112"/>
        <v>0</v>
      </c>
      <c r="AF177" s="368">
        <f t="shared" si="113"/>
        <v>0</v>
      </c>
      <c r="AG177" s="142"/>
      <c r="AH177" s="318"/>
      <c r="AI177" s="324">
        <f t="shared" si="114"/>
        <v>0</v>
      </c>
      <c r="AJ177" s="37" t="s">
        <v>125</v>
      </c>
      <c r="AK177" s="47" t="s">
        <v>348</v>
      </c>
      <c r="AL177" s="162">
        <f t="shared" si="115"/>
        <v>4.8064250364478198</v>
      </c>
      <c r="AM177" s="16">
        <f t="shared" si="116"/>
        <v>0</v>
      </c>
      <c r="AN177" s="316"/>
      <c r="AO177" s="195" t="s">
        <v>48</v>
      </c>
      <c r="AP177" s="1096" t="str">
        <f>IF(AO177=Lists!$B$18,"N/A",VLOOKUP(AO177,Lists!$B$18:$C$26,Lists!$C$3,FALSE))</f>
        <v>N/A</v>
      </c>
      <c r="AQ177" s="63">
        <f>IF(AO177=Lists!$B$18,0,VLOOKUP(AP177,Amend_TOV,TOV!$F$1,FALSE))</f>
        <v>0</v>
      </c>
      <c r="AR177" s="370"/>
      <c r="AS177" s="316"/>
      <c r="AT177" s="98" t="s">
        <v>48</v>
      </c>
      <c r="AU177" s="99"/>
      <c r="AV177" s="1096" t="str">
        <f>IF(AT177=Lists!$B$18,"N/A",VLOOKUP(AT177,Lists!$B$18:$C$26,Lists!$C$3,FALSE))</f>
        <v>N/A</v>
      </c>
      <c r="AW177" s="369">
        <f>IF(AT177=Lists!$B$18,0,VLOOKUP(AV177,Amend_TOV,TOV!$F$1,FALSE))</f>
        <v>0</v>
      </c>
      <c r="AX177" s="117"/>
      <c r="AY177" s="316"/>
      <c r="AZ177" s="195" t="s">
        <v>48</v>
      </c>
      <c r="BA177" s="1096" t="str">
        <f>IF(AZ177=Lists!$B$18,"N/A",VLOOKUP(AZ177,Lists!$B$18:$C$26,Lists!$C$3,FALSE))</f>
        <v>N/A</v>
      </c>
      <c r="BB177" s="63">
        <f>IF(AZ177=Lists!$B$18,0,VLOOKUP(BA177,Amend_TOV,TOV!$F$1,FALSE))</f>
        <v>0</v>
      </c>
      <c r="BC177" s="370"/>
      <c r="BD177" s="351">
        <f t="shared" si="117"/>
        <v>0</v>
      </c>
      <c r="BE177" s="316">
        <f t="shared" si="118"/>
        <v>0</v>
      </c>
      <c r="BF177" s="66">
        <v>1</v>
      </c>
      <c r="BG177" s="66"/>
      <c r="BH177" s="67">
        <f t="shared" ref="BH177:BH195" si="122">100%-BF177-BG177</f>
        <v>0</v>
      </c>
      <c r="BI177" s="16" t="str">
        <f t="shared" ref="BI177:BI195" si="123">IF(BH177&lt;0%,"Error","No Alert")</f>
        <v>No Alert</v>
      </c>
      <c r="BJ177" s="351">
        <f t="shared" ref="BJ177:BJ195" si="124">$BE177*$BF177*IF(BJ$171&lt;&gt;"",BJ$171,BJ$170)</f>
        <v>0</v>
      </c>
      <c r="BK177" s="351">
        <f t="shared" ref="BK177:BK195" si="125">$BE177*$BG177*IF(BK$171&lt;&gt;"",BK$171,BK$170)</f>
        <v>0</v>
      </c>
      <c r="BL177" s="264">
        <f t="shared" si="119"/>
        <v>0</v>
      </c>
      <c r="BM177" s="803">
        <f t="shared" ref="BM177:BM195" si="126">IFERROR(BL177,"Error")</f>
        <v>0</v>
      </c>
      <c r="BN177" s="215"/>
      <c r="BO177" s="217"/>
      <c r="BP177" s="217"/>
      <c r="BQ177" s="217"/>
      <c r="BR177" s="217"/>
      <c r="BS177" s="217"/>
      <c r="BT177" s="217"/>
      <c r="BU177" s="218"/>
      <c r="CF177" s="475"/>
      <c r="CG177" s="475"/>
      <c r="CH177" s="475"/>
      <c r="CI177" s="475"/>
      <c r="CJ177" s="475"/>
      <c r="CK177" s="475"/>
      <c r="CL177" s="475"/>
      <c r="CM177" s="475"/>
      <c r="CN177" s="475"/>
      <c r="CX177" s="474"/>
      <c r="CY177" s="474"/>
      <c r="CZ177" s="474"/>
      <c r="DA177" s="474"/>
      <c r="DB177" s="474"/>
      <c r="DC177" s="474"/>
      <c r="DD177" s="474"/>
      <c r="DE177" s="474"/>
      <c r="DF177" s="474"/>
    </row>
    <row r="178" spans="2:110" ht="15">
      <c r="B178" s="616" t="str">
        <f t="shared" si="100"/>
        <v/>
      </c>
      <c r="C178" s="989">
        <v>3</v>
      </c>
      <c r="D178" s="750" t="str">
        <f t="shared" si="101"/>
        <v>Pit 3</v>
      </c>
      <c r="E178" s="136"/>
      <c r="F178" s="136"/>
      <c r="G178" s="316"/>
      <c r="H178" s="42"/>
      <c r="I178" s="324">
        <f t="shared" si="120"/>
        <v>0</v>
      </c>
      <c r="J178" s="324">
        <f t="shared" si="102"/>
        <v>0</v>
      </c>
      <c r="K178" s="324">
        <f t="shared" si="121"/>
        <v>0</v>
      </c>
      <c r="L178" s="136"/>
      <c r="M178" s="135">
        <f t="shared" si="103"/>
        <v>0.5</v>
      </c>
      <c r="N178" s="316"/>
      <c r="O178" s="324">
        <f t="shared" si="104"/>
        <v>0</v>
      </c>
      <c r="P178" s="37" t="s">
        <v>411</v>
      </c>
      <c r="Q178" s="47" t="s">
        <v>3</v>
      </c>
      <c r="R178" s="150">
        <f t="shared" si="105"/>
        <v>1.9221853757639424</v>
      </c>
      <c r="S178" s="146">
        <f t="shared" si="106"/>
        <v>0</v>
      </c>
      <c r="T178" s="37" t="s">
        <v>125</v>
      </c>
      <c r="U178" s="47" t="s">
        <v>349</v>
      </c>
      <c r="V178" s="63">
        <f t="shared" si="107"/>
        <v>6.2664411871606829</v>
      </c>
      <c r="W178" s="368">
        <f t="shared" si="108"/>
        <v>0</v>
      </c>
      <c r="X178" s="37" t="s">
        <v>125</v>
      </c>
      <c r="Y178" s="47" t="s">
        <v>349</v>
      </c>
      <c r="Z178" s="63">
        <f t="shared" si="109"/>
        <v>6.2664411871606829</v>
      </c>
      <c r="AA178" s="146">
        <f t="shared" si="110"/>
        <v>0</v>
      </c>
      <c r="AB178" s="37" t="s">
        <v>411</v>
      </c>
      <c r="AC178" s="47" t="s">
        <v>3</v>
      </c>
      <c r="AD178" s="150">
        <f t="shared" si="111"/>
        <v>1.9221853757639424</v>
      </c>
      <c r="AE178" s="146">
        <f t="shared" si="112"/>
        <v>0</v>
      </c>
      <c r="AF178" s="368">
        <f t="shared" si="113"/>
        <v>0</v>
      </c>
      <c r="AG178" s="142"/>
      <c r="AH178" s="318"/>
      <c r="AI178" s="324">
        <f t="shared" si="114"/>
        <v>0</v>
      </c>
      <c r="AJ178" s="37" t="s">
        <v>125</v>
      </c>
      <c r="AK178" s="47" t="s">
        <v>348</v>
      </c>
      <c r="AL178" s="162">
        <f t="shared" si="115"/>
        <v>4.8064250364478198</v>
      </c>
      <c r="AM178" s="16">
        <f t="shared" si="116"/>
        <v>0</v>
      </c>
      <c r="AN178" s="316"/>
      <c r="AO178" s="195" t="s">
        <v>48</v>
      </c>
      <c r="AP178" s="1096" t="str">
        <f>IF(AO178=Lists!$B$18,"N/A",VLOOKUP(AO178,Lists!$B$18:$C$26,Lists!$C$3,FALSE))</f>
        <v>N/A</v>
      </c>
      <c r="AQ178" s="63">
        <f>IF(AO178=Lists!$B$18,0,VLOOKUP(AP178,Amend_TOV,TOV!$F$1,FALSE))</f>
        <v>0</v>
      </c>
      <c r="AR178" s="370"/>
      <c r="AS178" s="316"/>
      <c r="AT178" s="98" t="s">
        <v>48</v>
      </c>
      <c r="AU178" s="99"/>
      <c r="AV178" s="1096" t="str">
        <f>IF(AT178=Lists!$B$18,"N/A",VLOOKUP(AT178,Lists!$B$18:$C$26,Lists!$C$3,FALSE))</f>
        <v>N/A</v>
      </c>
      <c r="AW178" s="369">
        <f>IF(AT178=Lists!$B$18,0,VLOOKUP(AV178,Amend_TOV,TOV!$F$1,FALSE))</f>
        <v>0</v>
      </c>
      <c r="AX178" s="117"/>
      <c r="AY178" s="316"/>
      <c r="AZ178" s="195" t="s">
        <v>48</v>
      </c>
      <c r="BA178" s="1096" t="str">
        <f>IF(AZ178=Lists!$B$18,"N/A",VLOOKUP(AZ178,Lists!$B$18:$C$26,Lists!$C$3,FALSE))</f>
        <v>N/A</v>
      </c>
      <c r="BB178" s="63">
        <f>IF(AZ178=Lists!$B$18,0,VLOOKUP(BA178,Amend_TOV,TOV!$F$1,FALSE))</f>
        <v>0</v>
      </c>
      <c r="BC178" s="370"/>
      <c r="BD178" s="351">
        <f t="shared" si="117"/>
        <v>0</v>
      </c>
      <c r="BE178" s="316">
        <f t="shared" si="118"/>
        <v>0</v>
      </c>
      <c r="BF178" s="66">
        <v>1</v>
      </c>
      <c r="BG178" s="66"/>
      <c r="BH178" s="67">
        <f t="shared" si="122"/>
        <v>0</v>
      </c>
      <c r="BI178" s="16" t="str">
        <f t="shared" si="123"/>
        <v>No Alert</v>
      </c>
      <c r="BJ178" s="351">
        <f t="shared" si="124"/>
        <v>0</v>
      </c>
      <c r="BK178" s="351">
        <f t="shared" si="125"/>
        <v>0</v>
      </c>
      <c r="BL178" s="264">
        <f t="shared" si="119"/>
        <v>0</v>
      </c>
      <c r="BM178" s="803">
        <f t="shared" si="126"/>
        <v>0</v>
      </c>
      <c r="BN178" s="215"/>
      <c r="BO178" s="217"/>
      <c r="BP178" s="217"/>
      <c r="BQ178" s="217"/>
      <c r="BR178" s="217"/>
      <c r="BS178" s="217"/>
      <c r="BT178" s="217"/>
      <c r="BU178" s="218"/>
      <c r="CF178" s="475"/>
      <c r="CG178" s="475"/>
      <c r="CH178" s="475"/>
      <c r="CI178" s="475"/>
      <c r="CJ178" s="475"/>
      <c r="CK178" s="475"/>
      <c r="CL178" s="475"/>
      <c r="CM178" s="475"/>
      <c r="CN178" s="475"/>
      <c r="CX178" s="474"/>
      <c r="CY178" s="474"/>
      <c r="CZ178" s="474"/>
      <c r="DA178" s="474"/>
      <c r="DB178" s="474"/>
      <c r="DC178" s="474"/>
      <c r="DD178" s="474"/>
      <c r="DE178" s="474"/>
      <c r="DF178" s="474"/>
    </row>
    <row r="179" spans="2:110" ht="15">
      <c r="B179" s="616" t="str">
        <f t="shared" si="100"/>
        <v/>
      </c>
      <c r="C179" s="989">
        <v>4</v>
      </c>
      <c r="D179" s="750" t="str">
        <f t="shared" si="101"/>
        <v>Pit 4</v>
      </c>
      <c r="E179" s="136"/>
      <c r="F179" s="136"/>
      <c r="G179" s="316"/>
      <c r="H179" s="42"/>
      <c r="I179" s="324">
        <f t="shared" si="120"/>
        <v>0</v>
      </c>
      <c r="J179" s="324">
        <f t="shared" si="102"/>
        <v>0</v>
      </c>
      <c r="K179" s="324">
        <f t="shared" si="121"/>
        <v>0</v>
      </c>
      <c r="L179" s="136"/>
      <c r="M179" s="135">
        <f t="shared" si="103"/>
        <v>0.5</v>
      </c>
      <c r="N179" s="316"/>
      <c r="O179" s="324">
        <f t="shared" si="104"/>
        <v>0</v>
      </c>
      <c r="P179" s="37" t="s">
        <v>411</v>
      </c>
      <c r="Q179" s="47" t="s">
        <v>3</v>
      </c>
      <c r="R179" s="150">
        <f t="shared" si="105"/>
        <v>1.9221853757639424</v>
      </c>
      <c r="S179" s="146">
        <f t="shared" si="106"/>
        <v>0</v>
      </c>
      <c r="T179" s="37" t="s">
        <v>125</v>
      </c>
      <c r="U179" s="47" t="s">
        <v>349</v>
      </c>
      <c r="V179" s="63">
        <f t="shared" si="107"/>
        <v>6.2664411871606829</v>
      </c>
      <c r="W179" s="368">
        <f t="shared" si="108"/>
        <v>0</v>
      </c>
      <c r="X179" s="37" t="s">
        <v>125</v>
      </c>
      <c r="Y179" s="47" t="s">
        <v>349</v>
      </c>
      <c r="Z179" s="63">
        <f t="shared" si="109"/>
        <v>6.2664411871606829</v>
      </c>
      <c r="AA179" s="146">
        <f t="shared" si="110"/>
        <v>0</v>
      </c>
      <c r="AB179" s="37" t="s">
        <v>411</v>
      </c>
      <c r="AC179" s="47" t="s">
        <v>3</v>
      </c>
      <c r="AD179" s="150">
        <f t="shared" si="111"/>
        <v>1.9221853757639424</v>
      </c>
      <c r="AE179" s="146">
        <f t="shared" si="112"/>
        <v>0</v>
      </c>
      <c r="AF179" s="368">
        <f t="shared" si="113"/>
        <v>0</v>
      </c>
      <c r="AG179" s="142"/>
      <c r="AH179" s="318"/>
      <c r="AI179" s="324">
        <f t="shared" si="114"/>
        <v>0</v>
      </c>
      <c r="AJ179" s="37" t="s">
        <v>125</v>
      </c>
      <c r="AK179" s="47" t="s">
        <v>348</v>
      </c>
      <c r="AL179" s="162">
        <f t="shared" si="115"/>
        <v>4.8064250364478198</v>
      </c>
      <c r="AM179" s="16">
        <f t="shared" si="116"/>
        <v>0</v>
      </c>
      <c r="AN179" s="316"/>
      <c r="AO179" s="195" t="s">
        <v>48</v>
      </c>
      <c r="AP179" s="1096" t="str">
        <f>IF(AO179=Lists!$B$18,"N/A",VLOOKUP(AO179,Lists!$B$18:$C$26,Lists!$C$3,FALSE))</f>
        <v>N/A</v>
      </c>
      <c r="AQ179" s="63">
        <f>IF(AO179=Lists!$B$18,0,VLOOKUP(AP179,Amend_TOV,TOV!$F$1,FALSE))</f>
        <v>0</v>
      </c>
      <c r="AR179" s="370"/>
      <c r="AS179" s="316"/>
      <c r="AT179" s="98" t="s">
        <v>48</v>
      </c>
      <c r="AU179" s="99"/>
      <c r="AV179" s="1096" t="str">
        <f>IF(AT179=Lists!$B$18,"N/A",VLOOKUP(AT179,Lists!$B$18:$C$26,Lists!$C$3,FALSE))</f>
        <v>N/A</v>
      </c>
      <c r="AW179" s="369">
        <f>IF(AT179=Lists!$B$18,0,VLOOKUP(AV179,Amend_TOV,TOV!$F$1,FALSE))</f>
        <v>0</v>
      </c>
      <c r="AX179" s="117"/>
      <c r="AY179" s="316"/>
      <c r="AZ179" s="195" t="s">
        <v>48</v>
      </c>
      <c r="BA179" s="1096" t="str">
        <f>IF(AZ179=Lists!$B$18,"N/A",VLOOKUP(AZ179,Lists!$B$18:$C$26,Lists!$C$3,FALSE))</f>
        <v>N/A</v>
      </c>
      <c r="BB179" s="63">
        <f>IF(AZ179=Lists!$B$18,0,VLOOKUP(BA179,Amend_TOV,TOV!$F$1,FALSE))</f>
        <v>0</v>
      </c>
      <c r="BC179" s="370"/>
      <c r="BD179" s="351">
        <f t="shared" si="117"/>
        <v>0</v>
      </c>
      <c r="BE179" s="316">
        <f t="shared" si="118"/>
        <v>0</v>
      </c>
      <c r="BF179" s="66">
        <v>1</v>
      </c>
      <c r="BG179" s="66"/>
      <c r="BH179" s="67">
        <f t="shared" si="122"/>
        <v>0</v>
      </c>
      <c r="BI179" s="16" t="str">
        <f t="shared" si="123"/>
        <v>No Alert</v>
      </c>
      <c r="BJ179" s="351">
        <f t="shared" si="124"/>
        <v>0</v>
      </c>
      <c r="BK179" s="351">
        <f t="shared" si="125"/>
        <v>0</v>
      </c>
      <c r="BL179" s="264">
        <f t="shared" si="119"/>
        <v>0</v>
      </c>
      <c r="BM179" s="803">
        <f t="shared" si="126"/>
        <v>0</v>
      </c>
      <c r="BN179" s="215"/>
      <c r="BO179" s="217"/>
      <c r="BP179" s="217"/>
      <c r="BQ179" s="217"/>
      <c r="BR179" s="217"/>
      <c r="BS179" s="217"/>
      <c r="BT179" s="217"/>
      <c r="BU179" s="218"/>
      <c r="CF179" s="475"/>
      <c r="CG179" s="475"/>
      <c r="CH179" s="475"/>
      <c r="CI179" s="475"/>
      <c r="CJ179" s="475"/>
      <c r="CK179" s="475"/>
      <c r="CL179" s="475"/>
      <c r="CM179" s="475"/>
      <c r="CN179" s="475"/>
      <c r="CX179" s="474"/>
      <c r="CY179" s="474"/>
      <c r="CZ179" s="474"/>
      <c r="DA179" s="474"/>
      <c r="DB179" s="474"/>
      <c r="DC179" s="474"/>
      <c r="DD179" s="474"/>
      <c r="DE179" s="474"/>
      <c r="DF179" s="474"/>
    </row>
    <row r="180" spans="2:110" ht="15">
      <c r="B180" s="616" t="str">
        <f t="shared" si="100"/>
        <v/>
      </c>
      <c r="C180" s="989">
        <v>5</v>
      </c>
      <c r="D180" s="750" t="str">
        <f t="shared" si="101"/>
        <v>Pit 5</v>
      </c>
      <c r="E180" s="136"/>
      <c r="F180" s="136"/>
      <c r="G180" s="316"/>
      <c r="H180" s="42"/>
      <c r="I180" s="324">
        <f t="shared" si="120"/>
        <v>0</v>
      </c>
      <c r="J180" s="324">
        <f t="shared" si="102"/>
        <v>0</v>
      </c>
      <c r="K180" s="324">
        <f t="shared" si="121"/>
        <v>0</v>
      </c>
      <c r="L180" s="136"/>
      <c r="M180" s="135">
        <f t="shared" si="103"/>
        <v>0.5</v>
      </c>
      <c r="N180" s="316"/>
      <c r="O180" s="324">
        <f t="shared" si="104"/>
        <v>0</v>
      </c>
      <c r="P180" s="37" t="s">
        <v>411</v>
      </c>
      <c r="Q180" s="47" t="s">
        <v>3</v>
      </c>
      <c r="R180" s="150">
        <f t="shared" si="105"/>
        <v>1.9221853757639424</v>
      </c>
      <c r="S180" s="146">
        <f t="shared" si="106"/>
        <v>0</v>
      </c>
      <c r="T180" s="37" t="s">
        <v>125</v>
      </c>
      <c r="U180" s="47" t="s">
        <v>349</v>
      </c>
      <c r="V180" s="63">
        <f t="shared" si="107"/>
        <v>6.2664411871606829</v>
      </c>
      <c r="W180" s="368">
        <f t="shared" si="108"/>
        <v>0</v>
      </c>
      <c r="X180" s="37" t="s">
        <v>125</v>
      </c>
      <c r="Y180" s="47" t="s">
        <v>349</v>
      </c>
      <c r="Z180" s="63">
        <f t="shared" si="109"/>
        <v>6.2664411871606829</v>
      </c>
      <c r="AA180" s="146">
        <f t="shared" si="110"/>
        <v>0</v>
      </c>
      <c r="AB180" s="37" t="s">
        <v>411</v>
      </c>
      <c r="AC180" s="47" t="s">
        <v>3</v>
      </c>
      <c r="AD180" s="150">
        <f t="shared" si="111"/>
        <v>1.9221853757639424</v>
      </c>
      <c r="AE180" s="146">
        <f t="shared" si="112"/>
        <v>0</v>
      </c>
      <c r="AF180" s="368">
        <f t="shared" si="113"/>
        <v>0</v>
      </c>
      <c r="AG180" s="142"/>
      <c r="AH180" s="318"/>
      <c r="AI180" s="324">
        <f t="shared" si="114"/>
        <v>0</v>
      </c>
      <c r="AJ180" s="37" t="s">
        <v>125</v>
      </c>
      <c r="AK180" s="47" t="s">
        <v>348</v>
      </c>
      <c r="AL180" s="162">
        <f t="shared" si="115"/>
        <v>4.8064250364478198</v>
      </c>
      <c r="AM180" s="16">
        <f t="shared" si="116"/>
        <v>0</v>
      </c>
      <c r="AN180" s="316"/>
      <c r="AO180" s="195" t="s">
        <v>48</v>
      </c>
      <c r="AP180" s="1096" t="str">
        <f>IF(AO180=Lists!$B$18,"N/A",VLOOKUP(AO180,Lists!$B$18:$C$26,Lists!$C$3,FALSE))</f>
        <v>N/A</v>
      </c>
      <c r="AQ180" s="63">
        <f>IF(AO180=Lists!$B$18,0,VLOOKUP(AP180,Amend_TOV,TOV!$F$1,FALSE))</f>
        <v>0</v>
      </c>
      <c r="AR180" s="370"/>
      <c r="AS180" s="316"/>
      <c r="AT180" s="98" t="s">
        <v>48</v>
      </c>
      <c r="AU180" s="99"/>
      <c r="AV180" s="1096" t="str">
        <f>IF(AT180=Lists!$B$18,"N/A",VLOOKUP(AT180,Lists!$B$18:$C$26,Lists!$C$3,FALSE))</f>
        <v>N/A</v>
      </c>
      <c r="AW180" s="369">
        <f>IF(AT180=Lists!$B$18,0,VLOOKUP(AV180,Amend_TOV,TOV!$F$1,FALSE))</f>
        <v>0</v>
      </c>
      <c r="AX180" s="117"/>
      <c r="AY180" s="316"/>
      <c r="AZ180" s="195" t="s">
        <v>48</v>
      </c>
      <c r="BA180" s="1096" t="str">
        <f>IF(AZ180=Lists!$B$18,"N/A",VLOOKUP(AZ180,Lists!$B$18:$C$26,Lists!$C$3,FALSE))</f>
        <v>N/A</v>
      </c>
      <c r="BB180" s="63">
        <f>IF(AZ180=Lists!$B$18,0,VLOOKUP(BA180,Amend_TOV,TOV!$F$1,FALSE))</f>
        <v>0</v>
      </c>
      <c r="BC180" s="370"/>
      <c r="BD180" s="351">
        <f t="shared" si="117"/>
        <v>0</v>
      </c>
      <c r="BE180" s="316">
        <f t="shared" si="118"/>
        <v>0</v>
      </c>
      <c r="BF180" s="66">
        <v>1</v>
      </c>
      <c r="BG180" s="66"/>
      <c r="BH180" s="67">
        <f t="shared" si="122"/>
        <v>0</v>
      </c>
      <c r="BI180" s="16" t="str">
        <f t="shared" si="123"/>
        <v>No Alert</v>
      </c>
      <c r="BJ180" s="351">
        <f t="shared" si="124"/>
        <v>0</v>
      </c>
      <c r="BK180" s="351">
        <f t="shared" si="125"/>
        <v>0</v>
      </c>
      <c r="BL180" s="264">
        <f t="shared" si="119"/>
        <v>0</v>
      </c>
      <c r="BM180" s="803">
        <f t="shared" si="126"/>
        <v>0</v>
      </c>
      <c r="BN180" s="215"/>
      <c r="BO180" s="217"/>
      <c r="BP180" s="217"/>
      <c r="BQ180" s="217"/>
      <c r="BR180" s="217"/>
      <c r="BS180" s="217"/>
      <c r="BT180" s="217"/>
      <c r="BU180" s="218"/>
      <c r="CF180" s="475"/>
      <c r="CG180" s="475"/>
      <c r="CH180" s="475"/>
      <c r="CI180" s="475"/>
      <c r="CJ180" s="475"/>
      <c r="CK180" s="475"/>
      <c r="CL180" s="475"/>
      <c r="CM180" s="475"/>
      <c r="CN180" s="475"/>
      <c r="CX180" s="474"/>
      <c r="CY180" s="474"/>
      <c r="CZ180" s="474"/>
      <c r="DA180" s="474"/>
      <c r="DB180" s="474"/>
      <c r="DC180" s="474"/>
      <c r="DD180" s="474"/>
      <c r="DE180" s="474"/>
      <c r="DF180" s="474"/>
    </row>
    <row r="181" spans="2:110" ht="15">
      <c r="B181" s="616" t="str">
        <f t="shared" si="100"/>
        <v/>
      </c>
      <c r="C181" s="989">
        <v>6</v>
      </c>
      <c r="D181" s="750" t="str">
        <f t="shared" si="101"/>
        <v>Pit 6</v>
      </c>
      <c r="E181" s="136"/>
      <c r="F181" s="136"/>
      <c r="G181" s="316"/>
      <c r="H181" s="42"/>
      <c r="I181" s="324">
        <f t="shared" si="120"/>
        <v>0</v>
      </c>
      <c r="J181" s="324">
        <f t="shared" si="102"/>
        <v>0</v>
      </c>
      <c r="K181" s="324">
        <f t="shared" si="121"/>
        <v>0</v>
      </c>
      <c r="L181" s="136"/>
      <c r="M181" s="135">
        <f>IF(K181&gt;0,0,IF(L181=0,$M$172,L181))</f>
        <v>0.5</v>
      </c>
      <c r="N181" s="316"/>
      <c r="O181" s="324">
        <f t="shared" si="104"/>
        <v>0</v>
      </c>
      <c r="P181" s="37" t="s">
        <v>411</v>
      </c>
      <c r="Q181" s="47" t="s">
        <v>3</v>
      </c>
      <c r="R181" s="150">
        <f t="shared" si="105"/>
        <v>1.9221853757639424</v>
      </c>
      <c r="S181" s="146">
        <f t="shared" si="106"/>
        <v>0</v>
      </c>
      <c r="T181" s="37" t="s">
        <v>125</v>
      </c>
      <c r="U181" s="47" t="s">
        <v>349</v>
      </c>
      <c r="V181" s="63">
        <f t="shared" si="107"/>
        <v>6.2664411871606829</v>
      </c>
      <c r="W181" s="368">
        <f t="shared" si="108"/>
        <v>0</v>
      </c>
      <c r="X181" s="37" t="s">
        <v>125</v>
      </c>
      <c r="Y181" s="47" t="s">
        <v>349</v>
      </c>
      <c r="Z181" s="63">
        <f t="shared" si="109"/>
        <v>6.2664411871606829</v>
      </c>
      <c r="AA181" s="146">
        <f t="shared" si="110"/>
        <v>0</v>
      </c>
      <c r="AB181" s="37" t="s">
        <v>411</v>
      </c>
      <c r="AC181" s="47" t="s">
        <v>3</v>
      </c>
      <c r="AD181" s="150">
        <f t="shared" si="111"/>
        <v>1.9221853757639424</v>
      </c>
      <c r="AE181" s="146">
        <f t="shared" si="112"/>
        <v>0</v>
      </c>
      <c r="AF181" s="368">
        <f t="shared" si="113"/>
        <v>0</v>
      </c>
      <c r="AG181" s="142"/>
      <c r="AH181" s="318"/>
      <c r="AI181" s="324">
        <f t="shared" si="114"/>
        <v>0</v>
      </c>
      <c r="AJ181" s="37" t="s">
        <v>125</v>
      </c>
      <c r="AK181" s="47" t="s">
        <v>348</v>
      </c>
      <c r="AL181" s="162">
        <f t="shared" si="115"/>
        <v>4.8064250364478198</v>
      </c>
      <c r="AM181" s="16">
        <f t="shared" si="116"/>
        <v>0</v>
      </c>
      <c r="AN181" s="316"/>
      <c r="AO181" s="195" t="s">
        <v>48</v>
      </c>
      <c r="AP181" s="1096" t="str">
        <f>IF(AO181=Lists!$B$18,"N/A",VLOOKUP(AO181,Lists!$B$18:$C$26,Lists!$C$3,FALSE))</f>
        <v>N/A</v>
      </c>
      <c r="AQ181" s="63">
        <f>IF(AO181=Lists!$B$18,0,VLOOKUP(AP181,Amend_TOV,TOV!$F$1,FALSE))</f>
        <v>0</v>
      </c>
      <c r="AR181" s="370"/>
      <c r="AS181" s="316"/>
      <c r="AT181" s="98" t="s">
        <v>48</v>
      </c>
      <c r="AU181" s="99"/>
      <c r="AV181" s="1096" t="str">
        <f>IF(AT181=Lists!$B$18,"N/A",VLOOKUP(AT181,Lists!$B$18:$C$26,Lists!$C$3,FALSE))</f>
        <v>N/A</v>
      </c>
      <c r="AW181" s="369">
        <f>IF(AT181=Lists!$B$18,0,VLOOKUP(AV181,Amend_TOV,TOV!$F$1,FALSE))</f>
        <v>0</v>
      </c>
      <c r="AX181" s="117"/>
      <c r="AY181" s="316"/>
      <c r="AZ181" s="195" t="s">
        <v>48</v>
      </c>
      <c r="BA181" s="1096" t="str">
        <f>IF(AZ181=Lists!$B$18,"N/A",VLOOKUP(AZ181,Lists!$B$18:$C$26,Lists!$C$3,FALSE))</f>
        <v>N/A</v>
      </c>
      <c r="BB181" s="63">
        <f>IF(AZ181=Lists!$B$18,0,VLOOKUP(BA181,Amend_TOV,TOV!$F$1,FALSE))</f>
        <v>0</v>
      </c>
      <c r="BC181" s="370"/>
      <c r="BD181" s="351">
        <f t="shared" si="117"/>
        <v>0</v>
      </c>
      <c r="BE181" s="316">
        <f t="shared" si="118"/>
        <v>0</v>
      </c>
      <c r="BF181" s="66">
        <v>1</v>
      </c>
      <c r="BG181" s="66"/>
      <c r="BH181" s="67">
        <f t="shared" si="122"/>
        <v>0</v>
      </c>
      <c r="BI181" s="16" t="str">
        <f t="shared" si="123"/>
        <v>No Alert</v>
      </c>
      <c r="BJ181" s="351">
        <f t="shared" si="124"/>
        <v>0</v>
      </c>
      <c r="BK181" s="351">
        <f t="shared" si="125"/>
        <v>0</v>
      </c>
      <c r="BL181" s="264">
        <f t="shared" si="119"/>
        <v>0</v>
      </c>
      <c r="BM181" s="803">
        <f t="shared" si="126"/>
        <v>0</v>
      </c>
      <c r="BN181" s="215"/>
      <c r="BO181" s="217"/>
      <c r="BP181" s="217"/>
      <c r="BQ181" s="217"/>
      <c r="BR181" s="217"/>
      <c r="BS181" s="217"/>
      <c r="BT181" s="217"/>
      <c r="BU181" s="218"/>
      <c r="CF181" s="475"/>
      <c r="CG181" s="475"/>
      <c r="CH181" s="475"/>
      <c r="CI181" s="475"/>
      <c r="CJ181" s="475"/>
      <c r="CK181" s="475"/>
      <c r="CL181" s="475"/>
      <c r="CM181" s="475"/>
      <c r="CN181" s="475"/>
      <c r="CX181" s="474"/>
      <c r="CY181" s="474"/>
      <c r="CZ181" s="474"/>
      <c r="DA181" s="474"/>
      <c r="DB181" s="474"/>
      <c r="DC181" s="474"/>
      <c r="DD181" s="474"/>
      <c r="DE181" s="474"/>
      <c r="DF181" s="474"/>
    </row>
    <row r="182" spans="2:110" ht="15">
      <c r="B182" s="616" t="str">
        <f t="shared" si="100"/>
        <v/>
      </c>
      <c r="C182" s="989">
        <v>7</v>
      </c>
      <c r="D182" s="750" t="str">
        <f t="shared" si="101"/>
        <v>Pit 7</v>
      </c>
      <c r="E182" s="136"/>
      <c r="F182" s="136"/>
      <c r="G182" s="316"/>
      <c r="H182" s="42"/>
      <c r="I182" s="324">
        <f t="shared" si="120"/>
        <v>0</v>
      </c>
      <c r="J182" s="324">
        <f t="shared" si="102"/>
        <v>0</v>
      </c>
      <c r="K182" s="324">
        <f t="shared" si="121"/>
        <v>0</v>
      </c>
      <c r="L182" s="136"/>
      <c r="M182" s="135">
        <f t="shared" si="103"/>
        <v>0.5</v>
      </c>
      <c r="N182" s="316"/>
      <c r="O182" s="324">
        <f t="shared" si="104"/>
        <v>0</v>
      </c>
      <c r="P182" s="37" t="s">
        <v>411</v>
      </c>
      <c r="Q182" s="47" t="s">
        <v>3</v>
      </c>
      <c r="R182" s="150">
        <f t="shared" si="105"/>
        <v>1.9221853757639424</v>
      </c>
      <c r="S182" s="146">
        <f t="shared" si="106"/>
        <v>0</v>
      </c>
      <c r="T182" s="37" t="s">
        <v>125</v>
      </c>
      <c r="U182" s="47" t="s">
        <v>349</v>
      </c>
      <c r="V182" s="63">
        <f t="shared" si="107"/>
        <v>6.2664411871606829</v>
      </c>
      <c r="W182" s="368">
        <f t="shared" si="108"/>
        <v>0</v>
      </c>
      <c r="X182" s="37" t="s">
        <v>125</v>
      </c>
      <c r="Y182" s="47" t="s">
        <v>349</v>
      </c>
      <c r="Z182" s="63">
        <f t="shared" si="109"/>
        <v>6.2664411871606829</v>
      </c>
      <c r="AA182" s="146">
        <f t="shared" si="110"/>
        <v>0</v>
      </c>
      <c r="AB182" s="37" t="s">
        <v>411</v>
      </c>
      <c r="AC182" s="47" t="s">
        <v>3</v>
      </c>
      <c r="AD182" s="150">
        <f t="shared" si="111"/>
        <v>1.9221853757639424</v>
      </c>
      <c r="AE182" s="146">
        <f t="shared" si="112"/>
        <v>0</v>
      </c>
      <c r="AF182" s="368">
        <f t="shared" si="113"/>
        <v>0</v>
      </c>
      <c r="AG182" s="142"/>
      <c r="AH182" s="318"/>
      <c r="AI182" s="324">
        <f t="shared" si="114"/>
        <v>0</v>
      </c>
      <c r="AJ182" s="37" t="s">
        <v>125</v>
      </c>
      <c r="AK182" s="47" t="s">
        <v>348</v>
      </c>
      <c r="AL182" s="162">
        <f t="shared" si="115"/>
        <v>4.8064250364478198</v>
      </c>
      <c r="AM182" s="16">
        <f t="shared" si="116"/>
        <v>0</v>
      </c>
      <c r="AN182" s="316"/>
      <c r="AO182" s="195" t="s">
        <v>48</v>
      </c>
      <c r="AP182" s="1096" t="str">
        <f>IF(AO182=Lists!$B$18,"N/A",VLOOKUP(AO182,Lists!$B$18:$C$26,Lists!$C$3,FALSE))</f>
        <v>N/A</v>
      </c>
      <c r="AQ182" s="63">
        <f>IF(AO182=Lists!$B$18,0,VLOOKUP(AP182,Amend_TOV,TOV!$F$1,FALSE))</f>
        <v>0</v>
      </c>
      <c r="AR182" s="370"/>
      <c r="AS182" s="316"/>
      <c r="AT182" s="98" t="s">
        <v>48</v>
      </c>
      <c r="AU182" s="99"/>
      <c r="AV182" s="1096" t="str">
        <f>IF(AT182=Lists!$B$18,"N/A",VLOOKUP(AT182,Lists!$B$18:$C$26,Lists!$C$3,FALSE))</f>
        <v>N/A</v>
      </c>
      <c r="AW182" s="369">
        <f>IF(AT182=Lists!$B$18,0,VLOOKUP(AV182,Amend_TOV,TOV!$F$1,FALSE))</f>
        <v>0</v>
      </c>
      <c r="AX182" s="117"/>
      <c r="AY182" s="316"/>
      <c r="AZ182" s="195" t="s">
        <v>48</v>
      </c>
      <c r="BA182" s="1096" t="str">
        <f>IF(AZ182=Lists!$B$18,"N/A",VLOOKUP(AZ182,Lists!$B$18:$C$26,Lists!$C$3,FALSE))</f>
        <v>N/A</v>
      </c>
      <c r="BB182" s="63">
        <f>IF(AZ182=Lists!$B$18,0,VLOOKUP(BA182,Amend_TOV,TOV!$F$1,FALSE))</f>
        <v>0</v>
      </c>
      <c r="BC182" s="370"/>
      <c r="BD182" s="351">
        <f t="shared" si="117"/>
        <v>0</v>
      </c>
      <c r="BE182" s="316">
        <f t="shared" si="118"/>
        <v>0</v>
      </c>
      <c r="BF182" s="66">
        <v>1</v>
      </c>
      <c r="BG182" s="66"/>
      <c r="BH182" s="67">
        <f t="shared" si="122"/>
        <v>0</v>
      </c>
      <c r="BI182" s="16" t="str">
        <f t="shared" si="123"/>
        <v>No Alert</v>
      </c>
      <c r="BJ182" s="351">
        <f t="shared" si="124"/>
        <v>0</v>
      </c>
      <c r="BK182" s="351">
        <f t="shared" si="125"/>
        <v>0</v>
      </c>
      <c r="BL182" s="264">
        <f t="shared" si="119"/>
        <v>0</v>
      </c>
      <c r="BM182" s="803">
        <f t="shared" si="126"/>
        <v>0</v>
      </c>
      <c r="BN182" s="215"/>
      <c r="BO182" s="217"/>
      <c r="BP182" s="217"/>
      <c r="BQ182" s="217"/>
      <c r="BR182" s="217"/>
      <c r="BS182" s="217"/>
      <c r="BT182" s="217"/>
      <c r="BU182" s="218"/>
      <c r="CF182" s="475"/>
      <c r="CG182" s="475"/>
      <c r="CH182" s="475"/>
      <c r="CI182" s="475"/>
      <c r="CJ182" s="475"/>
      <c r="CK182" s="475"/>
      <c r="CL182" s="475"/>
      <c r="CM182" s="475"/>
      <c r="CN182" s="475"/>
      <c r="CX182" s="474"/>
      <c r="CY182" s="474"/>
      <c r="CZ182" s="474"/>
      <c r="DA182" s="474"/>
      <c r="DB182" s="474"/>
      <c r="DC182" s="474"/>
      <c r="DD182" s="474"/>
      <c r="DE182" s="474"/>
      <c r="DF182" s="474"/>
    </row>
    <row r="183" spans="2:110" ht="15">
      <c r="B183" s="616" t="str">
        <f t="shared" si="100"/>
        <v/>
      </c>
      <c r="C183" s="989">
        <v>8</v>
      </c>
      <c r="D183" s="750" t="str">
        <f t="shared" si="101"/>
        <v>Pit 8</v>
      </c>
      <c r="E183" s="136"/>
      <c r="F183" s="136"/>
      <c r="G183" s="316"/>
      <c r="H183" s="42"/>
      <c r="I183" s="324">
        <f t="shared" si="120"/>
        <v>0</v>
      </c>
      <c r="J183" s="324">
        <f t="shared" si="102"/>
        <v>0</v>
      </c>
      <c r="K183" s="324">
        <f t="shared" si="121"/>
        <v>0</v>
      </c>
      <c r="L183" s="136"/>
      <c r="M183" s="135">
        <f t="shared" si="103"/>
        <v>0.5</v>
      </c>
      <c r="N183" s="316"/>
      <c r="O183" s="324">
        <f t="shared" si="104"/>
        <v>0</v>
      </c>
      <c r="P183" s="37" t="s">
        <v>411</v>
      </c>
      <c r="Q183" s="47" t="s">
        <v>3</v>
      </c>
      <c r="R183" s="150">
        <f t="shared" si="105"/>
        <v>1.9221853757639424</v>
      </c>
      <c r="S183" s="146">
        <f t="shared" si="106"/>
        <v>0</v>
      </c>
      <c r="T183" s="37" t="s">
        <v>125</v>
      </c>
      <c r="U183" s="47" t="s">
        <v>349</v>
      </c>
      <c r="V183" s="63">
        <f t="shared" si="107"/>
        <v>6.2664411871606829</v>
      </c>
      <c r="W183" s="368">
        <f t="shared" si="108"/>
        <v>0</v>
      </c>
      <c r="X183" s="37" t="s">
        <v>125</v>
      </c>
      <c r="Y183" s="47" t="s">
        <v>349</v>
      </c>
      <c r="Z183" s="63">
        <f t="shared" si="109"/>
        <v>6.2664411871606829</v>
      </c>
      <c r="AA183" s="146">
        <f t="shared" si="110"/>
        <v>0</v>
      </c>
      <c r="AB183" s="37" t="s">
        <v>411</v>
      </c>
      <c r="AC183" s="47" t="s">
        <v>3</v>
      </c>
      <c r="AD183" s="150">
        <f t="shared" si="111"/>
        <v>1.9221853757639424</v>
      </c>
      <c r="AE183" s="146">
        <f t="shared" si="112"/>
        <v>0</v>
      </c>
      <c r="AF183" s="368">
        <f t="shared" si="113"/>
        <v>0</v>
      </c>
      <c r="AG183" s="142"/>
      <c r="AH183" s="318"/>
      <c r="AI183" s="324">
        <f t="shared" si="114"/>
        <v>0</v>
      </c>
      <c r="AJ183" s="37" t="s">
        <v>125</v>
      </c>
      <c r="AK183" s="47" t="s">
        <v>348</v>
      </c>
      <c r="AL183" s="162">
        <f t="shared" si="115"/>
        <v>4.8064250364478198</v>
      </c>
      <c r="AM183" s="16">
        <f t="shared" si="116"/>
        <v>0</v>
      </c>
      <c r="AN183" s="316"/>
      <c r="AO183" s="195" t="s">
        <v>48</v>
      </c>
      <c r="AP183" s="1096" t="str">
        <f>IF(AO183=Lists!$B$18,"N/A",VLOOKUP(AO183,Lists!$B$18:$C$26,Lists!$C$3,FALSE))</f>
        <v>N/A</v>
      </c>
      <c r="AQ183" s="63">
        <f>IF(AO183=Lists!$B$18,0,VLOOKUP(AP183,Amend_TOV,TOV!$F$1,FALSE))</f>
        <v>0</v>
      </c>
      <c r="AR183" s="370"/>
      <c r="AS183" s="316"/>
      <c r="AT183" s="98" t="s">
        <v>48</v>
      </c>
      <c r="AU183" s="99"/>
      <c r="AV183" s="1096" t="str">
        <f>IF(AT183=Lists!$B$18,"N/A",VLOOKUP(AT183,Lists!$B$18:$C$26,Lists!$C$3,FALSE))</f>
        <v>N/A</v>
      </c>
      <c r="AW183" s="369">
        <f>IF(AT183=Lists!$B$18,0,VLOOKUP(AV183,Amend_TOV,TOV!$F$1,FALSE))</f>
        <v>0</v>
      </c>
      <c r="AX183" s="117"/>
      <c r="AY183" s="316"/>
      <c r="AZ183" s="195" t="s">
        <v>48</v>
      </c>
      <c r="BA183" s="1096" t="str">
        <f>IF(AZ183=Lists!$B$18,"N/A",VLOOKUP(AZ183,Lists!$B$18:$C$26,Lists!$C$3,FALSE))</f>
        <v>N/A</v>
      </c>
      <c r="BB183" s="63">
        <f>IF(AZ183=Lists!$B$18,0,VLOOKUP(BA183,Amend_TOV,TOV!$F$1,FALSE))</f>
        <v>0</v>
      </c>
      <c r="BC183" s="370"/>
      <c r="BD183" s="351">
        <f t="shared" si="117"/>
        <v>0</v>
      </c>
      <c r="BE183" s="316">
        <f t="shared" si="118"/>
        <v>0</v>
      </c>
      <c r="BF183" s="66">
        <v>1</v>
      </c>
      <c r="BG183" s="66"/>
      <c r="BH183" s="67">
        <f t="shared" si="122"/>
        <v>0</v>
      </c>
      <c r="BI183" s="16" t="str">
        <f t="shared" si="123"/>
        <v>No Alert</v>
      </c>
      <c r="BJ183" s="351">
        <f t="shared" si="124"/>
        <v>0</v>
      </c>
      <c r="BK183" s="351">
        <f t="shared" si="125"/>
        <v>0</v>
      </c>
      <c r="BL183" s="264">
        <f t="shared" si="119"/>
        <v>0</v>
      </c>
      <c r="BM183" s="803">
        <f t="shared" si="126"/>
        <v>0</v>
      </c>
      <c r="BN183" s="215"/>
      <c r="BO183" s="217"/>
      <c r="BP183" s="217"/>
      <c r="BQ183" s="217"/>
      <c r="BR183" s="217"/>
      <c r="BS183" s="217"/>
      <c r="BT183" s="217"/>
      <c r="BU183" s="218"/>
      <c r="CF183" s="475"/>
      <c r="CG183" s="475"/>
      <c r="CH183" s="475"/>
      <c r="CI183" s="475"/>
      <c r="CJ183" s="475"/>
      <c r="CK183" s="475"/>
      <c r="CL183" s="475"/>
      <c r="CM183" s="475"/>
      <c r="CN183" s="475"/>
      <c r="CX183" s="474"/>
      <c r="CY183" s="474"/>
      <c r="CZ183" s="474"/>
      <c r="DA183" s="474"/>
      <c r="DB183" s="474"/>
      <c r="DC183" s="474"/>
      <c r="DD183" s="474"/>
      <c r="DE183" s="474"/>
      <c r="DF183" s="474"/>
    </row>
    <row r="184" spans="2:110" ht="15">
      <c r="B184" s="616" t="str">
        <f t="shared" si="100"/>
        <v/>
      </c>
      <c r="C184" s="989">
        <v>9</v>
      </c>
      <c r="D184" s="750" t="str">
        <f t="shared" si="101"/>
        <v>Pit 9</v>
      </c>
      <c r="E184" s="136"/>
      <c r="F184" s="136"/>
      <c r="G184" s="316"/>
      <c r="H184" s="42"/>
      <c r="I184" s="324">
        <f t="shared" si="120"/>
        <v>0</v>
      </c>
      <c r="J184" s="324">
        <f t="shared" si="102"/>
        <v>0</v>
      </c>
      <c r="K184" s="324">
        <f t="shared" si="121"/>
        <v>0</v>
      </c>
      <c r="L184" s="136"/>
      <c r="M184" s="135">
        <f t="shared" si="103"/>
        <v>0.5</v>
      </c>
      <c r="N184" s="316"/>
      <c r="O184" s="324">
        <f t="shared" si="104"/>
        <v>0</v>
      </c>
      <c r="P184" s="37" t="s">
        <v>411</v>
      </c>
      <c r="Q184" s="47" t="s">
        <v>3</v>
      </c>
      <c r="R184" s="150">
        <f t="shared" si="105"/>
        <v>1.9221853757639424</v>
      </c>
      <c r="S184" s="146">
        <f t="shared" si="106"/>
        <v>0</v>
      </c>
      <c r="T184" s="37" t="s">
        <v>125</v>
      </c>
      <c r="U184" s="47" t="s">
        <v>349</v>
      </c>
      <c r="V184" s="63">
        <f t="shared" si="107"/>
        <v>6.2664411871606829</v>
      </c>
      <c r="W184" s="368">
        <f t="shared" si="108"/>
        <v>0</v>
      </c>
      <c r="X184" s="37" t="s">
        <v>125</v>
      </c>
      <c r="Y184" s="47" t="s">
        <v>349</v>
      </c>
      <c r="Z184" s="63">
        <f t="shared" si="109"/>
        <v>6.2664411871606829</v>
      </c>
      <c r="AA184" s="146">
        <f t="shared" si="110"/>
        <v>0</v>
      </c>
      <c r="AB184" s="37" t="s">
        <v>411</v>
      </c>
      <c r="AC184" s="47" t="s">
        <v>3</v>
      </c>
      <c r="AD184" s="150">
        <f t="shared" si="111"/>
        <v>1.9221853757639424</v>
      </c>
      <c r="AE184" s="146">
        <f t="shared" si="112"/>
        <v>0</v>
      </c>
      <c r="AF184" s="368">
        <f t="shared" si="113"/>
        <v>0</v>
      </c>
      <c r="AG184" s="142"/>
      <c r="AH184" s="318"/>
      <c r="AI184" s="324">
        <f t="shared" si="114"/>
        <v>0</v>
      </c>
      <c r="AJ184" s="37" t="s">
        <v>125</v>
      </c>
      <c r="AK184" s="47" t="s">
        <v>348</v>
      </c>
      <c r="AL184" s="162">
        <f t="shared" si="115"/>
        <v>4.8064250364478198</v>
      </c>
      <c r="AM184" s="16">
        <f t="shared" si="116"/>
        <v>0</v>
      </c>
      <c r="AN184" s="316"/>
      <c r="AO184" s="195" t="s">
        <v>48</v>
      </c>
      <c r="AP184" s="1096" t="str">
        <f>IF(AO184=Lists!$B$18,"N/A",VLOOKUP(AO184,Lists!$B$18:$C$26,Lists!$C$3,FALSE))</f>
        <v>N/A</v>
      </c>
      <c r="AQ184" s="63">
        <f>IF(AO184=Lists!$B$18,0,VLOOKUP(AP184,Amend_TOV,TOV!$F$1,FALSE))</f>
        <v>0</v>
      </c>
      <c r="AR184" s="370"/>
      <c r="AS184" s="316"/>
      <c r="AT184" s="98" t="s">
        <v>48</v>
      </c>
      <c r="AU184" s="99"/>
      <c r="AV184" s="1096" t="str">
        <f>IF(AT184=Lists!$B$18,"N/A",VLOOKUP(AT184,Lists!$B$18:$C$26,Lists!$C$3,FALSE))</f>
        <v>N/A</v>
      </c>
      <c r="AW184" s="369">
        <f>IF(AT184=Lists!$B$18,0,VLOOKUP(AV184,Amend_TOV,TOV!$F$1,FALSE))</f>
        <v>0</v>
      </c>
      <c r="AX184" s="117"/>
      <c r="AY184" s="316"/>
      <c r="AZ184" s="195" t="s">
        <v>48</v>
      </c>
      <c r="BA184" s="1096" t="str">
        <f>IF(AZ184=Lists!$B$18,"N/A",VLOOKUP(AZ184,Lists!$B$18:$C$26,Lists!$C$3,FALSE))</f>
        <v>N/A</v>
      </c>
      <c r="BB184" s="63">
        <f>IF(AZ184=Lists!$B$18,0,VLOOKUP(BA184,Amend_TOV,TOV!$F$1,FALSE))</f>
        <v>0</v>
      </c>
      <c r="BC184" s="370"/>
      <c r="BD184" s="351">
        <f t="shared" si="117"/>
        <v>0</v>
      </c>
      <c r="BE184" s="316">
        <f t="shared" si="118"/>
        <v>0</v>
      </c>
      <c r="BF184" s="66">
        <v>1</v>
      </c>
      <c r="BG184" s="66"/>
      <c r="BH184" s="67">
        <f t="shared" si="122"/>
        <v>0</v>
      </c>
      <c r="BI184" s="16" t="str">
        <f t="shared" si="123"/>
        <v>No Alert</v>
      </c>
      <c r="BJ184" s="351">
        <f t="shared" si="124"/>
        <v>0</v>
      </c>
      <c r="BK184" s="351">
        <f t="shared" si="125"/>
        <v>0</v>
      </c>
      <c r="BL184" s="264">
        <f t="shared" si="119"/>
        <v>0</v>
      </c>
      <c r="BM184" s="803">
        <f t="shared" si="126"/>
        <v>0</v>
      </c>
      <c r="BN184" s="215"/>
      <c r="BO184" s="217"/>
      <c r="BP184" s="217"/>
      <c r="BQ184" s="217"/>
      <c r="BR184" s="217"/>
      <c r="BS184" s="217"/>
      <c r="BT184" s="217"/>
      <c r="BU184" s="218"/>
      <c r="CF184" s="475"/>
      <c r="CG184" s="475"/>
      <c r="CH184" s="475"/>
      <c r="CI184" s="475"/>
      <c r="CJ184" s="475"/>
      <c r="CK184" s="475"/>
      <c r="CL184" s="475"/>
      <c r="CM184" s="475"/>
      <c r="CN184" s="475"/>
      <c r="CX184" s="474"/>
      <c r="CY184" s="474"/>
      <c r="CZ184" s="474"/>
      <c r="DA184" s="474"/>
      <c r="DB184" s="474"/>
      <c r="DC184" s="474"/>
      <c r="DD184" s="474"/>
      <c r="DE184" s="474"/>
      <c r="DF184" s="474"/>
    </row>
    <row r="185" spans="2:110" ht="15">
      <c r="B185" s="616" t="str">
        <f t="shared" si="100"/>
        <v/>
      </c>
      <c r="C185" s="989">
        <v>10</v>
      </c>
      <c r="D185" s="750" t="str">
        <f t="shared" si="101"/>
        <v>Pit 10</v>
      </c>
      <c r="E185" s="136"/>
      <c r="F185" s="136"/>
      <c r="G185" s="316"/>
      <c r="H185" s="42"/>
      <c r="I185" s="324">
        <f t="shared" si="120"/>
        <v>0</v>
      </c>
      <c r="J185" s="324">
        <f t="shared" si="102"/>
        <v>0</v>
      </c>
      <c r="K185" s="324">
        <f t="shared" si="121"/>
        <v>0</v>
      </c>
      <c r="L185" s="136"/>
      <c r="M185" s="135">
        <f t="shared" si="103"/>
        <v>0.5</v>
      </c>
      <c r="N185" s="316"/>
      <c r="O185" s="324">
        <f t="shared" si="104"/>
        <v>0</v>
      </c>
      <c r="P185" s="37" t="s">
        <v>411</v>
      </c>
      <c r="Q185" s="47" t="s">
        <v>3</v>
      </c>
      <c r="R185" s="150">
        <f t="shared" si="105"/>
        <v>1.9221853757639424</v>
      </c>
      <c r="S185" s="146">
        <f t="shared" si="106"/>
        <v>0</v>
      </c>
      <c r="T185" s="37" t="s">
        <v>125</v>
      </c>
      <c r="U185" s="47" t="s">
        <v>349</v>
      </c>
      <c r="V185" s="63">
        <f t="shared" si="107"/>
        <v>6.2664411871606829</v>
      </c>
      <c r="W185" s="368">
        <f t="shared" si="108"/>
        <v>0</v>
      </c>
      <c r="X185" s="37" t="s">
        <v>125</v>
      </c>
      <c r="Y185" s="47" t="s">
        <v>349</v>
      </c>
      <c r="Z185" s="63">
        <f t="shared" si="109"/>
        <v>6.2664411871606829</v>
      </c>
      <c r="AA185" s="146">
        <f t="shared" si="110"/>
        <v>0</v>
      </c>
      <c r="AB185" s="37" t="s">
        <v>411</v>
      </c>
      <c r="AC185" s="47" t="s">
        <v>3</v>
      </c>
      <c r="AD185" s="150">
        <f t="shared" si="111"/>
        <v>1.9221853757639424</v>
      </c>
      <c r="AE185" s="146">
        <f t="shared" si="112"/>
        <v>0</v>
      </c>
      <c r="AF185" s="368">
        <f t="shared" si="113"/>
        <v>0</v>
      </c>
      <c r="AG185" s="142"/>
      <c r="AH185" s="318"/>
      <c r="AI185" s="324">
        <f t="shared" si="114"/>
        <v>0</v>
      </c>
      <c r="AJ185" s="37" t="s">
        <v>125</v>
      </c>
      <c r="AK185" s="47" t="s">
        <v>348</v>
      </c>
      <c r="AL185" s="162">
        <f t="shared" si="115"/>
        <v>4.8064250364478198</v>
      </c>
      <c r="AM185" s="16">
        <f t="shared" si="116"/>
        <v>0</v>
      </c>
      <c r="AN185" s="316"/>
      <c r="AO185" s="195" t="s">
        <v>48</v>
      </c>
      <c r="AP185" s="1096" t="str">
        <f>IF(AO185=Lists!$B$18,"N/A",VLOOKUP(AO185,Lists!$B$18:$C$26,Lists!$C$3,FALSE))</f>
        <v>N/A</v>
      </c>
      <c r="AQ185" s="63">
        <f>IF(AO185=Lists!$B$18,0,VLOOKUP(AP185,Amend_TOV,TOV!$F$1,FALSE))</f>
        <v>0</v>
      </c>
      <c r="AR185" s="370"/>
      <c r="AS185" s="316"/>
      <c r="AT185" s="98" t="s">
        <v>48</v>
      </c>
      <c r="AU185" s="99"/>
      <c r="AV185" s="1096" t="str">
        <f>IF(AT185=Lists!$B$18,"N/A",VLOOKUP(AT185,Lists!$B$18:$C$26,Lists!$C$3,FALSE))</f>
        <v>N/A</v>
      </c>
      <c r="AW185" s="369">
        <f>IF(AT185=Lists!$B$18,0,VLOOKUP(AV185,Amend_TOV,TOV!$F$1,FALSE))</f>
        <v>0</v>
      </c>
      <c r="AX185" s="117"/>
      <c r="AY185" s="316"/>
      <c r="AZ185" s="195" t="s">
        <v>48</v>
      </c>
      <c r="BA185" s="1096" t="str">
        <f>IF(AZ185=Lists!$B$18,"N/A",VLOOKUP(AZ185,Lists!$B$18:$C$26,Lists!$C$3,FALSE))</f>
        <v>N/A</v>
      </c>
      <c r="BB185" s="63">
        <f>IF(AZ185=Lists!$B$18,0,VLOOKUP(BA185,Amend_TOV,TOV!$F$1,FALSE))</f>
        <v>0</v>
      </c>
      <c r="BC185" s="370"/>
      <c r="BD185" s="351">
        <f t="shared" si="117"/>
        <v>0</v>
      </c>
      <c r="BE185" s="316">
        <f t="shared" si="118"/>
        <v>0</v>
      </c>
      <c r="BF185" s="66">
        <v>1</v>
      </c>
      <c r="BG185" s="66"/>
      <c r="BH185" s="67">
        <f t="shared" si="122"/>
        <v>0</v>
      </c>
      <c r="BI185" s="16" t="str">
        <f t="shared" si="123"/>
        <v>No Alert</v>
      </c>
      <c r="BJ185" s="351">
        <f t="shared" si="124"/>
        <v>0</v>
      </c>
      <c r="BK185" s="351">
        <f t="shared" si="125"/>
        <v>0</v>
      </c>
      <c r="BL185" s="264">
        <f t="shared" si="119"/>
        <v>0</v>
      </c>
      <c r="BM185" s="803">
        <f t="shared" si="126"/>
        <v>0</v>
      </c>
      <c r="BN185" s="215"/>
      <c r="BO185" s="217"/>
      <c r="BP185" s="217"/>
      <c r="BQ185" s="217"/>
      <c r="BR185" s="217"/>
      <c r="BS185" s="217"/>
      <c r="BT185" s="217"/>
      <c r="BU185" s="218"/>
      <c r="CF185" s="475"/>
      <c r="CG185" s="475"/>
      <c r="CH185" s="475"/>
      <c r="CI185" s="475"/>
      <c r="CJ185" s="475"/>
      <c r="CK185" s="475"/>
      <c r="CL185" s="475"/>
      <c r="CM185" s="475"/>
      <c r="CN185" s="475"/>
      <c r="CX185" s="474"/>
      <c r="CY185" s="474"/>
      <c r="CZ185" s="474"/>
      <c r="DA185" s="474"/>
      <c r="DB185" s="474"/>
      <c r="DC185" s="474"/>
      <c r="DD185" s="474"/>
      <c r="DE185" s="474"/>
      <c r="DF185" s="474"/>
    </row>
    <row r="186" spans="2:110" ht="15">
      <c r="B186" s="616" t="str">
        <f t="shared" si="100"/>
        <v/>
      </c>
      <c r="C186" s="989">
        <v>11</v>
      </c>
      <c r="D186" s="750" t="str">
        <f t="shared" si="101"/>
        <v>Pit 11</v>
      </c>
      <c r="E186" s="136"/>
      <c r="F186" s="136"/>
      <c r="G186" s="316"/>
      <c r="H186" s="42"/>
      <c r="I186" s="324">
        <f t="shared" si="120"/>
        <v>0</v>
      </c>
      <c r="J186" s="324">
        <f t="shared" si="102"/>
        <v>0</v>
      </c>
      <c r="K186" s="324">
        <f t="shared" si="121"/>
        <v>0</v>
      </c>
      <c r="L186" s="136"/>
      <c r="M186" s="135">
        <f t="shared" si="103"/>
        <v>0.5</v>
      </c>
      <c r="N186" s="316"/>
      <c r="O186" s="324">
        <f t="shared" si="104"/>
        <v>0</v>
      </c>
      <c r="P186" s="37" t="s">
        <v>411</v>
      </c>
      <c r="Q186" s="47" t="s">
        <v>3</v>
      </c>
      <c r="R186" s="150">
        <f t="shared" si="105"/>
        <v>1.9221853757639424</v>
      </c>
      <c r="S186" s="146">
        <f t="shared" si="106"/>
        <v>0</v>
      </c>
      <c r="T186" s="37" t="s">
        <v>125</v>
      </c>
      <c r="U186" s="47" t="s">
        <v>349</v>
      </c>
      <c r="V186" s="63">
        <f t="shared" si="107"/>
        <v>6.2664411871606829</v>
      </c>
      <c r="W186" s="368">
        <f t="shared" si="108"/>
        <v>0</v>
      </c>
      <c r="X186" s="37" t="s">
        <v>125</v>
      </c>
      <c r="Y186" s="47" t="s">
        <v>349</v>
      </c>
      <c r="Z186" s="63">
        <f t="shared" si="109"/>
        <v>6.2664411871606829</v>
      </c>
      <c r="AA186" s="146">
        <f t="shared" si="110"/>
        <v>0</v>
      </c>
      <c r="AB186" s="37" t="s">
        <v>411</v>
      </c>
      <c r="AC186" s="47" t="s">
        <v>3</v>
      </c>
      <c r="AD186" s="150">
        <f t="shared" si="111"/>
        <v>1.9221853757639424</v>
      </c>
      <c r="AE186" s="146">
        <f t="shared" si="112"/>
        <v>0</v>
      </c>
      <c r="AF186" s="368">
        <f t="shared" si="113"/>
        <v>0</v>
      </c>
      <c r="AG186" s="142"/>
      <c r="AH186" s="318"/>
      <c r="AI186" s="324">
        <f t="shared" si="114"/>
        <v>0</v>
      </c>
      <c r="AJ186" s="37" t="s">
        <v>125</v>
      </c>
      <c r="AK186" s="47" t="s">
        <v>348</v>
      </c>
      <c r="AL186" s="162">
        <f t="shared" si="115"/>
        <v>4.8064250364478198</v>
      </c>
      <c r="AM186" s="16">
        <f t="shared" si="116"/>
        <v>0</v>
      </c>
      <c r="AN186" s="316"/>
      <c r="AO186" s="195" t="s">
        <v>48</v>
      </c>
      <c r="AP186" s="1096" t="str">
        <f>IF(AO186=Lists!$B$18,"N/A",VLOOKUP(AO186,Lists!$B$18:$C$26,Lists!$C$3,FALSE))</f>
        <v>N/A</v>
      </c>
      <c r="AQ186" s="63">
        <f>IF(AO186=Lists!$B$18,0,VLOOKUP(AP186,Amend_TOV,TOV!$F$1,FALSE))</f>
        <v>0</v>
      </c>
      <c r="AR186" s="370"/>
      <c r="AS186" s="316"/>
      <c r="AT186" s="98" t="s">
        <v>48</v>
      </c>
      <c r="AU186" s="99"/>
      <c r="AV186" s="1096" t="str">
        <f>IF(AT186=Lists!$B$18,"N/A",VLOOKUP(AT186,Lists!$B$18:$C$26,Lists!$C$3,FALSE))</f>
        <v>N/A</v>
      </c>
      <c r="AW186" s="369">
        <f>IF(AT186=Lists!$B$18,0,VLOOKUP(AV186,Amend_TOV,TOV!$F$1,FALSE))</f>
        <v>0</v>
      </c>
      <c r="AX186" s="117"/>
      <c r="AY186" s="316"/>
      <c r="AZ186" s="195" t="s">
        <v>48</v>
      </c>
      <c r="BA186" s="1096" t="str">
        <f>IF(AZ186=Lists!$B$18,"N/A",VLOOKUP(AZ186,Lists!$B$18:$C$26,Lists!$C$3,FALSE))</f>
        <v>N/A</v>
      </c>
      <c r="BB186" s="63">
        <f>IF(AZ186=Lists!$B$18,0,VLOOKUP(BA186,Amend_TOV,TOV!$F$1,FALSE))</f>
        <v>0</v>
      </c>
      <c r="BC186" s="370"/>
      <c r="BD186" s="351">
        <f t="shared" si="117"/>
        <v>0</v>
      </c>
      <c r="BE186" s="316">
        <f t="shared" si="118"/>
        <v>0</v>
      </c>
      <c r="BF186" s="66">
        <v>1</v>
      </c>
      <c r="BG186" s="66"/>
      <c r="BH186" s="67">
        <f t="shared" si="122"/>
        <v>0</v>
      </c>
      <c r="BI186" s="16" t="str">
        <f t="shared" si="123"/>
        <v>No Alert</v>
      </c>
      <c r="BJ186" s="351">
        <f t="shared" si="124"/>
        <v>0</v>
      </c>
      <c r="BK186" s="351">
        <f t="shared" si="125"/>
        <v>0</v>
      </c>
      <c r="BL186" s="264">
        <f t="shared" si="119"/>
        <v>0</v>
      </c>
      <c r="BM186" s="803">
        <f t="shared" si="126"/>
        <v>0</v>
      </c>
      <c r="BN186" s="215"/>
      <c r="BO186" s="217"/>
      <c r="BP186" s="217"/>
      <c r="BQ186" s="217"/>
      <c r="BR186" s="217"/>
      <c r="BS186" s="217"/>
      <c r="BT186" s="217"/>
      <c r="BU186" s="218"/>
      <c r="CF186" s="475"/>
      <c r="CG186" s="475"/>
      <c r="CH186" s="475"/>
      <c r="CI186" s="475"/>
      <c r="CJ186" s="475"/>
      <c r="CK186" s="475"/>
      <c r="CL186" s="475"/>
      <c r="CM186" s="475"/>
      <c r="CN186" s="475"/>
      <c r="CX186" s="474"/>
      <c r="CY186" s="474"/>
      <c r="CZ186" s="474"/>
      <c r="DA186" s="474"/>
      <c r="DB186" s="474"/>
      <c r="DC186" s="474"/>
      <c r="DD186" s="474"/>
      <c r="DE186" s="474"/>
      <c r="DF186" s="474"/>
    </row>
    <row r="187" spans="2:110" ht="15">
      <c r="B187" s="616" t="str">
        <f t="shared" si="100"/>
        <v/>
      </c>
      <c r="C187" s="989">
        <v>12</v>
      </c>
      <c r="D187" s="750" t="str">
        <f t="shared" si="101"/>
        <v>Pit 12</v>
      </c>
      <c r="E187" s="136"/>
      <c r="F187" s="136"/>
      <c r="G187" s="316"/>
      <c r="H187" s="42"/>
      <c r="I187" s="324">
        <f t="shared" si="120"/>
        <v>0</v>
      </c>
      <c r="J187" s="324">
        <f t="shared" si="102"/>
        <v>0</v>
      </c>
      <c r="K187" s="324">
        <f t="shared" si="121"/>
        <v>0</v>
      </c>
      <c r="L187" s="136"/>
      <c r="M187" s="135">
        <f t="shared" si="103"/>
        <v>0.5</v>
      </c>
      <c r="N187" s="316"/>
      <c r="O187" s="324">
        <f t="shared" si="104"/>
        <v>0</v>
      </c>
      <c r="P187" s="37" t="s">
        <v>411</v>
      </c>
      <c r="Q187" s="47" t="s">
        <v>3</v>
      </c>
      <c r="R187" s="150">
        <f t="shared" si="105"/>
        <v>1.9221853757639424</v>
      </c>
      <c r="S187" s="146">
        <f t="shared" si="106"/>
        <v>0</v>
      </c>
      <c r="T187" s="37" t="s">
        <v>125</v>
      </c>
      <c r="U187" s="47" t="s">
        <v>349</v>
      </c>
      <c r="V187" s="63">
        <f t="shared" si="107"/>
        <v>6.2664411871606829</v>
      </c>
      <c r="W187" s="368">
        <f t="shared" si="108"/>
        <v>0</v>
      </c>
      <c r="X187" s="37" t="s">
        <v>125</v>
      </c>
      <c r="Y187" s="47" t="s">
        <v>349</v>
      </c>
      <c r="Z187" s="63">
        <f t="shared" si="109"/>
        <v>6.2664411871606829</v>
      </c>
      <c r="AA187" s="146">
        <f t="shared" si="110"/>
        <v>0</v>
      </c>
      <c r="AB187" s="37" t="s">
        <v>411</v>
      </c>
      <c r="AC187" s="47" t="s">
        <v>3</v>
      </c>
      <c r="AD187" s="150">
        <f t="shared" si="111"/>
        <v>1.9221853757639424</v>
      </c>
      <c r="AE187" s="146">
        <f t="shared" si="112"/>
        <v>0</v>
      </c>
      <c r="AF187" s="368">
        <f t="shared" si="113"/>
        <v>0</v>
      </c>
      <c r="AG187" s="142"/>
      <c r="AH187" s="318"/>
      <c r="AI187" s="324">
        <f t="shared" si="114"/>
        <v>0</v>
      </c>
      <c r="AJ187" s="37" t="s">
        <v>125</v>
      </c>
      <c r="AK187" s="47" t="s">
        <v>348</v>
      </c>
      <c r="AL187" s="162">
        <f t="shared" si="115"/>
        <v>4.8064250364478198</v>
      </c>
      <c r="AM187" s="16">
        <f t="shared" si="116"/>
        <v>0</v>
      </c>
      <c r="AN187" s="316"/>
      <c r="AO187" s="195" t="s">
        <v>48</v>
      </c>
      <c r="AP187" s="1096" t="str">
        <f>IF(AO187=Lists!$B$18,"N/A",VLOOKUP(AO187,Lists!$B$18:$C$26,Lists!$C$3,FALSE))</f>
        <v>N/A</v>
      </c>
      <c r="AQ187" s="63">
        <f>IF(AO187=Lists!$B$18,0,VLOOKUP(AP187,Amend_TOV,TOV!$F$1,FALSE))</f>
        <v>0</v>
      </c>
      <c r="AR187" s="370"/>
      <c r="AS187" s="316"/>
      <c r="AT187" s="98" t="s">
        <v>48</v>
      </c>
      <c r="AU187" s="99"/>
      <c r="AV187" s="1096" t="str">
        <f>IF(AT187=Lists!$B$18,"N/A",VLOOKUP(AT187,Lists!$B$18:$C$26,Lists!$C$3,FALSE))</f>
        <v>N/A</v>
      </c>
      <c r="AW187" s="369">
        <f>IF(AT187=Lists!$B$18,0,VLOOKUP(AV187,Amend_TOV,TOV!$F$1,FALSE))</f>
        <v>0</v>
      </c>
      <c r="AX187" s="117"/>
      <c r="AY187" s="316"/>
      <c r="AZ187" s="195" t="s">
        <v>48</v>
      </c>
      <c r="BA187" s="1096" t="str">
        <f>IF(AZ187=Lists!$B$18,"N/A",VLOOKUP(AZ187,Lists!$B$18:$C$26,Lists!$C$3,FALSE))</f>
        <v>N/A</v>
      </c>
      <c r="BB187" s="63">
        <f>IF(AZ187=Lists!$B$18,0,VLOOKUP(BA187,Amend_TOV,TOV!$F$1,FALSE))</f>
        <v>0</v>
      </c>
      <c r="BC187" s="370"/>
      <c r="BD187" s="351">
        <f t="shared" si="117"/>
        <v>0</v>
      </c>
      <c r="BE187" s="316">
        <f t="shared" si="118"/>
        <v>0</v>
      </c>
      <c r="BF187" s="66">
        <v>1</v>
      </c>
      <c r="BG187" s="66"/>
      <c r="BH187" s="67">
        <f t="shared" si="122"/>
        <v>0</v>
      </c>
      <c r="BI187" s="16" t="str">
        <f t="shared" si="123"/>
        <v>No Alert</v>
      </c>
      <c r="BJ187" s="351">
        <f t="shared" si="124"/>
        <v>0</v>
      </c>
      <c r="BK187" s="351">
        <f t="shared" si="125"/>
        <v>0</v>
      </c>
      <c r="BL187" s="264">
        <f t="shared" si="119"/>
        <v>0</v>
      </c>
      <c r="BM187" s="803">
        <f t="shared" si="126"/>
        <v>0</v>
      </c>
      <c r="BN187" s="215"/>
      <c r="BO187" s="217"/>
      <c r="BP187" s="217"/>
      <c r="BQ187" s="217"/>
      <c r="BR187" s="217"/>
      <c r="BS187" s="217"/>
      <c r="BT187" s="217"/>
      <c r="BU187" s="218"/>
      <c r="CF187" s="475"/>
      <c r="CG187" s="475"/>
      <c r="CH187" s="475"/>
      <c r="CI187" s="475"/>
      <c r="CJ187" s="475"/>
      <c r="CK187" s="475"/>
      <c r="CL187" s="475"/>
      <c r="CM187" s="475"/>
      <c r="CN187" s="475"/>
      <c r="CX187" s="474"/>
      <c r="CY187" s="474"/>
      <c r="CZ187" s="474"/>
      <c r="DA187" s="474"/>
      <c r="DB187" s="474"/>
      <c r="DC187" s="474"/>
      <c r="DD187" s="474"/>
      <c r="DE187" s="474"/>
      <c r="DF187" s="474"/>
    </row>
    <row r="188" spans="2:110" ht="15">
      <c r="B188" s="616" t="str">
        <f t="shared" si="100"/>
        <v/>
      </c>
      <c r="C188" s="989">
        <v>13</v>
      </c>
      <c r="D188" s="750" t="str">
        <f t="shared" si="101"/>
        <v>Pit 13</v>
      </c>
      <c r="E188" s="136"/>
      <c r="F188" s="136"/>
      <c r="G188" s="316"/>
      <c r="H188" s="42"/>
      <c r="I188" s="324">
        <f t="shared" si="120"/>
        <v>0</v>
      </c>
      <c r="J188" s="324">
        <f t="shared" si="102"/>
        <v>0</v>
      </c>
      <c r="K188" s="324">
        <f t="shared" si="121"/>
        <v>0</v>
      </c>
      <c r="L188" s="136"/>
      <c r="M188" s="135">
        <f t="shared" si="103"/>
        <v>0.5</v>
      </c>
      <c r="N188" s="316"/>
      <c r="O188" s="324">
        <f t="shared" si="104"/>
        <v>0</v>
      </c>
      <c r="P188" s="37" t="s">
        <v>411</v>
      </c>
      <c r="Q188" s="47" t="s">
        <v>3</v>
      </c>
      <c r="R188" s="150">
        <f t="shared" si="105"/>
        <v>1.9221853757639424</v>
      </c>
      <c r="S188" s="146">
        <f t="shared" si="106"/>
        <v>0</v>
      </c>
      <c r="T188" s="37" t="s">
        <v>125</v>
      </c>
      <c r="U188" s="47" t="s">
        <v>349</v>
      </c>
      <c r="V188" s="63">
        <f t="shared" si="107"/>
        <v>6.2664411871606829</v>
      </c>
      <c r="W188" s="368">
        <f t="shared" si="108"/>
        <v>0</v>
      </c>
      <c r="X188" s="37" t="s">
        <v>125</v>
      </c>
      <c r="Y188" s="47" t="s">
        <v>349</v>
      </c>
      <c r="Z188" s="63">
        <f t="shared" si="109"/>
        <v>6.2664411871606829</v>
      </c>
      <c r="AA188" s="146">
        <f t="shared" si="110"/>
        <v>0</v>
      </c>
      <c r="AB188" s="37" t="s">
        <v>411</v>
      </c>
      <c r="AC188" s="47" t="s">
        <v>3</v>
      </c>
      <c r="AD188" s="150">
        <f t="shared" si="111"/>
        <v>1.9221853757639424</v>
      </c>
      <c r="AE188" s="146">
        <f t="shared" si="112"/>
        <v>0</v>
      </c>
      <c r="AF188" s="368">
        <f t="shared" si="113"/>
        <v>0</v>
      </c>
      <c r="AG188" s="142"/>
      <c r="AH188" s="318"/>
      <c r="AI188" s="324">
        <f t="shared" si="114"/>
        <v>0</v>
      </c>
      <c r="AJ188" s="37" t="s">
        <v>125</v>
      </c>
      <c r="AK188" s="47" t="s">
        <v>348</v>
      </c>
      <c r="AL188" s="162">
        <f t="shared" si="115"/>
        <v>4.8064250364478198</v>
      </c>
      <c r="AM188" s="16">
        <f t="shared" si="116"/>
        <v>0</v>
      </c>
      <c r="AN188" s="316"/>
      <c r="AO188" s="195" t="s">
        <v>48</v>
      </c>
      <c r="AP188" s="1096" t="str">
        <f>IF(AO188=Lists!$B$18,"N/A",VLOOKUP(AO188,Lists!$B$18:$C$26,Lists!$C$3,FALSE))</f>
        <v>N/A</v>
      </c>
      <c r="AQ188" s="63">
        <f>IF(AO188=Lists!$B$18,0,VLOOKUP(AP188,Amend_TOV,TOV!$F$1,FALSE))</f>
        <v>0</v>
      </c>
      <c r="AR188" s="370"/>
      <c r="AS188" s="316"/>
      <c r="AT188" s="98" t="s">
        <v>48</v>
      </c>
      <c r="AU188" s="99"/>
      <c r="AV188" s="1096" t="str">
        <f>IF(AT188=Lists!$B$18,"N/A",VLOOKUP(AT188,Lists!$B$18:$C$26,Lists!$C$3,FALSE))</f>
        <v>N/A</v>
      </c>
      <c r="AW188" s="369">
        <f>IF(AT188=Lists!$B$18,0,VLOOKUP(AV188,Amend_TOV,TOV!$F$1,FALSE))</f>
        <v>0</v>
      </c>
      <c r="AX188" s="117"/>
      <c r="AY188" s="316"/>
      <c r="AZ188" s="195" t="s">
        <v>48</v>
      </c>
      <c r="BA188" s="1096" t="str">
        <f>IF(AZ188=Lists!$B$18,"N/A",VLOOKUP(AZ188,Lists!$B$18:$C$26,Lists!$C$3,FALSE))</f>
        <v>N/A</v>
      </c>
      <c r="BB188" s="63">
        <f>IF(AZ188=Lists!$B$18,0,VLOOKUP(BA188,Amend_TOV,TOV!$F$1,FALSE))</f>
        <v>0</v>
      </c>
      <c r="BC188" s="370"/>
      <c r="BD188" s="351">
        <f t="shared" si="117"/>
        <v>0</v>
      </c>
      <c r="BE188" s="316">
        <f t="shared" si="118"/>
        <v>0</v>
      </c>
      <c r="BF188" s="66">
        <v>1</v>
      </c>
      <c r="BG188" s="66"/>
      <c r="BH188" s="67">
        <f t="shared" si="122"/>
        <v>0</v>
      </c>
      <c r="BI188" s="16" t="str">
        <f t="shared" si="123"/>
        <v>No Alert</v>
      </c>
      <c r="BJ188" s="351">
        <f t="shared" si="124"/>
        <v>0</v>
      </c>
      <c r="BK188" s="351">
        <f t="shared" si="125"/>
        <v>0</v>
      </c>
      <c r="BL188" s="264">
        <f t="shared" si="119"/>
        <v>0</v>
      </c>
      <c r="BM188" s="803">
        <f t="shared" si="126"/>
        <v>0</v>
      </c>
      <c r="BN188" s="215"/>
      <c r="BO188" s="217"/>
      <c r="BP188" s="217"/>
      <c r="BQ188" s="217"/>
      <c r="BR188" s="217"/>
      <c r="BS188" s="217"/>
      <c r="BT188" s="217"/>
      <c r="BU188" s="218"/>
      <c r="CF188" s="475"/>
      <c r="CG188" s="475"/>
      <c r="CH188" s="475"/>
      <c r="CI188" s="475"/>
      <c r="CJ188" s="475"/>
      <c r="CK188" s="475"/>
      <c r="CL188" s="475"/>
      <c r="CM188" s="475"/>
      <c r="CN188" s="475"/>
      <c r="CX188" s="474"/>
      <c r="CY188" s="474"/>
      <c r="CZ188" s="474"/>
      <c r="DA188" s="474"/>
      <c r="DB188" s="474"/>
      <c r="DC188" s="474"/>
      <c r="DD188" s="474"/>
      <c r="DE188" s="474"/>
      <c r="DF188" s="474"/>
    </row>
    <row r="189" spans="2:110" ht="15">
      <c r="B189" s="616" t="str">
        <f t="shared" si="100"/>
        <v/>
      </c>
      <c r="C189" s="989">
        <v>14</v>
      </c>
      <c r="D189" s="750" t="str">
        <f t="shared" si="101"/>
        <v>Pit 14</v>
      </c>
      <c r="E189" s="136"/>
      <c r="F189" s="136"/>
      <c r="G189" s="316"/>
      <c r="H189" s="42"/>
      <c r="I189" s="324">
        <f t="shared" si="120"/>
        <v>0</v>
      </c>
      <c r="J189" s="324">
        <f t="shared" si="102"/>
        <v>0</v>
      </c>
      <c r="K189" s="324">
        <f t="shared" si="121"/>
        <v>0</v>
      </c>
      <c r="L189" s="136"/>
      <c r="M189" s="135">
        <f t="shared" si="103"/>
        <v>0.5</v>
      </c>
      <c r="N189" s="316"/>
      <c r="O189" s="324">
        <f t="shared" si="104"/>
        <v>0</v>
      </c>
      <c r="P189" s="37" t="s">
        <v>411</v>
      </c>
      <c r="Q189" s="47" t="s">
        <v>3</v>
      </c>
      <c r="R189" s="150">
        <f t="shared" si="105"/>
        <v>1.9221853757639424</v>
      </c>
      <c r="S189" s="146">
        <f t="shared" si="106"/>
        <v>0</v>
      </c>
      <c r="T189" s="37" t="s">
        <v>125</v>
      </c>
      <c r="U189" s="47" t="s">
        <v>349</v>
      </c>
      <c r="V189" s="63">
        <f t="shared" si="107"/>
        <v>6.2664411871606829</v>
      </c>
      <c r="W189" s="368">
        <f t="shared" si="108"/>
        <v>0</v>
      </c>
      <c r="X189" s="37" t="s">
        <v>125</v>
      </c>
      <c r="Y189" s="47" t="s">
        <v>349</v>
      </c>
      <c r="Z189" s="63">
        <f t="shared" si="109"/>
        <v>6.2664411871606829</v>
      </c>
      <c r="AA189" s="146">
        <f t="shared" si="110"/>
        <v>0</v>
      </c>
      <c r="AB189" s="37" t="s">
        <v>411</v>
      </c>
      <c r="AC189" s="47" t="s">
        <v>3</v>
      </c>
      <c r="AD189" s="150">
        <f t="shared" si="111"/>
        <v>1.9221853757639424</v>
      </c>
      <c r="AE189" s="146">
        <f t="shared" si="112"/>
        <v>0</v>
      </c>
      <c r="AF189" s="368">
        <f t="shared" si="113"/>
        <v>0</v>
      </c>
      <c r="AG189" s="142"/>
      <c r="AH189" s="318"/>
      <c r="AI189" s="324">
        <f t="shared" si="114"/>
        <v>0</v>
      </c>
      <c r="AJ189" s="37" t="s">
        <v>125</v>
      </c>
      <c r="AK189" s="47" t="s">
        <v>348</v>
      </c>
      <c r="AL189" s="162">
        <f t="shared" si="115"/>
        <v>4.8064250364478198</v>
      </c>
      <c r="AM189" s="16">
        <f t="shared" si="116"/>
        <v>0</v>
      </c>
      <c r="AN189" s="316"/>
      <c r="AO189" s="195" t="s">
        <v>48</v>
      </c>
      <c r="AP189" s="1096" t="str">
        <f>IF(AO189=Lists!$B$18,"N/A",VLOOKUP(AO189,Lists!$B$18:$C$26,Lists!$C$3,FALSE))</f>
        <v>N/A</v>
      </c>
      <c r="AQ189" s="63">
        <f>IF(AO189=Lists!$B$18,0,VLOOKUP(AP189,Amend_TOV,TOV!$F$1,FALSE))</f>
        <v>0</v>
      </c>
      <c r="AR189" s="370"/>
      <c r="AS189" s="316"/>
      <c r="AT189" s="98" t="s">
        <v>48</v>
      </c>
      <c r="AU189" s="99"/>
      <c r="AV189" s="1096" t="str">
        <f>IF(AT189=Lists!$B$18,"N/A",VLOOKUP(AT189,Lists!$B$18:$C$26,Lists!$C$3,FALSE))</f>
        <v>N/A</v>
      </c>
      <c r="AW189" s="369">
        <f>IF(AT189=Lists!$B$18,0,VLOOKUP(AV189,Amend_TOV,TOV!$F$1,FALSE))</f>
        <v>0</v>
      </c>
      <c r="AX189" s="117"/>
      <c r="AY189" s="316"/>
      <c r="AZ189" s="195" t="s">
        <v>48</v>
      </c>
      <c r="BA189" s="1096" t="str">
        <f>IF(AZ189=Lists!$B$18,"N/A",VLOOKUP(AZ189,Lists!$B$18:$C$26,Lists!$C$3,FALSE))</f>
        <v>N/A</v>
      </c>
      <c r="BB189" s="63">
        <f>IF(AZ189=Lists!$B$18,0,VLOOKUP(BA189,Amend_TOV,TOV!$F$1,FALSE))</f>
        <v>0</v>
      </c>
      <c r="BC189" s="370"/>
      <c r="BD189" s="351">
        <f t="shared" si="117"/>
        <v>0</v>
      </c>
      <c r="BE189" s="316">
        <f t="shared" si="118"/>
        <v>0</v>
      </c>
      <c r="BF189" s="66">
        <v>1</v>
      </c>
      <c r="BG189" s="66"/>
      <c r="BH189" s="67">
        <f t="shared" si="122"/>
        <v>0</v>
      </c>
      <c r="BI189" s="16" t="str">
        <f t="shared" si="123"/>
        <v>No Alert</v>
      </c>
      <c r="BJ189" s="351">
        <f t="shared" si="124"/>
        <v>0</v>
      </c>
      <c r="BK189" s="351">
        <f t="shared" si="125"/>
        <v>0</v>
      </c>
      <c r="BL189" s="264">
        <f t="shared" si="119"/>
        <v>0</v>
      </c>
      <c r="BM189" s="803">
        <f t="shared" si="126"/>
        <v>0</v>
      </c>
      <c r="BN189" s="215"/>
      <c r="BO189" s="217"/>
      <c r="BP189" s="217"/>
      <c r="BQ189" s="217"/>
      <c r="BR189" s="217"/>
      <c r="BS189" s="217"/>
      <c r="BT189" s="217"/>
      <c r="BU189" s="218"/>
      <c r="CF189" s="475"/>
      <c r="CG189" s="475"/>
      <c r="CH189" s="475"/>
      <c r="CI189" s="475"/>
      <c r="CJ189" s="475"/>
      <c r="CK189" s="475"/>
      <c r="CL189" s="475"/>
      <c r="CM189" s="475"/>
      <c r="CN189" s="475"/>
      <c r="CX189" s="474"/>
      <c r="CY189" s="474"/>
      <c r="CZ189" s="474"/>
      <c r="DA189" s="474"/>
      <c r="DB189" s="474"/>
      <c r="DC189" s="474"/>
      <c r="DD189" s="474"/>
      <c r="DE189" s="474"/>
      <c r="DF189" s="474"/>
    </row>
    <row r="190" spans="2:110" ht="15">
      <c r="B190" s="616" t="str">
        <f t="shared" si="100"/>
        <v/>
      </c>
      <c r="C190" s="989">
        <v>15</v>
      </c>
      <c r="D190" s="750" t="str">
        <f t="shared" si="101"/>
        <v>Pit 15</v>
      </c>
      <c r="E190" s="136"/>
      <c r="F190" s="136"/>
      <c r="G190" s="316"/>
      <c r="H190" s="42"/>
      <c r="I190" s="324">
        <f t="shared" si="120"/>
        <v>0</v>
      </c>
      <c r="J190" s="324">
        <f t="shared" si="102"/>
        <v>0</v>
      </c>
      <c r="K190" s="324">
        <f t="shared" si="121"/>
        <v>0</v>
      </c>
      <c r="L190" s="136"/>
      <c r="M190" s="135">
        <f t="shared" si="103"/>
        <v>0.5</v>
      </c>
      <c r="N190" s="316"/>
      <c r="O190" s="324">
        <f t="shared" si="104"/>
        <v>0</v>
      </c>
      <c r="P190" s="37" t="s">
        <v>411</v>
      </c>
      <c r="Q190" s="47" t="s">
        <v>3</v>
      </c>
      <c r="R190" s="150">
        <f t="shared" si="105"/>
        <v>1.9221853757639424</v>
      </c>
      <c r="S190" s="146">
        <f t="shared" si="106"/>
        <v>0</v>
      </c>
      <c r="T190" s="37" t="s">
        <v>125</v>
      </c>
      <c r="U190" s="47" t="s">
        <v>349</v>
      </c>
      <c r="V190" s="63">
        <f t="shared" si="107"/>
        <v>6.2664411871606829</v>
      </c>
      <c r="W190" s="368">
        <f t="shared" si="108"/>
        <v>0</v>
      </c>
      <c r="X190" s="37" t="s">
        <v>125</v>
      </c>
      <c r="Y190" s="47" t="s">
        <v>349</v>
      </c>
      <c r="Z190" s="63">
        <f t="shared" si="109"/>
        <v>6.2664411871606829</v>
      </c>
      <c r="AA190" s="146">
        <f t="shared" si="110"/>
        <v>0</v>
      </c>
      <c r="AB190" s="37" t="s">
        <v>411</v>
      </c>
      <c r="AC190" s="47" t="s">
        <v>3</v>
      </c>
      <c r="AD190" s="150">
        <f t="shared" si="111"/>
        <v>1.9221853757639424</v>
      </c>
      <c r="AE190" s="146">
        <f t="shared" si="112"/>
        <v>0</v>
      </c>
      <c r="AF190" s="368">
        <f t="shared" si="113"/>
        <v>0</v>
      </c>
      <c r="AG190" s="142"/>
      <c r="AH190" s="318"/>
      <c r="AI190" s="324">
        <f t="shared" si="114"/>
        <v>0</v>
      </c>
      <c r="AJ190" s="37" t="s">
        <v>125</v>
      </c>
      <c r="AK190" s="47" t="s">
        <v>348</v>
      </c>
      <c r="AL190" s="162">
        <f t="shared" si="115"/>
        <v>4.8064250364478198</v>
      </c>
      <c r="AM190" s="16">
        <f t="shared" si="116"/>
        <v>0</v>
      </c>
      <c r="AN190" s="316"/>
      <c r="AO190" s="195" t="s">
        <v>48</v>
      </c>
      <c r="AP190" s="1096" t="str">
        <f>IF(AO190=Lists!$B$18,"N/A",VLOOKUP(AO190,Lists!$B$18:$C$26,Lists!$C$3,FALSE))</f>
        <v>N/A</v>
      </c>
      <c r="AQ190" s="63">
        <f>IF(AO190=Lists!$B$18,0,VLOOKUP(AP190,Amend_TOV,TOV!$F$1,FALSE))</f>
        <v>0</v>
      </c>
      <c r="AR190" s="370"/>
      <c r="AS190" s="316"/>
      <c r="AT190" s="98" t="s">
        <v>48</v>
      </c>
      <c r="AU190" s="99"/>
      <c r="AV190" s="1096" t="str">
        <f>IF(AT190=Lists!$B$18,"N/A",VLOOKUP(AT190,Lists!$B$18:$C$26,Lists!$C$3,FALSE))</f>
        <v>N/A</v>
      </c>
      <c r="AW190" s="369">
        <f>IF(AT190=Lists!$B$18,0,VLOOKUP(AV190,Amend_TOV,TOV!$F$1,FALSE))</f>
        <v>0</v>
      </c>
      <c r="AX190" s="117"/>
      <c r="AY190" s="316"/>
      <c r="AZ190" s="195" t="s">
        <v>48</v>
      </c>
      <c r="BA190" s="1096" t="str">
        <f>IF(AZ190=Lists!$B$18,"N/A",VLOOKUP(AZ190,Lists!$B$18:$C$26,Lists!$C$3,FALSE))</f>
        <v>N/A</v>
      </c>
      <c r="BB190" s="63">
        <f>IF(AZ190=Lists!$B$18,0,VLOOKUP(BA190,Amend_TOV,TOV!$F$1,FALSE))</f>
        <v>0</v>
      </c>
      <c r="BC190" s="370"/>
      <c r="BD190" s="351">
        <f t="shared" si="117"/>
        <v>0</v>
      </c>
      <c r="BE190" s="316">
        <f t="shared" si="118"/>
        <v>0</v>
      </c>
      <c r="BF190" s="66">
        <v>1</v>
      </c>
      <c r="BG190" s="66"/>
      <c r="BH190" s="67">
        <f t="shared" si="122"/>
        <v>0</v>
      </c>
      <c r="BI190" s="16" t="str">
        <f t="shared" si="123"/>
        <v>No Alert</v>
      </c>
      <c r="BJ190" s="351">
        <f t="shared" si="124"/>
        <v>0</v>
      </c>
      <c r="BK190" s="351">
        <f t="shared" si="125"/>
        <v>0</v>
      </c>
      <c r="BL190" s="264">
        <f t="shared" si="119"/>
        <v>0</v>
      </c>
      <c r="BM190" s="803">
        <f t="shared" si="126"/>
        <v>0</v>
      </c>
      <c r="BN190" s="215"/>
      <c r="BO190" s="217"/>
      <c r="BP190" s="217"/>
      <c r="BQ190" s="217"/>
      <c r="BR190" s="217"/>
      <c r="BS190" s="217"/>
      <c r="BT190" s="217"/>
      <c r="BU190" s="218"/>
      <c r="CF190" s="475"/>
      <c r="CG190" s="475"/>
      <c r="CH190" s="475"/>
      <c r="CI190" s="475"/>
      <c r="CJ190" s="475"/>
      <c r="CK190" s="475"/>
      <c r="CL190" s="475"/>
      <c r="CM190" s="475"/>
      <c r="CN190" s="475"/>
      <c r="CX190" s="474"/>
      <c r="CY190" s="474"/>
      <c r="CZ190" s="474"/>
      <c r="DA190" s="474"/>
      <c r="DB190" s="474"/>
      <c r="DC190" s="474"/>
      <c r="DD190" s="474"/>
      <c r="DE190" s="474"/>
      <c r="DF190" s="474"/>
    </row>
    <row r="191" spans="2:110" ht="15">
      <c r="B191" s="616" t="str">
        <f t="shared" si="100"/>
        <v/>
      </c>
      <c r="C191" s="989">
        <v>16</v>
      </c>
      <c r="D191" s="750" t="str">
        <f t="shared" si="101"/>
        <v>Pit 16</v>
      </c>
      <c r="E191" s="136"/>
      <c r="F191" s="136"/>
      <c r="G191" s="316"/>
      <c r="H191" s="42"/>
      <c r="I191" s="324">
        <f t="shared" si="120"/>
        <v>0</v>
      </c>
      <c r="J191" s="324">
        <f t="shared" si="102"/>
        <v>0</v>
      </c>
      <c r="K191" s="324">
        <f t="shared" si="121"/>
        <v>0</v>
      </c>
      <c r="L191" s="136"/>
      <c r="M191" s="135">
        <f t="shared" si="103"/>
        <v>0.5</v>
      </c>
      <c r="N191" s="316"/>
      <c r="O191" s="324">
        <f t="shared" si="104"/>
        <v>0</v>
      </c>
      <c r="P191" s="37" t="s">
        <v>411</v>
      </c>
      <c r="Q191" s="47" t="s">
        <v>3</v>
      </c>
      <c r="R191" s="150">
        <f t="shared" si="105"/>
        <v>1.9221853757639424</v>
      </c>
      <c r="S191" s="146">
        <f t="shared" si="106"/>
        <v>0</v>
      </c>
      <c r="T191" s="37" t="s">
        <v>125</v>
      </c>
      <c r="U191" s="47" t="s">
        <v>349</v>
      </c>
      <c r="V191" s="63">
        <f t="shared" si="107"/>
        <v>6.2664411871606829</v>
      </c>
      <c r="W191" s="368">
        <f t="shared" si="108"/>
        <v>0</v>
      </c>
      <c r="X191" s="37" t="s">
        <v>125</v>
      </c>
      <c r="Y191" s="47" t="s">
        <v>349</v>
      </c>
      <c r="Z191" s="63">
        <f t="shared" si="109"/>
        <v>6.2664411871606829</v>
      </c>
      <c r="AA191" s="146">
        <f t="shared" si="110"/>
        <v>0</v>
      </c>
      <c r="AB191" s="37" t="s">
        <v>411</v>
      </c>
      <c r="AC191" s="47" t="s">
        <v>3</v>
      </c>
      <c r="AD191" s="150">
        <f t="shared" si="111"/>
        <v>1.9221853757639424</v>
      </c>
      <c r="AE191" s="146">
        <f t="shared" si="112"/>
        <v>0</v>
      </c>
      <c r="AF191" s="368">
        <f t="shared" si="113"/>
        <v>0</v>
      </c>
      <c r="AG191" s="142"/>
      <c r="AH191" s="318"/>
      <c r="AI191" s="324">
        <f t="shared" si="114"/>
        <v>0</v>
      </c>
      <c r="AJ191" s="37" t="s">
        <v>125</v>
      </c>
      <c r="AK191" s="47" t="s">
        <v>348</v>
      </c>
      <c r="AL191" s="162">
        <f t="shared" si="115"/>
        <v>4.8064250364478198</v>
      </c>
      <c r="AM191" s="16">
        <f t="shared" si="116"/>
        <v>0</v>
      </c>
      <c r="AN191" s="316"/>
      <c r="AO191" s="195" t="s">
        <v>48</v>
      </c>
      <c r="AP191" s="1096" t="str">
        <f>IF(AO191=Lists!$B$18,"N/A",VLOOKUP(AO191,Lists!$B$18:$C$26,Lists!$C$3,FALSE))</f>
        <v>N/A</v>
      </c>
      <c r="AQ191" s="63">
        <f>IF(AO191=Lists!$B$18,0,VLOOKUP(AP191,Amend_TOV,TOV!$F$1,FALSE))</f>
        <v>0</v>
      </c>
      <c r="AR191" s="370"/>
      <c r="AS191" s="316"/>
      <c r="AT191" s="98" t="s">
        <v>48</v>
      </c>
      <c r="AU191" s="99"/>
      <c r="AV191" s="1096" t="str">
        <f>IF(AT191=Lists!$B$18,"N/A",VLOOKUP(AT191,Lists!$B$18:$C$26,Lists!$C$3,FALSE))</f>
        <v>N/A</v>
      </c>
      <c r="AW191" s="369">
        <f>IF(AT191=Lists!$B$18,0,VLOOKUP(AV191,Amend_TOV,TOV!$F$1,FALSE))</f>
        <v>0</v>
      </c>
      <c r="AX191" s="117"/>
      <c r="AY191" s="316"/>
      <c r="AZ191" s="195" t="s">
        <v>48</v>
      </c>
      <c r="BA191" s="1096" t="str">
        <f>IF(AZ191=Lists!$B$18,"N/A",VLOOKUP(AZ191,Lists!$B$18:$C$26,Lists!$C$3,FALSE))</f>
        <v>N/A</v>
      </c>
      <c r="BB191" s="63">
        <f>IF(AZ191=Lists!$B$18,0,VLOOKUP(BA191,Amend_TOV,TOV!$F$1,FALSE))</f>
        <v>0</v>
      </c>
      <c r="BC191" s="370"/>
      <c r="BD191" s="351">
        <f t="shared" si="117"/>
        <v>0</v>
      </c>
      <c r="BE191" s="316">
        <f t="shared" si="118"/>
        <v>0</v>
      </c>
      <c r="BF191" s="66">
        <v>1</v>
      </c>
      <c r="BG191" s="66"/>
      <c r="BH191" s="67">
        <f t="shared" si="122"/>
        <v>0</v>
      </c>
      <c r="BI191" s="16" t="str">
        <f t="shared" si="123"/>
        <v>No Alert</v>
      </c>
      <c r="BJ191" s="351">
        <f t="shared" si="124"/>
        <v>0</v>
      </c>
      <c r="BK191" s="351">
        <f t="shared" si="125"/>
        <v>0</v>
      </c>
      <c r="BL191" s="264">
        <f t="shared" si="119"/>
        <v>0</v>
      </c>
      <c r="BM191" s="803">
        <f t="shared" si="126"/>
        <v>0</v>
      </c>
      <c r="BN191" s="215"/>
      <c r="BO191" s="217"/>
      <c r="BP191" s="217"/>
      <c r="BQ191" s="217"/>
      <c r="BR191" s="217"/>
      <c r="BS191" s="217"/>
      <c r="BT191" s="217"/>
      <c r="BU191" s="218"/>
      <c r="CF191" s="475"/>
      <c r="CG191" s="475"/>
      <c r="CH191" s="475"/>
      <c r="CI191" s="475"/>
      <c r="CJ191" s="475"/>
      <c r="CK191" s="475"/>
      <c r="CL191" s="475"/>
      <c r="CM191" s="475"/>
      <c r="CN191" s="475"/>
      <c r="CX191" s="474"/>
      <c r="CY191" s="474"/>
      <c r="CZ191" s="474"/>
      <c r="DA191" s="474"/>
      <c r="DB191" s="474"/>
      <c r="DC191" s="474"/>
      <c r="DD191" s="474"/>
      <c r="DE191" s="474"/>
      <c r="DF191" s="474"/>
    </row>
    <row r="192" spans="2:110" ht="15">
      <c r="B192" s="616" t="str">
        <f t="shared" si="100"/>
        <v/>
      </c>
      <c r="C192" s="989">
        <v>17</v>
      </c>
      <c r="D192" s="750" t="str">
        <f t="shared" si="101"/>
        <v>Pit 17</v>
      </c>
      <c r="E192" s="136"/>
      <c r="F192" s="136"/>
      <c r="G192" s="316"/>
      <c r="H192" s="42"/>
      <c r="I192" s="324">
        <f t="shared" si="120"/>
        <v>0</v>
      </c>
      <c r="J192" s="324">
        <f t="shared" si="102"/>
        <v>0</v>
      </c>
      <c r="K192" s="324">
        <f t="shared" si="121"/>
        <v>0</v>
      </c>
      <c r="L192" s="136"/>
      <c r="M192" s="135">
        <f t="shared" si="103"/>
        <v>0.5</v>
      </c>
      <c r="N192" s="316"/>
      <c r="O192" s="324">
        <f t="shared" si="104"/>
        <v>0</v>
      </c>
      <c r="P192" s="37" t="s">
        <v>411</v>
      </c>
      <c r="Q192" s="47" t="s">
        <v>3</v>
      </c>
      <c r="R192" s="150">
        <f t="shared" si="105"/>
        <v>1.9221853757639424</v>
      </c>
      <c r="S192" s="146">
        <f t="shared" si="106"/>
        <v>0</v>
      </c>
      <c r="T192" s="37" t="s">
        <v>125</v>
      </c>
      <c r="U192" s="47" t="s">
        <v>349</v>
      </c>
      <c r="V192" s="63">
        <f t="shared" si="107"/>
        <v>6.2664411871606829</v>
      </c>
      <c r="W192" s="368">
        <f t="shared" si="108"/>
        <v>0</v>
      </c>
      <c r="X192" s="37" t="s">
        <v>125</v>
      </c>
      <c r="Y192" s="47" t="s">
        <v>349</v>
      </c>
      <c r="Z192" s="63">
        <f t="shared" si="109"/>
        <v>6.2664411871606829</v>
      </c>
      <c r="AA192" s="146">
        <f t="shared" si="110"/>
        <v>0</v>
      </c>
      <c r="AB192" s="37" t="s">
        <v>411</v>
      </c>
      <c r="AC192" s="47" t="s">
        <v>3</v>
      </c>
      <c r="AD192" s="150">
        <f t="shared" si="111"/>
        <v>1.9221853757639424</v>
      </c>
      <c r="AE192" s="146">
        <f t="shared" si="112"/>
        <v>0</v>
      </c>
      <c r="AF192" s="368">
        <f t="shared" si="113"/>
        <v>0</v>
      </c>
      <c r="AG192" s="142"/>
      <c r="AH192" s="318"/>
      <c r="AI192" s="324">
        <f t="shared" si="114"/>
        <v>0</v>
      </c>
      <c r="AJ192" s="37" t="s">
        <v>125</v>
      </c>
      <c r="AK192" s="47" t="s">
        <v>348</v>
      </c>
      <c r="AL192" s="162">
        <f t="shared" si="115"/>
        <v>4.8064250364478198</v>
      </c>
      <c r="AM192" s="16">
        <f t="shared" si="116"/>
        <v>0</v>
      </c>
      <c r="AN192" s="316"/>
      <c r="AO192" s="195" t="s">
        <v>48</v>
      </c>
      <c r="AP192" s="1096" t="str">
        <f>IF(AO192=Lists!$B$18,"N/A",VLOOKUP(AO192,Lists!$B$18:$C$26,Lists!$C$3,FALSE))</f>
        <v>N/A</v>
      </c>
      <c r="AQ192" s="63">
        <f>IF(AO192=Lists!$B$18,0,VLOOKUP(AP192,Amend_TOV,TOV!$F$1,FALSE))</f>
        <v>0</v>
      </c>
      <c r="AR192" s="370"/>
      <c r="AS192" s="316"/>
      <c r="AT192" s="98" t="s">
        <v>48</v>
      </c>
      <c r="AU192" s="99"/>
      <c r="AV192" s="1096" t="str">
        <f>IF(AT192=Lists!$B$18,"N/A",VLOOKUP(AT192,Lists!$B$18:$C$26,Lists!$C$3,FALSE))</f>
        <v>N/A</v>
      </c>
      <c r="AW192" s="369">
        <f>IF(AT192=Lists!$B$18,0,VLOOKUP(AV192,Amend_TOV,TOV!$F$1,FALSE))</f>
        <v>0</v>
      </c>
      <c r="AX192" s="117"/>
      <c r="AY192" s="316"/>
      <c r="AZ192" s="195" t="s">
        <v>48</v>
      </c>
      <c r="BA192" s="1096" t="str">
        <f>IF(AZ192=Lists!$B$18,"N/A",VLOOKUP(AZ192,Lists!$B$18:$C$26,Lists!$C$3,FALSE))</f>
        <v>N/A</v>
      </c>
      <c r="BB192" s="63">
        <f>IF(AZ192=Lists!$B$18,0,VLOOKUP(BA192,Amend_TOV,TOV!$F$1,FALSE))</f>
        <v>0</v>
      </c>
      <c r="BC192" s="370"/>
      <c r="BD192" s="351">
        <f t="shared" si="117"/>
        <v>0</v>
      </c>
      <c r="BE192" s="316">
        <f t="shared" si="118"/>
        <v>0</v>
      </c>
      <c r="BF192" s="66">
        <v>1</v>
      </c>
      <c r="BG192" s="66"/>
      <c r="BH192" s="67">
        <f t="shared" si="122"/>
        <v>0</v>
      </c>
      <c r="BI192" s="16" t="str">
        <f t="shared" si="123"/>
        <v>No Alert</v>
      </c>
      <c r="BJ192" s="351">
        <f t="shared" si="124"/>
        <v>0</v>
      </c>
      <c r="BK192" s="351">
        <f t="shared" si="125"/>
        <v>0</v>
      </c>
      <c r="BL192" s="264">
        <f t="shared" si="119"/>
        <v>0</v>
      </c>
      <c r="BM192" s="803">
        <f t="shared" si="126"/>
        <v>0</v>
      </c>
      <c r="BN192" s="215"/>
      <c r="BO192" s="217"/>
      <c r="BP192" s="217"/>
      <c r="BQ192" s="217"/>
      <c r="BR192" s="217"/>
      <c r="BS192" s="217"/>
      <c r="BT192" s="217"/>
      <c r="BU192" s="218"/>
      <c r="CF192" s="475"/>
      <c r="CG192" s="475"/>
      <c r="CH192" s="475"/>
      <c r="CI192" s="475"/>
      <c r="CJ192" s="475"/>
      <c r="CK192" s="475"/>
      <c r="CL192" s="475"/>
      <c r="CM192" s="475"/>
      <c r="CN192" s="475"/>
      <c r="CX192" s="474"/>
      <c r="CY192" s="474"/>
      <c r="CZ192" s="474"/>
      <c r="DA192" s="474"/>
      <c r="DB192" s="474"/>
      <c r="DC192" s="474"/>
      <c r="DD192" s="474"/>
      <c r="DE192" s="474"/>
      <c r="DF192" s="474"/>
    </row>
    <row r="193" spans="2:111" ht="15">
      <c r="B193" s="616" t="str">
        <f t="shared" si="100"/>
        <v/>
      </c>
      <c r="C193" s="989">
        <v>18</v>
      </c>
      <c r="D193" s="750" t="str">
        <f t="shared" si="101"/>
        <v>Pit 18</v>
      </c>
      <c r="E193" s="136"/>
      <c r="F193" s="136"/>
      <c r="G193" s="316"/>
      <c r="H193" s="42"/>
      <c r="I193" s="324">
        <f t="shared" si="120"/>
        <v>0</v>
      </c>
      <c r="J193" s="324">
        <f t="shared" si="102"/>
        <v>0</v>
      </c>
      <c r="K193" s="324">
        <f t="shared" si="121"/>
        <v>0</v>
      </c>
      <c r="L193" s="136"/>
      <c r="M193" s="135">
        <f t="shared" si="103"/>
        <v>0.5</v>
      </c>
      <c r="N193" s="316"/>
      <c r="O193" s="324">
        <f t="shared" si="104"/>
        <v>0</v>
      </c>
      <c r="P193" s="37" t="s">
        <v>411</v>
      </c>
      <c r="Q193" s="47" t="s">
        <v>3</v>
      </c>
      <c r="R193" s="150">
        <f t="shared" si="105"/>
        <v>1.9221853757639424</v>
      </c>
      <c r="S193" s="146">
        <f t="shared" si="106"/>
        <v>0</v>
      </c>
      <c r="T193" s="37" t="s">
        <v>125</v>
      </c>
      <c r="U193" s="47" t="s">
        <v>349</v>
      </c>
      <c r="V193" s="63">
        <f t="shared" si="107"/>
        <v>6.2664411871606829</v>
      </c>
      <c r="W193" s="368">
        <f t="shared" si="108"/>
        <v>0</v>
      </c>
      <c r="X193" s="37" t="s">
        <v>125</v>
      </c>
      <c r="Y193" s="47" t="s">
        <v>349</v>
      </c>
      <c r="Z193" s="63">
        <f t="shared" si="109"/>
        <v>6.2664411871606829</v>
      </c>
      <c r="AA193" s="146">
        <f t="shared" si="110"/>
        <v>0</v>
      </c>
      <c r="AB193" s="37" t="s">
        <v>411</v>
      </c>
      <c r="AC193" s="47" t="s">
        <v>3</v>
      </c>
      <c r="AD193" s="150">
        <f t="shared" si="111"/>
        <v>1.9221853757639424</v>
      </c>
      <c r="AE193" s="146">
        <f t="shared" si="112"/>
        <v>0</v>
      </c>
      <c r="AF193" s="368">
        <f t="shared" si="113"/>
        <v>0</v>
      </c>
      <c r="AG193" s="142"/>
      <c r="AH193" s="318"/>
      <c r="AI193" s="324">
        <f t="shared" si="114"/>
        <v>0</v>
      </c>
      <c r="AJ193" s="37" t="s">
        <v>125</v>
      </c>
      <c r="AK193" s="47" t="s">
        <v>348</v>
      </c>
      <c r="AL193" s="162">
        <f t="shared" si="115"/>
        <v>4.8064250364478198</v>
      </c>
      <c r="AM193" s="16">
        <f t="shared" si="116"/>
        <v>0</v>
      </c>
      <c r="AN193" s="316"/>
      <c r="AO193" s="195" t="s">
        <v>48</v>
      </c>
      <c r="AP193" s="1096" t="str">
        <f>IF(AO193=Lists!$B$18,"N/A",VLOOKUP(AO193,Lists!$B$18:$C$26,Lists!$C$3,FALSE))</f>
        <v>N/A</v>
      </c>
      <c r="AQ193" s="63">
        <f>IF(AO193=Lists!$B$18,0,VLOOKUP(AP193,Amend_TOV,TOV!$F$1,FALSE))</f>
        <v>0</v>
      </c>
      <c r="AR193" s="370"/>
      <c r="AS193" s="316"/>
      <c r="AT193" s="98" t="s">
        <v>48</v>
      </c>
      <c r="AU193" s="99"/>
      <c r="AV193" s="1096" t="str">
        <f>IF(AT193=Lists!$B$18,"N/A",VLOOKUP(AT193,Lists!$B$18:$C$26,Lists!$C$3,FALSE))</f>
        <v>N/A</v>
      </c>
      <c r="AW193" s="369">
        <f>IF(AT193=Lists!$B$18,0,VLOOKUP(AV193,Amend_TOV,TOV!$F$1,FALSE))</f>
        <v>0</v>
      </c>
      <c r="AX193" s="117"/>
      <c r="AY193" s="316"/>
      <c r="AZ193" s="195" t="s">
        <v>48</v>
      </c>
      <c r="BA193" s="1096" t="str">
        <f>IF(AZ193=Lists!$B$18,"N/A",VLOOKUP(AZ193,Lists!$B$18:$C$26,Lists!$C$3,FALSE))</f>
        <v>N/A</v>
      </c>
      <c r="BB193" s="63">
        <f>IF(AZ193=Lists!$B$18,0,VLOOKUP(BA193,Amend_TOV,TOV!$F$1,FALSE))</f>
        <v>0</v>
      </c>
      <c r="BC193" s="370"/>
      <c r="BD193" s="351">
        <f t="shared" si="117"/>
        <v>0</v>
      </c>
      <c r="BE193" s="316">
        <f t="shared" si="118"/>
        <v>0</v>
      </c>
      <c r="BF193" s="66">
        <v>1</v>
      </c>
      <c r="BG193" s="66"/>
      <c r="BH193" s="67">
        <f t="shared" si="122"/>
        <v>0</v>
      </c>
      <c r="BI193" s="16" t="str">
        <f t="shared" si="123"/>
        <v>No Alert</v>
      </c>
      <c r="BJ193" s="351">
        <f t="shared" si="124"/>
        <v>0</v>
      </c>
      <c r="BK193" s="351">
        <f t="shared" si="125"/>
        <v>0</v>
      </c>
      <c r="BL193" s="264">
        <f t="shared" si="119"/>
        <v>0</v>
      </c>
      <c r="BM193" s="803">
        <f t="shared" si="126"/>
        <v>0</v>
      </c>
      <c r="BN193" s="215"/>
      <c r="BO193" s="217"/>
      <c r="BP193" s="217"/>
      <c r="BQ193" s="217"/>
      <c r="BR193" s="217"/>
      <c r="BS193" s="217"/>
      <c r="BT193" s="217"/>
      <c r="BU193" s="218"/>
      <c r="CF193" s="475"/>
      <c r="CG193" s="475"/>
      <c r="CH193" s="475"/>
      <c r="CI193" s="475"/>
      <c r="CJ193" s="475"/>
      <c r="CK193" s="475"/>
      <c r="CL193" s="475"/>
      <c r="CM193" s="475"/>
      <c r="CN193" s="475"/>
      <c r="CX193" s="474"/>
      <c r="CY193" s="474"/>
      <c r="CZ193" s="474"/>
      <c r="DA193" s="474"/>
      <c r="DB193" s="474"/>
      <c r="DC193" s="474"/>
      <c r="DD193" s="474"/>
      <c r="DE193" s="474"/>
      <c r="DF193" s="474"/>
    </row>
    <row r="194" spans="2:111" ht="15">
      <c r="B194" s="616" t="str">
        <f t="shared" si="100"/>
        <v/>
      </c>
      <c r="C194" s="989">
        <v>19</v>
      </c>
      <c r="D194" s="750" t="str">
        <f t="shared" si="101"/>
        <v>Pit 19</v>
      </c>
      <c r="E194" s="136"/>
      <c r="F194" s="136"/>
      <c r="G194" s="316"/>
      <c r="H194" s="42"/>
      <c r="I194" s="324">
        <f t="shared" si="120"/>
        <v>0</v>
      </c>
      <c r="J194" s="324">
        <f t="shared" si="102"/>
        <v>0</v>
      </c>
      <c r="K194" s="324">
        <f t="shared" si="121"/>
        <v>0</v>
      </c>
      <c r="L194" s="136"/>
      <c r="M194" s="135">
        <f t="shared" si="103"/>
        <v>0.5</v>
      </c>
      <c r="N194" s="316"/>
      <c r="O194" s="324">
        <f t="shared" si="104"/>
        <v>0</v>
      </c>
      <c r="P194" s="37" t="s">
        <v>411</v>
      </c>
      <c r="Q194" s="47" t="s">
        <v>3</v>
      </c>
      <c r="R194" s="150">
        <f t="shared" si="105"/>
        <v>1.9221853757639424</v>
      </c>
      <c r="S194" s="146">
        <f t="shared" si="106"/>
        <v>0</v>
      </c>
      <c r="T194" s="37" t="s">
        <v>125</v>
      </c>
      <c r="U194" s="47" t="s">
        <v>349</v>
      </c>
      <c r="V194" s="63">
        <f t="shared" si="107"/>
        <v>6.2664411871606829</v>
      </c>
      <c r="W194" s="368">
        <f t="shared" si="108"/>
        <v>0</v>
      </c>
      <c r="X194" s="37" t="s">
        <v>125</v>
      </c>
      <c r="Y194" s="47" t="s">
        <v>349</v>
      </c>
      <c r="Z194" s="63">
        <f t="shared" si="109"/>
        <v>6.2664411871606829</v>
      </c>
      <c r="AA194" s="146">
        <f t="shared" si="110"/>
        <v>0</v>
      </c>
      <c r="AB194" s="37" t="s">
        <v>411</v>
      </c>
      <c r="AC194" s="47" t="s">
        <v>3</v>
      </c>
      <c r="AD194" s="150">
        <f t="shared" si="111"/>
        <v>1.9221853757639424</v>
      </c>
      <c r="AE194" s="146">
        <f t="shared" si="112"/>
        <v>0</v>
      </c>
      <c r="AF194" s="368">
        <f t="shared" si="113"/>
        <v>0</v>
      </c>
      <c r="AG194" s="142"/>
      <c r="AH194" s="318"/>
      <c r="AI194" s="324">
        <f t="shared" si="114"/>
        <v>0</v>
      </c>
      <c r="AJ194" s="37" t="s">
        <v>125</v>
      </c>
      <c r="AK194" s="47" t="s">
        <v>348</v>
      </c>
      <c r="AL194" s="162">
        <f t="shared" si="115"/>
        <v>4.8064250364478198</v>
      </c>
      <c r="AM194" s="16">
        <f t="shared" si="116"/>
        <v>0</v>
      </c>
      <c r="AN194" s="316"/>
      <c r="AO194" s="195" t="s">
        <v>48</v>
      </c>
      <c r="AP194" s="1096" t="str">
        <f>IF(AO194=Lists!$B$18,"N/A",VLOOKUP(AO194,Lists!$B$18:$C$26,Lists!$C$3,FALSE))</f>
        <v>N/A</v>
      </c>
      <c r="AQ194" s="63">
        <f>IF(AO194=Lists!$B$18,0,VLOOKUP(AP194,Amend_TOV,TOV!$F$1,FALSE))</f>
        <v>0</v>
      </c>
      <c r="AR194" s="370"/>
      <c r="AS194" s="316"/>
      <c r="AT194" s="98" t="s">
        <v>48</v>
      </c>
      <c r="AU194" s="99"/>
      <c r="AV194" s="1096" t="str">
        <f>IF(AT194=Lists!$B$18,"N/A",VLOOKUP(AT194,Lists!$B$18:$C$26,Lists!$C$3,FALSE))</f>
        <v>N/A</v>
      </c>
      <c r="AW194" s="369">
        <f>IF(AT194=Lists!$B$18,0,VLOOKUP(AV194,Amend_TOV,TOV!$F$1,FALSE))</f>
        <v>0</v>
      </c>
      <c r="AX194" s="117"/>
      <c r="AY194" s="316"/>
      <c r="AZ194" s="195" t="s">
        <v>48</v>
      </c>
      <c r="BA194" s="1096" t="str">
        <f>IF(AZ194=Lists!$B$18,"N/A",VLOOKUP(AZ194,Lists!$B$18:$C$26,Lists!$C$3,FALSE))</f>
        <v>N/A</v>
      </c>
      <c r="BB194" s="63">
        <f>IF(AZ194=Lists!$B$18,0,VLOOKUP(BA194,Amend_TOV,TOV!$F$1,FALSE))</f>
        <v>0</v>
      </c>
      <c r="BC194" s="370"/>
      <c r="BD194" s="351">
        <f t="shared" si="117"/>
        <v>0</v>
      </c>
      <c r="BE194" s="316">
        <f t="shared" si="118"/>
        <v>0</v>
      </c>
      <c r="BF194" s="66">
        <v>1</v>
      </c>
      <c r="BG194" s="66"/>
      <c r="BH194" s="67">
        <f t="shared" si="122"/>
        <v>0</v>
      </c>
      <c r="BI194" s="16" t="str">
        <f t="shared" si="123"/>
        <v>No Alert</v>
      </c>
      <c r="BJ194" s="351">
        <f t="shared" si="124"/>
        <v>0</v>
      </c>
      <c r="BK194" s="351">
        <f t="shared" si="125"/>
        <v>0</v>
      </c>
      <c r="BL194" s="264">
        <f t="shared" si="119"/>
        <v>0</v>
      </c>
      <c r="BM194" s="803">
        <f t="shared" si="126"/>
        <v>0</v>
      </c>
      <c r="BN194" s="215"/>
      <c r="BO194" s="217"/>
      <c r="BP194" s="217"/>
      <c r="BQ194" s="217"/>
      <c r="BR194" s="217"/>
      <c r="BS194" s="217"/>
      <c r="BT194" s="217"/>
      <c r="BU194" s="218"/>
      <c r="CF194" s="475"/>
      <c r="CG194" s="475"/>
      <c r="CH194" s="475"/>
      <c r="CI194" s="475"/>
      <c r="CJ194" s="475"/>
      <c r="CK194" s="475"/>
      <c r="CL194" s="475"/>
      <c r="CM194" s="475"/>
      <c r="CN194" s="475"/>
      <c r="CX194" s="474"/>
      <c r="CY194" s="474"/>
      <c r="CZ194" s="474"/>
      <c r="DA194" s="474"/>
      <c r="DB194" s="474"/>
      <c r="DC194" s="474"/>
      <c r="DD194" s="474"/>
      <c r="DE194" s="474"/>
      <c r="DF194" s="474"/>
    </row>
    <row r="195" spans="2:111" ht="15">
      <c r="B195" s="616" t="str">
        <f t="shared" si="100"/>
        <v/>
      </c>
      <c r="C195" s="989">
        <v>20</v>
      </c>
      <c r="D195" s="750" t="str">
        <f t="shared" si="101"/>
        <v>Pit 20</v>
      </c>
      <c r="E195" s="136"/>
      <c r="F195" s="136"/>
      <c r="G195" s="316"/>
      <c r="H195" s="42"/>
      <c r="I195" s="324">
        <f t="shared" si="120"/>
        <v>0</v>
      </c>
      <c r="J195" s="324">
        <f t="shared" si="102"/>
        <v>0</v>
      </c>
      <c r="K195" s="324">
        <f t="shared" si="121"/>
        <v>0</v>
      </c>
      <c r="L195" s="136"/>
      <c r="M195" s="135">
        <f t="shared" si="103"/>
        <v>0.5</v>
      </c>
      <c r="N195" s="316"/>
      <c r="O195" s="324">
        <f t="shared" si="104"/>
        <v>0</v>
      </c>
      <c r="P195" s="37" t="s">
        <v>411</v>
      </c>
      <c r="Q195" s="47" t="s">
        <v>3</v>
      </c>
      <c r="R195" s="150">
        <f t="shared" si="105"/>
        <v>1.9221853757639424</v>
      </c>
      <c r="S195" s="146">
        <f t="shared" si="106"/>
        <v>0</v>
      </c>
      <c r="T195" s="37" t="s">
        <v>125</v>
      </c>
      <c r="U195" s="47" t="s">
        <v>349</v>
      </c>
      <c r="V195" s="63">
        <f t="shared" si="107"/>
        <v>6.2664411871606829</v>
      </c>
      <c r="W195" s="368">
        <f t="shared" si="108"/>
        <v>0</v>
      </c>
      <c r="X195" s="37" t="s">
        <v>125</v>
      </c>
      <c r="Y195" s="47" t="s">
        <v>349</v>
      </c>
      <c r="Z195" s="63">
        <f t="shared" si="109"/>
        <v>6.2664411871606829</v>
      </c>
      <c r="AA195" s="146">
        <f t="shared" si="110"/>
        <v>0</v>
      </c>
      <c r="AB195" s="37" t="s">
        <v>411</v>
      </c>
      <c r="AC195" s="47" t="s">
        <v>3</v>
      </c>
      <c r="AD195" s="150">
        <f t="shared" si="111"/>
        <v>1.9221853757639424</v>
      </c>
      <c r="AE195" s="146">
        <f t="shared" si="112"/>
        <v>0</v>
      </c>
      <c r="AF195" s="368">
        <f t="shared" si="113"/>
        <v>0</v>
      </c>
      <c r="AG195" s="142"/>
      <c r="AH195" s="318"/>
      <c r="AI195" s="324">
        <f t="shared" si="114"/>
        <v>0</v>
      </c>
      <c r="AJ195" s="37" t="s">
        <v>125</v>
      </c>
      <c r="AK195" s="47" t="s">
        <v>348</v>
      </c>
      <c r="AL195" s="162">
        <f t="shared" si="115"/>
        <v>4.8064250364478198</v>
      </c>
      <c r="AM195" s="16">
        <f t="shared" si="116"/>
        <v>0</v>
      </c>
      <c r="AN195" s="316"/>
      <c r="AO195" s="195" t="s">
        <v>48</v>
      </c>
      <c r="AP195" s="1096" t="str">
        <f>IF(AO195=Lists!$B$18,"N/A",VLOOKUP(AO195,Lists!$B$18:$C$26,Lists!$C$3,FALSE))</f>
        <v>N/A</v>
      </c>
      <c r="AQ195" s="63">
        <f>IF(AO195=Lists!$B$18,0,VLOOKUP(AP195,Amend_TOV,TOV!$F$1,FALSE))</f>
        <v>0</v>
      </c>
      <c r="AR195" s="370"/>
      <c r="AS195" s="316"/>
      <c r="AT195" s="98" t="s">
        <v>48</v>
      </c>
      <c r="AU195" s="99"/>
      <c r="AV195" s="1096" t="str">
        <f>IF(AT195=Lists!$B$18,"N/A",VLOOKUP(AT195,Lists!$B$18:$C$26,Lists!$C$3,FALSE))</f>
        <v>N/A</v>
      </c>
      <c r="AW195" s="369">
        <f>IF(AT195=Lists!$B$18,0,VLOOKUP(AV195,Amend_TOV,TOV!$F$1,FALSE))</f>
        <v>0</v>
      </c>
      <c r="AX195" s="117"/>
      <c r="AY195" s="316"/>
      <c r="AZ195" s="195" t="s">
        <v>48</v>
      </c>
      <c r="BA195" s="1096" t="str">
        <f>IF(AZ195=Lists!$B$18,"N/A",VLOOKUP(AZ195,Lists!$B$18:$C$26,Lists!$C$3,FALSE))</f>
        <v>N/A</v>
      </c>
      <c r="BB195" s="63">
        <f>IF(AZ195=Lists!$B$18,0,VLOOKUP(BA195,Amend_TOV,TOV!$F$1,FALSE))</f>
        <v>0</v>
      </c>
      <c r="BC195" s="370"/>
      <c r="BD195" s="351">
        <f t="shared" si="117"/>
        <v>0</v>
      </c>
      <c r="BE195" s="316">
        <f t="shared" si="118"/>
        <v>0</v>
      </c>
      <c r="BF195" s="66">
        <v>1</v>
      </c>
      <c r="BG195" s="66"/>
      <c r="BH195" s="67">
        <f t="shared" si="122"/>
        <v>0</v>
      </c>
      <c r="BI195" s="16" t="str">
        <f t="shared" si="123"/>
        <v>No Alert</v>
      </c>
      <c r="BJ195" s="351">
        <f t="shared" si="124"/>
        <v>0</v>
      </c>
      <c r="BK195" s="351">
        <f t="shared" si="125"/>
        <v>0</v>
      </c>
      <c r="BL195" s="264">
        <f t="shared" si="119"/>
        <v>0</v>
      </c>
      <c r="BM195" s="803">
        <f t="shared" si="126"/>
        <v>0</v>
      </c>
      <c r="BN195" s="215"/>
      <c r="BO195" s="217"/>
      <c r="BP195" s="217"/>
      <c r="BQ195" s="217"/>
      <c r="BR195" s="217"/>
      <c r="BS195" s="217"/>
      <c r="BT195" s="217"/>
      <c r="BU195" s="218"/>
      <c r="CF195" s="475"/>
      <c r="CG195" s="475"/>
      <c r="CH195" s="475"/>
      <c r="CI195" s="475"/>
      <c r="CJ195" s="475"/>
      <c r="CK195" s="475"/>
      <c r="CL195" s="475"/>
      <c r="CM195" s="475"/>
      <c r="CN195" s="475"/>
      <c r="CX195" s="474"/>
      <c r="CY195" s="474"/>
      <c r="CZ195" s="474"/>
      <c r="DA195" s="474"/>
      <c r="DB195" s="474"/>
      <c r="DC195" s="474"/>
      <c r="DD195" s="474"/>
      <c r="DE195" s="474"/>
      <c r="DF195" s="474"/>
    </row>
    <row r="196" spans="2:111" ht="18" customHeight="1">
      <c r="B196" s="275" t="s">
        <v>26</v>
      </c>
      <c r="E196" s="898"/>
      <c r="F196" s="898"/>
      <c r="G196" s="868"/>
      <c r="H196" s="898"/>
      <c r="I196" s="868"/>
      <c r="J196" s="868"/>
      <c r="K196" s="868"/>
      <c r="L196" s="1207"/>
      <c r="M196" s="1207"/>
      <c r="N196" s="1123"/>
      <c r="O196" s="1123"/>
      <c r="P196" s="475"/>
      <c r="S196" s="475"/>
      <c r="T196" s="475"/>
      <c r="U196" s="475"/>
      <c r="V196" s="475"/>
      <c r="W196" s="1208"/>
      <c r="X196" s="475"/>
      <c r="Y196" s="475"/>
      <c r="AA196" s="475"/>
      <c r="AE196" s="475"/>
      <c r="AF196" s="1183"/>
      <c r="AG196" s="924"/>
      <c r="AH196" s="1123"/>
      <c r="AI196" s="1123"/>
      <c r="AJ196" s="768"/>
      <c r="AK196" s="768"/>
      <c r="AL196" s="768"/>
      <c r="AM196" s="520"/>
      <c r="AN196" s="1123"/>
      <c r="AS196" s="1123"/>
      <c r="AY196" s="1123"/>
      <c r="AZ196" s="475"/>
      <c r="BA196" s="475"/>
      <c r="BB196" s="475"/>
      <c r="BD196" s="474"/>
      <c r="BE196" s="869"/>
      <c r="BF196" s="520"/>
      <c r="BG196" s="520"/>
      <c r="BH196" s="520"/>
      <c r="BI196" s="520"/>
      <c r="BJ196" s="768"/>
      <c r="BK196" s="520"/>
      <c r="BL196" s="872"/>
      <c r="BM196" s="1105"/>
      <c r="BU196" s="474"/>
      <c r="CF196" s="475"/>
      <c r="CG196" s="475"/>
      <c r="CH196" s="475"/>
      <c r="CI196" s="475"/>
      <c r="CJ196" s="475"/>
      <c r="CK196" s="475"/>
      <c r="CL196" s="475"/>
      <c r="CM196" s="475"/>
      <c r="CN196" s="475"/>
      <c r="CX196" s="474"/>
      <c r="CY196" s="474"/>
      <c r="CZ196" s="474"/>
      <c r="DA196" s="474"/>
      <c r="DB196" s="474"/>
      <c r="DC196" s="474"/>
      <c r="DD196" s="474"/>
      <c r="DE196" s="474"/>
      <c r="DF196" s="474"/>
    </row>
    <row r="197" spans="2:111" ht="18" customHeight="1">
      <c r="E197" s="898"/>
      <c r="F197" s="898"/>
      <c r="G197" s="372">
        <f t="shared" ref="G197:H197" si="127">SUM(G175:G196)</f>
        <v>0</v>
      </c>
      <c r="H197" s="373">
        <f t="shared" si="127"/>
        <v>0</v>
      </c>
      <c r="I197" s="372">
        <f>SUM(I175:I196)</f>
        <v>0</v>
      </c>
      <c r="J197" s="372">
        <f>SUM(J175:J196)</f>
        <v>0</v>
      </c>
      <c r="K197" s="372">
        <f>SUM(K175:K196)</f>
        <v>0</v>
      </c>
      <c r="L197" s="925"/>
      <c r="M197" s="925"/>
      <c r="N197" s="329">
        <f>SUM(N175:N196)</f>
        <v>0</v>
      </c>
      <c r="O197" s="329">
        <f>SUM(O175:O196)</f>
        <v>0</v>
      </c>
      <c r="P197" s="520"/>
      <c r="S197" s="226">
        <f>SUM(S175:S196)</f>
        <v>0</v>
      </c>
      <c r="T197" s="475"/>
      <c r="U197" s="475"/>
      <c r="V197" s="475"/>
      <c r="W197" s="347">
        <f>SUM(W175:W196)</f>
        <v>0</v>
      </c>
      <c r="X197" s="475"/>
      <c r="Y197" s="475"/>
      <c r="AA197" s="226">
        <f>SUM(AA175:AA196)</f>
        <v>0</v>
      </c>
      <c r="AE197" s="226">
        <f>SUM(AE175:AE196)</f>
        <v>0</v>
      </c>
      <c r="AF197" s="347">
        <f>SUM(AF175:AF196)</f>
        <v>0</v>
      </c>
      <c r="AG197" s="924"/>
      <c r="AH197" s="329">
        <f>SUM(AH175:AH196)</f>
        <v>0</v>
      </c>
      <c r="AI197" s="329">
        <f>SUM(AI175:AI196)</f>
        <v>0</v>
      </c>
      <c r="AJ197" s="768"/>
      <c r="AK197" s="768"/>
      <c r="AL197" s="768"/>
      <c r="AM197" s="226">
        <f>SUM(AM175:AM196)</f>
        <v>0</v>
      </c>
      <c r="AN197" s="329">
        <f t="shared" ref="AN197" si="128">SUM(AN175:AN196)</f>
        <v>0</v>
      </c>
      <c r="AS197" s="329">
        <f t="shared" ref="AS197" si="129">SUM(AS175:AS196)</f>
        <v>0</v>
      </c>
      <c r="AY197" s="372">
        <f t="shared" ref="AY197" si="130">SUM(AY175:AY196)</f>
        <v>0</v>
      </c>
      <c r="AZ197" s="475"/>
      <c r="BA197" s="475"/>
      <c r="BB197" s="475"/>
      <c r="BD197" s="373">
        <f t="shared" ref="BD197" si="131">SUM(BD175:BD196)</f>
        <v>0</v>
      </c>
      <c r="BE197" s="372">
        <f>SUM(BE175:BE196)</f>
        <v>0</v>
      </c>
      <c r="BF197" s="520"/>
      <c r="BG197" s="520"/>
      <c r="BH197" s="520"/>
      <c r="BI197" s="520"/>
      <c r="BJ197" s="351">
        <f t="shared" ref="BJ197:BK197" si="132">SUM(BJ175:BJ196)</f>
        <v>0</v>
      </c>
      <c r="BK197" s="351">
        <f t="shared" si="132"/>
        <v>0</v>
      </c>
      <c r="BL197" s="264">
        <f>SUM(BL175:BL196)</f>
        <v>0</v>
      </c>
      <c r="BM197" s="1105"/>
      <c r="BU197" s="474"/>
      <c r="CF197" s="475"/>
      <c r="CG197" s="475"/>
      <c r="CH197" s="475"/>
      <c r="CI197" s="475"/>
      <c r="CJ197" s="475"/>
      <c r="CK197" s="475"/>
      <c r="CL197" s="475"/>
      <c r="CM197" s="475"/>
      <c r="CN197" s="475"/>
      <c r="CX197" s="474"/>
      <c r="CY197" s="474"/>
      <c r="CZ197" s="474"/>
      <c r="DA197" s="474"/>
      <c r="DB197" s="474"/>
      <c r="DC197" s="474"/>
      <c r="DD197" s="474"/>
      <c r="DE197" s="474"/>
      <c r="DF197" s="474"/>
    </row>
    <row r="198" spans="2:111" ht="18" customHeight="1">
      <c r="F198" s="475"/>
      <c r="G198" s="475"/>
      <c r="H198" s="475"/>
      <c r="I198" s="475"/>
      <c r="J198" s="475"/>
      <c r="K198" s="475"/>
      <c r="L198" s="475"/>
      <c r="M198" s="475"/>
      <c r="N198" s="475"/>
      <c r="O198" s="475"/>
      <c r="P198" s="475"/>
      <c r="Z198" s="475"/>
      <c r="AA198" s="475"/>
      <c r="AB198" s="475"/>
      <c r="AC198" s="475"/>
      <c r="AD198" s="475"/>
      <c r="AE198" s="475"/>
      <c r="AF198" s="475"/>
      <c r="AG198" s="475"/>
      <c r="AH198" s="475"/>
      <c r="AI198" s="475"/>
      <c r="AJ198" s="475"/>
      <c r="AK198" s="475"/>
      <c r="AL198" s="475"/>
      <c r="AM198" s="475"/>
      <c r="AN198" s="475"/>
      <c r="AO198" s="475"/>
      <c r="AP198" s="475"/>
      <c r="AQ198" s="475"/>
      <c r="AR198" s="475"/>
      <c r="AS198" s="475"/>
      <c r="AT198" s="475"/>
      <c r="AU198" s="475"/>
      <c r="AV198" s="475"/>
      <c r="AW198" s="475"/>
      <c r="AX198" s="475"/>
      <c r="AY198" s="475"/>
      <c r="AZ198" s="475"/>
      <c r="BA198" s="475"/>
      <c r="BB198" s="475"/>
      <c r="BO198" s="1030"/>
      <c r="CF198" s="475"/>
      <c r="CG198" s="475"/>
      <c r="CH198" s="475"/>
      <c r="CI198" s="475"/>
      <c r="CJ198" s="475"/>
      <c r="CK198" s="475"/>
      <c r="CL198" s="475"/>
      <c r="CM198" s="475"/>
      <c r="CN198" s="475"/>
      <c r="CY198" s="474"/>
      <c r="CZ198" s="474"/>
      <c r="DA198" s="474"/>
      <c r="DB198" s="474"/>
      <c r="DC198" s="474"/>
      <c r="DD198" s="474"/>
      <c r="DE198" s="474"/>
      <c r="DF198" s="474"/>
      <c r="DG198" s="474"/>
    </row>
    <row r="199" spans="2:111" ht="18" customHeight="1">
      <c r="F199" s="475"/>
      <c r="G199" s="475"/>
      <c r="H199" s="475"/>
      <c r="I199" s="475"/>
      <c r="J199" s="475"/>
      <c r="K199" s="475"/>
      <c r="L199" s="475"/>
      <c r="M199" s="475"/>
      <c r="N199" s="475"/>
      <c r="O199" s="475"/>
      <c r="P199" s="475"/>
      <c r="Q199" s="475"/>
      <c r="R199" s="475"/>
      <c r="S199" s="475"/>
      <c r="T199" s="475"/>
      <c r="U199" s="475"/>
      <c r="V199" s="475"/>
      <c r="W199" s="475"/>
      <c r="X199" s="475"/>
      <c r="Y199" s="475"/>
      <c r="Z199" s="475"/>
      <c r="AA199" s="475"/>
      <c r="AB199" s="475"/>
      <c r="AC199" s="475"/>
      <c r="AD199" s="475"/>
      <c r="AE199" s="475"/>
      <c r="AF199" s="475"/>
      <c r="AG199" s="475"/>
      <c r="AH199" s="475"/>
      <c r="AI199" s="475"/>
      <c r="AJ199" s="475"/>
      <c r="AK199" s="475"/>
      <c r="AL199" s="475"/>
      <c r="AM199" s="475"/>
      <c r="AN199" s="475"/>
      <c r="AO199" s="475"/>
      <c r="AP199" s="475"/>
      <c r="AQ199" s="475"/>
      <c r="AR199" s="475"/>
      <c r="AS199" s="475"/>
      <c r="AT199" s="475"/>
      <c r="AU199" s="475"/>
      <c r="AV199" s="475"/>
      <c r="AW199" s="475"/>
      <c r="AX199" s="475"/>
      <c r="AY199" s="475"/>
      <c r="AZ199" s="475"/>
      <c r="BA199" s="475"/>
      <c r="BB199" s="475"/>
      <c r="BG199" s="1202"/>
    </row>
    <row r="200" spans="2:111" ht="18" customHeight="1">
      <c r="F200" s="475"/>
      <c r="G200" s="475"/>
      <c r="H200" s="475"/>
      <c r="I200" s="475"/>
      <c r="J200" s="475"/>
      <c r="K200" s="475"/>
      <c r="L200" s="475"/>
      <c r="M200" s="475"/>
      <c r="N200" s="475"/>
      <c r="O200" s="475"/>
      <c r="V200" s="475"/>
      <c r="X200" s="475"/>
      <c r="Y200" s="475"/>
      <c r="AE200" s="475"/>
      <c r="AF200" s="475"/>
      <c r="AH200" s="475"/>
      <c r="AI200" s="475"/>
      <c r="AK200" s="475"/>
      <c r="AL200" s="475"/>
      <c r="AM200" s="475"/>
      <c r="AN200" s="475"/>
      <c r="AO200" s="475"/>
      <c r="AP200" s="475"/>
      <c r="AQ200" s="475"/>
      <c r="AR200" s="475"/>
      <c r="AS200" s="475"/>
      <c r="AT200" s="475"/>
      <c r="AU200" s="475"/>
      <c r="AV200" s="475"/>
      <c r="AW200" s="475"/>
      <c r="AX200" s="475"/>
      <c r="AY200" s="475"/>
      <c r="AZ200" s="475"/>
      <c r="BA200" s="475"/>
      <c r="BB200" s="475"/>
    </row>
    <row r="201" spans="2:111" ht="18" customHeight="1">
      <c r="F201" s="475"/>
      <c r="G201" s="475"/>
      <c r="H201" s="475"/>
      <c r="I201" s="475"/>
      <c r="J201" s="475"/>
      <c r="K201" s="475"/>
      <c r="L201" s="475"/>
      <c r="M201" s="475"/>
      <c r="N201" s="475"/>
      <c r="O201" s="475"/>
      <c r="V201" s="475"/>
      <c r="X201" s="475"/>
      <c r="Y201" s="475"/>
      <c r="AE201" s="475"/>
      <c r="AF201" s="475"/>
      <c r="AH201" s="475"/>
      <c r="AI201" s="475"/>
      <c r="AK201" s="475"/>
      <c r="AL201" s="475"/>
      <c r="AM201" s="475"/>
      <c r="AN201" s="475"/>
      <c r="AO201" s="475"/>
      <c r="AP201" s="475"/>
      <c r="AQ201" s="475"/>
      <c r="AR201" s="475"/>
      <c r="AS201" s="475"/>
      <c r="AT201" s="475"/>
      <c r="AU201" s="475"/>
      <c r="AV201" s="475"/>
      <c r="AW201" s="475"/>
      <c r="AX201" s="475"/>
      <c r="AY201" s="475"/>
      <c r="AZ201" s="475"/>
      <c r="BA201" s="475"/>
      <c r="BB201" s="475"/>
    </row>
    <row r="202" spans="2:111">
      <c r="F202" s="475"/>
      <c r="G202" s="475"/>
      <c r="H202" s="475"/>
      <c r="I202" s="475"/>
      <c r="J202" s="475"/>
      <c r="K202" s="475"/>
      <c r="L202" s="475"/>
      <c r="M202" s="475"/>
      <c r="N202" s="475"/>
      <c r="O202" s="475"/>
      <c r="V202" s="475"/>
      <c r="X202" s="475"/>
      <c r="Y202" s="475"/>
      <c r="AE202" s="475"/>
      <c r="AF202" s="475"/>
      <c r="AH202" s="475"/>
      <c r="AI202" s="475"/>
      <c r="AK202" s="475"/>
      <c r="AL202" s="475"/>
      <c r="AM202" s="475"/>
      <c r="AN202" s="475"/>
      <c r="AO202" s="475"/>
      <c r="AP202" s="475"/>
      <c r="AQ202" s="475"/>
      <c r="AR202" s="475"/>
      <c r="AS202" s="475"/>
      <c r="AT202" s="475"/>
      <c r="AU202" s="475"/>
      <c r="AV202" s="475"/>
      <c r="AW202" s="475"/>
      <c r="AX202" s="475"/>
      <c r="AY202" s="475"/>
      <c r="AZ202" s="475"/>
      <c r="BA202" s="475"/>
      <c r="BB202" s="475"/>
    </row>
    <row r="203" spans="2:111">
      <c r="G203" s="475"/>
      <c r="H203" s="475"/>
      <c r="I203" s="475"/>
      <c r="J203" s="475"/>
      <c r="K203" s="475"/>
      <c r="L203" s="475"/>
      <c r="M203" s="475"/>
      <c r="N203" s="475"/>
      <c r="O203" s="475"/>
      <c r="V203" s="475"/>
      <c r="X203" s="475"/>
      <c r="Y203" s="475"/>
      <c r="AE203" s="475"/>
      <c r="AF203" s="475"/>
      <c r="AH203" s="475"/>
      <c r="AI203" s="475"/>
      <c r="AK203" s="475"/>
      <c r="AL203" s="475"/>
      <c r="AM203" s="475"/>
      <c r="AN203" s="475"/>
      <c r="AO203" s="475"/>
      <c r="AP203" s="475"/>
      <c r="AQ203" s="475"/>
      <c r="AR203" s="475"/>
      <c r="AS203" s="475"/>
      <c r="AT203" s="475"/>
      <c r="AU203" s="475"/>
      <c r="AV203" s="475"/>
      <c r="AW203" s="475"/>
      <c r="AX203" s="475"/>
      <c r="AY203" s="475"/>
      <c r="AZ203" s="475"/>
      <c r="BA203" s="475"/>
      <c r="BB203" s="475"/>
    </row>
    <row r="204" spans="2:111">
      <c r="V204" s="475"/>
      <c r="X204" s="475"/>
      <c r="Y204" s="475"/>
      <c r="AE204" s="475"/>
      <c r="AF204" s="475"/>
      <c r="AH204" s="475"/>
      <c r="AI204" s="475"/>
      <c r="AK204" s="475"/>
      <c r="AL204" s="475"/>
      <c r="AM204" s="475"/>
      <c r="AN204" s="475"/>
      <c r="AO204" s="475"/>
      <c r="AP204" s="475"/>
      <c r="AQ204" s="475"/>
      <c r="AR204" s="475"/>
      <c r="AS204" s="475"/>
      <c r="AT204" s="475"/>
      <c r="AU204" s="475"/>
      <c r="BC204" s="474"/>
      <c r="BD204" s="474"/>
    </row>
  </sheetData>
  <sheetProtection algorithmName="SHA-512" hashValue="cZNyBp/2Ekf0MNlx4z5lH1vYhCi7gYV+3GmyBULpdWq5vqbjLU69uEpq/mIvSJT3LhKF+ZXZnQidmPsAVCJpqA==" saltValue="m/YXWcT/vPgjBsYZC+xhaQ==" spinCount="100000" sheet="1" objects="1" scenarios="1" autoFilter="0"/>
  <dataConsolidate/>
  <phoneticPr fontId="15" type="noConversion"/>
  <conditionalFormatting sqref="E43">
    <cfRule type="containsText" dxfId="222" priority="158" operator="containsText" text="Enter">
      <formula>NOT(ISERROR(SEARCH("Enter",E43)))</formula>
    </cfRule>
    <cfRule type="containsText" dxfId="221" priority="157" operator="containsText" text="ok">
      <formula>NOT(ISERROR(SEARCH("ok",E43)))</formula>
    </cfRule>
  </conditionalFormatting>
  <conditionalFormatting sqref="F140">
    <cfRule type="containsText" dxfId="220" priority="44" operator="containsText" text="Enter">
      <formula>NOT(ISERROR(SEARCH("Enter",F140)))</formula>
    </cfRule>
    <cfRule type="containsText" dxfId="219" priority="43" operator="containsText" text="ok">
      <formula>NOT(ISERROR(SEARCH("ok",F140)))</formula>
    </cfRule>
  </conditionalFormatting>
  <conditionalFormatting sqref="G71 G136:P136">
    <cfRule type="containsText" dxfId="218" priority="92" operator="containsText" text="Enter">
      <formula>NOT(ISERROR(SEARCH("Enter",G71)))</formula>
    </cfRule>
    <cfRule type="containsText" dxfId="217" priority="91" operator="containsText" text="No Alert">
      <formula>NOT(ISERROR(SEARCH("No Alert",G71)))</formula>
    </cfRule>
  </conditionalFormatting>
  <conditionalFormatting sqref="G77">
    <cfRule type="containsText" dxfId="216" priority="178" operator="containsText" text="Enter">
      <formula>NOT(ISERROR(SEARCH("Enter",G77)))</formula>
    </cfRule>
    <cfRule type="containsText" dxfId="215" priority="177" operator="containsText" text="ok">
      <formula>NOT(ISERROR(SEARCH("ok",G77)))</formula>
    </cfRule>
  </conditionalFormatting>
  <conditionalFormatting sqref="H77:H78">
    <cfRule type="containsText" dxfId="214" priority="37" operator="containsText" text="ok">
      <formula>NOT(ISERROR(SEARCH("ok",H77)))</formula>
    </cfRule>
    <cfRule type="containsText" dxfId="213" priority="38" operator="containsText" text="Enter">
      <formula>NOT(ISERROR(SEARCH("Enter",H77)))</formula>
    </cfRule>
  </conditionalFormatting>
  <conditionalFormatting sqref="J77">
    <cfRule type="containsText" dxfId="212" priority="173" operator="containsText" text="ok">
      <formula>NOT(ISERROR(SEARCH("ok",J77)))</formula>
    </cfRule>
    <cfRule type="containsText" dxfId="211" priority="174" operator="containsText" text="Enter">
      <formula>NOT(ISERROR(SEARCH("Enter",J77)))</formula>
    </cfRule>
  </conditionalFormatting>
  <conditionalFormatting sqref="J111:K130">
    <cfRule type="containsText" dxfId="210" priority="106" operator="containsText" text="E">
      <formula>NOT(ISERROR(SEARCH("E",J111)))</formula>
    </cfRule>
  </conditionalFormatting>
  <conditionalFormatting sqref="K77:K78">
    <cfRule type="containsText" dxfId="209" priority="171" operator="containsText" text="ok">
      <formula>NOT(ISERROR(SEARCH("ok",K77)))</formula>
    </cfRule>
    <cfRule type="containsText" dxfId="208" priority="172" operator="containsText" text="Enter">
      <formula>NOT(ISERROR(SEARCH("Enter",K77)))</formula>
    </cfRule>
  </conditionalFormatting>
  <conditionalFormatting sqref="L79:L98 N79:N98">
    <cfRule type="cellIs" dxfId="207" priority="111" operator="equal">
      <formula>"Dozer too small"</formula>
    </cfRule>
  </conditionalFormatting>
  <conditionalFormatting sqref="L41:P41">
    <cfRule type="containsText" dxfId="206" priority="48" operator="containsText" text="Enter">
      <formula>NOT(ISERROR(SEARCH("Enter",L41)))</formula>
    </cfRule>
    <cfRule type="containsText" dxfId="205" priority="47" operator="containsText" text="ok">
      <formula>NOT(ISERROR(SEARCH("ok",L41)))</formula>
    </cfRule>
  </conditionalFormatting>
  <conditionalFormatting sqref="M79:M98 O79:O98">
    <cfRule type="cellIs" dxfId="204" priority="110" operator="equal">
      <formula>"E"</formula>
    </cfRule>
  </conditionalFormatting>
  <conditionalFormatting sqref="M111:M130">
    <cfRule type="containsText" dxfId="203" priority="207" operator="containsText" text="E">
      <formula>NOT(ISERROR(SEARCH("E",M111)))</formula>
    </cfRule>
  </conditionalFormatting>
  <conditionalFormatting sqref="N37">
    <cfRule type="containsText" dxfId="202" priority="18" operator="containsText" text="No Alert">
      <formula>NOT(ISERROR(SEARCH("No Alert",N37)))</formula>
    </cfRule>
    <cfRule type="containsText" dxfId="201" priority="19" operator="containsText" text="Enter">
      <formula>NOT(ISERROR(SEARCH("Enter",N37)))</formula>
    </cfRule>
  </conditionalFormatting>
  <conditionalFormatting sqref="N40">
    <cfRule type="cellIs" dxfId="200" priority="12" operator="notEqual">
      <formula>""</formula>
    </cfRule>
  </conditionalFormatting>
  <conditionalFormatting sqref="N76 N79:N95 L79:M98">
    <cfRule type="containsText" dxfId="199" priority="247" operator="containsText" text="NR">
      <formula>NOT(ISERROR(SEARCH("NR",L76)))</formula>
    </cfRule>
  </conditionalFormatting>
  <conditionalFormatting sqref="N77:O77">
    <cfRule type="containsText" dxfId="198" priority="167" operator="containsText" text="ok">
      <formula>NOT(ISERROR(SEARCH("ok",N77)))</formula>
    </cfRule>
    <cfRule type="containsText" dxfId="197" priority="168" operator="containsText" text="Enter">
      <formula>NOT(ISERROR(SEARCH("Enter",N77)))</formula>
    </cfRule>
  </conditionalFormatting>
  <conditionalFormatting sqref="P13:P32">
    <cfRule type="containsText" dxfId="196" priority="154" operator="containsText" text="E">
      <formula>NOT(ISERROR(SEARCH("E",P13)))</formula>
    </cfRule>
  </conditionalFormatting>
  <conditionalFormatting sqref="P37">
    <cfRule type="containsText" dxfId="195" priority="13" operator="containsText" text="No Alert">
      <formula>NOT(ISERROR(SEARCH("No Alert",P37)))</formula>
    </cfRule>
    <cfRule type="containsText" dxfId="194" priority="14" operator="containsText" text="Enter">
      <formula>NOT(ISERROR(SEARCH("Enter",P37)))</formula>
    </cfRule>
  </conditionalFormatting>
  <conditionalFormatting sqref="P40">
    <cfRule type="cellIs" dxfId="193" priority="11" operator="notEqual">
      <formula>""</formula>
    </cfRule>
  </conditionalFormatting>
  <conditionalFormatting sqref="Q13:T32 AA45:AA64 AQ79:AQ98 M110:M129 R110:R129 Y110:Y129 L111:L130">
    <cfRule type="containsText" dxfId="192" priority="251" operator="containsText" text="Error">
      <formula>NOT(ISERROR(SEARCH("Error",L13)))</formula>
    </cfRule>
  </conditionalFormatting>
  <conditionalFormatting sqref="R111:R130">
    <cfRule type="containsText" dxfId="191" priority="206" operator="containsText" text="E">
      <formula>NOT(ISERROR(SEARCH("E",R111)))</formula>
    </cfRule>
  </conditionalFormatting>
  <conditionalFormatting sqref="R176:R195">
    <cfRule type="cellIs" dxfId="190" priority="100" operator="equal">
      <formula>"Dozer too small"</formula>
    </cfRule>
  </conditionalFormatting>
  <conditionalFormatting sqref="S109">
    <cfRule type="containsText" dxfId="189" priority="121" operator="containsText" text="Enter">
      <formula>NOT(ISERROR(SEARCH("Enter",S109)))</formula>
    </cfRule>
    <cfRule type="containsText" dxfId="188" priority="120" operator="containsText" text="ok">
      <formula>NOT(ISERROR(SEARCH("ok",S109)))</formula>
    </cfRule>
  </conditionalFormatting>
  <conditionalFormatting sqref="S176:S195">
    <cfRule type="containsText" dxfId="187" priority="131" operator="containsText" text="E">
      <formula>NOT(ISERROR(SEARCH("E",S176)))</formula>
    </cfRule>
  </conditionalFormatting>
  <conditionalFormatting sqref="T144:T163">
    <cfRule type="containsText" dxfId="186" priority="125" operator="containsText" text="Long">
      <formula>NOT(ISERROR(SEARCH("Long",T144)))</formula>
    </cfRule>
  </conditionalFormatting>
  <conditionalFormatting sqref="U78">
    <cfRule type="containsText" dxfId="185" priority="57" operator="containsText" text="ok">
      <formula>NOT(ISERROR(SEARCH("ok",U78)))</formula>
    </cfRule>
    <cfRule type="containsText" dxfId="184" priority="58" operator="containsText" text="Enter">
      <formula>NOT(ISERROR(SEARCH("Enter",U78)))</formula>
    </cfRule>
  </conditionalFormatting>
  <conditionalFormatting sqref="U143">
    <cfRule type="containsText" dxfId="183" priority="53" operator="containsText" text="ok">
      <formula>NOT(ISERROR(SEARCH("ok",U143)))</formula>
    </cfRule>
    <cfRule type="containsText" dxfId="182" priority="54" operator="containsText" text="Enter">
      <formula>NOT(ISERROR(SEARCH("Enter",U143)))</formula>
    </cfRule>
  </conditionalFormatting>
  <conditionalFormatting sqref="V13:V32 X40:Y40 G74 AR74:AS74 AA79:AA98 AF79:AF98 AK79:AK98 AU106:AV106 AD111:AD130 AI111:AI130 AN111:AN130 G139:P139 AN144:AN163 AS144:AS163 AX144:AX163 BJ171:BK171 AR176:AR195 AX176:AX195 BC176:BC195">
    <cfRule type="cellIs" dxfId="181" priority="36" operator="notEqual">
      <formula>""</formula>
    </cfRule>
  </conditionalFormatting>
  <conditionalFormatting sqref="V175">
    <cfRule type="containsText" dxfId="180" priority="5" operator="containsText" text="ok">
      <formula>NOT(ISERROR(SEARCH("ok",V175)))</formula>
    </cfRule>
    <cfRule type="containsText" dxfId="179" priority="6" operator="containsText" text="Enter">
      <formula>NOT(ISERROR(SEARCH("Enter",V175)))</formula>
    </cfRule>
  </conditionalFormatting>
  <conditionalFormatting sqref="W41">
    <cfRule type="containsText" dxfId="178" priority="46" operator="containsText" text="Enter">
      <formula>NOT(ISERROR(SEARCH("Enter",W41)))</formula>
    </cfRule>
    <cfRule type="containsText" dxfId="177" priority="45" operator="containsText" text="ok">
      <formula>NOT(ISERROR(SEARCH("ok",W41)))</formula>
    </cfRule>
  </conditionalFormatting>
  <conditionalFormatting sqref="X110">
    <cfRule type="containsText" dxfId="176" priority="55" operator="containsText" text="ok">
      <formula>NOT(ISERROR(SEARCH("ok",X110)))</formula>
    </cfRule>
    <cfRule type="containsText" dxfId="175" priority="56" operator="containsText" text="Enter">
      <formula>NOT(ISERROR(SEARCH("Enter",X110)))</formula>
    </cfRule>
  </conditionalFormatting>
  <conditionalFormatting sqref="X37:Y37">
    <cfRule type="containsText" dxfId="174" priority="21" operator="containsText" text="Enter">
      <formula>NOT(ISERROR(SEARCH("Enter",X37)))</formula>
    </cfRule>
    <cfRule type="containsText" dxfId="173" priority="20" operator="containsText" text="No Alert">
      <formula>NOT(ISERROR(SEARCH("No Alert",X37)))</formula>
    </cfRule>
  </conditionalFormatting>
  <conditionalFormatting sqref="Y13:AF32">
    <cfRule type="expression" dxfId="172" priority="15">
      <formula>$V13&lt;&gt;""</formula>
    </cfRule>
  </conditionalFormatting>
  <conditionalFormatting sqref="Z45:Z64">
    <cfRule type="containsText" dxfId="171" priority="183" operator="containsText" text="ok">
      <formula>NOT(ISERROR(SEARCH("ok",Z45)))</formula>
    </cfRule>
    <cfRule type="containsText" dxfId="170" priority="184" operator="containsText" text="Enter">
      <formula>NOT(ISERROR(SEARCH("Enter",Z45)))</formula>
    </cfRule>
  </conditionalFormatting>
  <conditionalFormatting sqref="Z175">
    <cfRule type="containsText" dxfId="169" priority="3" operator="containsText" text="ok">
      <formula>NOT(ISERROR(SEARCH("ok",Z175)))</formula>
    </cfRule>
    <cfRule type="containsText" dxfId="168" priority="4" operator="containsText" text="Enter">
      <formula>NOT(ISERROR(SEARCH("Enter",Z175)))</formula>
    </cfRule>
  </conditionalFormatting>
  <conditionalFormatting sqref="AA144:AA163">
    <cfRule type="cellIs" dxfId="167" priority="104" operator="equal">
      <formula>"Dozer too small"</formula>
    </cfRule>
  </conditionalFormatting>
  <conditionalFormatting sqref="AB109">
    <cfRule type="containsText" dxfId="166" priority="134" operator="containsText" text="Enter">
      <formula>NOT(ISERROR(SEARCH("Enter",AB109)))</formula>
    </cfRule>
    <cfRule type="containsText" dxfId="165" priority="133" operator="containsText" text="ok">
      <formula>NOT(ISERROR(SEARCH("ok",AB109)))</formula>
    </cfRule>
  </conditionalFormatting>
  <conditionalFormatting sqref="AB144:AB163">
    <cfRule type="cellIs" dxfId="164" priority="103" operator="equal">
      <formula>"E"</formula>
    </cfRule>
  </conditionalFormatting>
  <conditionalFormatting sqref="AC142">
    <cfRule type="containsText" dxfId="163" priority="118" operator="containsText" text="ok">
      <formula>NOT(ISERROR(SEARCH("ok",AC142)))</formula>
    </cfRule>
    <cfRule type="containsText" dxfId="162" priority="119" operator="containsText" text="Enter">
      <formula>NOT(ISERROR(SEARCH("Enter",AC142)))</formula>
    </cfRule>
  </conditionalFormatting>
  <conditionalFormatting sqref="AD77:AD78">
    <cfRule type="containsText" dxfId="161" priority="161" operator="containsText" text="ok">
      <formula>NOT(ISERROR(SEARCH("ok",AD77)))</formula>
    </cfRule>
    <cfRule type="containsText" dxfId="160" priority="162" operator="containsText" text="Enter">
      <formula>NOT(ISERROR(SEARCH("Enter",AD77)))</formula>
    </cfRule>
  </conditionalFormatting>
  <conditionalFormatting sqref="AD176:AD195">
    <cfRule type="cellIs" dxfId="159" priority="99" operator="equal">
      <formula>"Dozer too small"</formula>
    </cfRule>
  </conditionalFormatting>
  <conditionalFormatting sqref="AE176:AE195">
    <cfRule type="containsText" dxfId="158" priority="132" operator="containsText" text="E">
      <formula>NOT(ISERROR(SEARCH("E",AE176)))</formula>
    </cfRule>
  </conditionalFormatting>
  <conditionalFormatting sqref="AG174">
    <cfRule type="containsText" dxfId="157" priority="116" operator="containsText" text="ok">
      <formula>NOT(ISERROR(SEARCH("ok",AG174)))</formula>
    </cfRule>
    <cfRule type="containsText" dxfId="156" priority="117" operator="containsText" text="Enter">
      <formula>NOT(ISERROR(SEARCH("Enter",AG174)))</formula>
    </cfRule>
  </conditionalFormatting>
  <conditionalFormatting sqref="AH143">
    <cfRule type="containsText" dxfId="155" priority="52" operator="containsText" text="Enter">
      <formula>NOT(ISERROR(SEARCH("Enter",AH143)))</formula>
    </cfRule>
    <cfRule type="containsText" dxfId="154" priority="51" operator="containsText" text="ok">
      <formula>NOT(ISERROR(SEARCH("ok",AH143)))</formula>
    </cfRule>
  </conditionalFormatting>
  <conditionalFormatting sqref="AL142">
    <cfRule type="containsText" dxfId="153" priority="159" operator="containsText" text="ok">
      <formula>NOT(ISERROR(SEARCH("ok",AL142)))</formula>
    </cfRule>
    <cfRule type="containsText" dxfId="152" priority="160" operator="containsText" text="Enter">
      <formula>NOT(ISERROR(SEARCH("Enter",AL142)))</formula>
    </cfRule>
  </conditionalFormatting>
  <conditionalFormatting sqref="AL175">
    <cfRule type="containsText" dxfId="151" priority="1" operator="containsText" text="ok">
      <formula>NOT(ISERROR(SEARCH("ok",AL175)))</formula>
    </cfRule>
    <cfRule type="containsText" dxfId="150" priority="2" operator="containsText" text="Enter">
      <formula>NOT(ISERROR(SEARCH("Enter",AL175)))</formula>
    </cfRule>
  </conditionalFormatting>
  <conditionalFormatting sqref="AM176:AM195">
    <cfRule type="containsText" dxfId="149" priority="129" operator="containsText" text="E">
      <formula>NOT(ISERROR(SEARCH("E",AM176)))</formula>
    </cfRule>
  </conditionalFormatting>
  <conditionalFormatting sqref="AP174">
    <cfRule type="containsText" dxfId="148" priority="126" operator="containsText" text="ok">
      <formula>NOT(ISERROR(SEARCH("ok",AP174)))</formula>
    </cfRule>
    <cfRule type="containsText" dxfId="147" priority="127" operator="containsText" text="Enter">
      <formula>NOT(ISERROR(SEARCH("Enter",AP174)))</formula>
    </cfRule>
  </conditionalFormatting>
  <conditionalFormatting sqref="AQ77:AS77">
    <cfRule type="containsText" dxfId="146" priority="166" operator="containsText" text="Enter">
      <formula>NOT(ISERROR(SEARCH("Enter",AQ77)))</formula>
    </cfRule>
    <cfRule type="containsText" dxfId="145" priority="165" operator="containsText" text="ok">
      <formula>NOT(ISERROR(SEARCH("ok",AQ77)))</formula>
    </cfRule>
  </conditionalFormatting>
  <conditionalFormatting sqref="AR71:AS71">
    <cfRule type="containsText" dxfId="144" priority="25" operator="containsText" text="Enter">
      <formula>NOT(ISERROR(SEARCH("Enter",AR71)))</formula>
    </cfRule>
    <cfRule type="containsText" dxfId="143" priority="24" operator="containsText" text="No Alert">
      <formula>NOT(ISERROR(SEARCH("No Alert",AR71)))</formula>
    </cfRule>
  </conditionalFormatting>
  <conditionalFormatting sqref="AT111:AT130">
    <cfRule type="containsText" dxfId="142" priority="249" operator="containsText" text="Error">
      <formula>NOT(ISERROR(SEARCH("Error",AT111)))</formula>
    </cfRule>
  </conditionalFormatting>
  <conditionalFormatting sqref="AU79:AU98">
    <cfRule type="cellIs" dxfId="141" priority="8" operator="equal">
      <formula>"E"</formula>
    </cfRule>
  </conditionalFormatting>
  <conditionalFormatting sqref="AU103:AV103">
    <cfRule type="containsText" dxfId="140" priority="29" operator="containsText" text="Enter">
      <formula>NOT(ISERROR(SEARCH("Enter",AU103)))</formula>
    </cfRule>
    <cfRule type="containsText" dxfId="139" priority="28" operator="containsText" text="No Alert">
      <formula>NOT(ISERROR(SEARCH("No Alert",AU103)))</formula>
    </cfRule>
  </conditionalFormatting>
  <conditionalFormatting sqref="AU109:AV109">
    <cfRule type="containsText" dxfId="138" priority="64" operator="containsText" text="Enter">
      <formula>NOT(ISERROR(SEARCH("Enter",AU109)))</formula>
    </cfRule>
    <cfRule type="containsText" dxfId="137" priority="63" operator="containsText" text="ok">
      <formula>NOT(ISERROR(SEARCH("ok",AU109)))</formula>
    </cfRule>
  </conditionalFormatting>
  <conditionalFormatting sqref="AV79:AV98">
    <cfRule type="containsText" dxfId="136" priority="107" operator="containsText" text="Error">
      <formula>NOT(ISERROR(SEARCH("Error",AV79)))</formula>
    </cfRule>
    <cfRule type="containsText" dxfId="135" priority="108" operator="containsText" text="dozer">
      <formula>NOT(ISERROR(SEARCH("dozer",AV79)))</formula>
    </cfRule>
  </conditionalFormatting>
  <conditionalFormatting sqref="AW111:AX130">
    <cfRule type="cellIs" dxfId="134" priority="105" operator="equal">
      <formula>"E"</formula>
    </cfRule>
  </conditionalFormatting>
  <conditionalFormatting sqref="BD140">
    <cfRule type="containsText" dxfId="133" priority="42" operator="containsText" text="Enter">
      <formula>NOT(ISERROR(SEARCH("Enter",BD140)))</formula>
    </cfRule>
    <cfRule type="containsText" dxfId="132" priority="41" operator="containsText" text="ok">
      <formula>NOT(ISERROR(SEARCH("ok",BD140)))</formula>
    </cfRule>
  </conditionalFormatting>
  <conditionalFormatting sqref="BD144:BD163">
    <cfRule type="containsText" dxfId="131" priority="250" operator="containsText" text="Error">
      <formula>NOT(ISERROR(SEARCH("Error",BD144)))</formula>
    </cfRule>
  </conditionalFormatting>
  <conditionalFormatting sqref="BE136:BF136">
    <cfRule type="containsText" dxfId="130" priority="32" operator="containsText" text="No Alert">
      <formula>NOT(ISERROR(SEARCH("No Alert",BE136)))</formula>
    </cfRule>
    <cfRule type="containsText" dxfId="129" priority="33" operator="containsText" text="Enter">
      <formula>NOT(ISERROR(SEARCH("Enter",BE136)))</formula>
    </cfRule>
  </conditionalFormatting>
  <conditionalFormatting sqref="BE139:BF139">
    <cfRule type="cellIs" dxfId="128" priority="9" operator="notEqual">
      <formula>""</formula>
    </cfRule>
  </conditionalFormatting>
  <conditionalFormatting sqref="BE142:BF142">
    <cfRule type="containsText" dxfId="127" priority="62" operator="containsText" text="Enter">
      <formula>NOT(ISERROR(SEARCH("Enter",BE142)))</formula>
    </cfRule>
    <cfRule type="containsText" dxfId="126" priority="61" operator="containsText" text="ok">
      <formula>NOT(ISERROR(SEARCH("ok",BE142)))</formula>
    </cfRule>
  </conditionalFormatting>
  <conditionalFormatting sqref="BI144:BI163">
    <cfRule type="containsText" dxfId="125" priority="102" operator="containsText" text="dozer">
      <formula>NOT(ISERROR(SEARCH("dozer",BI144)))</formula>
    </cfRule>
    <cfRule type="containsText" dxfId="124" priority="101" operator="containsText" text="Error">
      <formula>NOT(ISERROR(SEARCH("Error",BI144)))</formula>
    </cfRule>
  </conditionalFormatting>
  <conditionalFormatting sqref="BI176:BI195">
    <cfRule type="containsText" dxfId="123" priority="248" operator="containsText" text="Error">
      <formula>NOT(ISERROR(SEARCH("Error",BI176)))</formula>
    </cfRule>
  </conditionalFormatting>
  <conditionalFormatting sqref="BJ168:BK168">
    <cfRule type="containsText" dxfId="122" priority="81" operator="containsText" text="No Alert">
      <formula>NOT(ISERROR(SEARCH("No Alert",BJ168)))</formula>
    </cfRule>
    <cfRule type="containsText" dxfId="121" priority="82" operator="containsText" text="Enter">
      <formula>NOT(ISERROR(SEARCH("Enter",BJ168)))</formula>
    </cfRule>
  </conditionalFormatting>
  <conditionalFormatting sqref="BJ174:BK174">
    <cfRule type="containsText" dxfId="120" priority="59" operator="containsText" text="ok">
      <formula>NOT(ISERROR(SEARCH("ok",BJ174)))</formula>
    </cfRule>
    <cfRule type="containsText" dxfId="119" priority="60" operator="containsText" text="Enter">
      <formula>NOT(ISERROR(SEARCH("Enter",BJ174)))</formula>
    </cfRule>
  </conditionalFormatting>
  <conditionalFormatting sqref="BM176:BM195">
    <cfRule type="containsText" dxfId="118" priority="97" operator="containsText" text="Error">
      <formula>NOT(ISERROR(SEARCH("Error",BM176)))</formula>
    </cfRule>
    <cfRule type="containsText" dxfId="117" priority="98" operator="containsText" text="dozer">
      <formula>NOT(ISERROR(SEARCH("dozer",BM176)))</formula>
    </cfRule>
  </conditionalFormatting>
  <dataValidations xWindow="737" yWindow="588" count="32">
    <dataValidation type="list" allowBlank="1" showInputMessage="1" showErrorMessage="1" sqref="O111:O130 R144:R163 X176:X195 V111:V130 S79:S98 T176:T195 AF144:AF163 Q45:Q64 AJ176:AJ195" xr:uid="{00000000-0002-0000-0C00-000001000000}">
      <formula1>Load_and_Haul</formula1>
    </dataValidation>
    <dataValidation type="list" allowBlank="1" showInputMessage="1" showErrorMessage="1" sqref="I111:I130 K79:K98 Z144:Z163 Q176:Q195 AC176:AC195" xr:uid="{00000000-0002-0000-0C00-000002000000}">
      <formula1>Dozers</formula1>
    </dataValidation>
    <dataValidation type="list" allowBlank="1" showInputMessage="1" showErrorMessage="1" sqref="H111:H130 J79:J98 Y144:Y163 P176:P195 AB176:AB195" xr:uid="{00000000-0002-0000-0C00-000003000000}">
      <formula1>Dozer_Push_Length</formula1>
    </dataValidation>
    <dataValidation type="list" allowBlank="1" showInputMessage="1" showErrorMessage="1" sqref="I79:I98 G111:G130" xr:uid="{00000000-0002-0000-0C00-000004000000}">
      <formula1>Dozer_Slope</formula1>
    </dataValidation>
    <dataValidation allowBlank="1" showInputMessage="1" showErrorMessage="1" prompt="If only the length is entered the calculation defaults to the per m rate shown. " sqref="F43" xr:uid="{00000000-0002-0000-0C00-000007000000}"/>
    <dataValidation allowBlank="1" showInputMessage="1" showErrorMessage="1" prompt="Enter the height of the berm wall.  If no entry is added the default is shown above." sqref="G43" xr:uid="{00000000-0002-0000-0C00-00000B000000}"/>
    <dataValidation allowBlank="1" showInputMessage="1" showErrorMessage="1" prompt="Enter the width of the berm at the top.  If no entry is added the default is shown above." sqref="I43" xr:uid="{00000000-0002-0000-0C00-00000D000000}"/>
    <dataValidation allowBlank="1" showInputMessage="1" showErrorMessage="1" prompt="The default construction method is haul and dump in place" sqref="M43" xr:uid="{00000000-0002-0000-0C00-000010000000}"/>
    <dataValidation allowBlank="1" showInputMessage="1" showErrorMessage="1" prompt="If the default haulage distance to retrieve safety bund rock (4 km) is appropriate, select N here.  Otherwise select Y and select a distance and fleet size in the next columns." sqref="O43" xr:uid="{00000000-0002-0000-0C00-000011000000}"/>
    <dataValidation allowBlank="1" showInputMessage="1" showErrorMessage="1" prompt="Select the haulage distance for safety bund rock if the default of 4 km is not used." sqref="Q43" xr:uid="{00000000-0002-0000-0C00-000012000000}"/>
    <dataValidation allowBlank="1" showInputMessage="1" showErrorMessage="1" prompt="Select proposed reprofiled slope angle of highwall/benches to make safe" sqref="G109 I77" xr:uid="{00000000-0002-0000-0C00-000015000000}"/>
    <dataValidation allowBlank="1" showInputMessage="1" showErrorMessage="1" prompt="Select dozer bulk push distance" sqref="Y142 J77 P174 AB174" xr:uid="{00000000-0002-0000-0C00-000017000000}"/>
    <dataValidation allowBlank="1" showInputMessage="1" showErrorMessage="1" prompt="Select haul dist to backfill source material" sqref="X174 O109 T174" xr:uid="{00000000-0002-0000-0C00-000019000000}"/>
    <dataValidation allowBlank="1" showInputMessage="1" showErrorMessage="1" prompt="Select haulage fleet size for backfill material" sqref="U174 Y174 S142 X142:Z142" xr:uid="{00000000-0002-0000-0C00-00001A000000}"/>
    <dataValidation allowBlank="1" showInputMessage="1" showErrorMessage="1" prompt="Select dozer size" sqref="Q174 Z142 AC174" xr:uid="{00000000-0002-0000-0C00-00001B000000}"/>
    <dataValidation allowBlank="1" showInputMessage="1" showErrorMessage="1" prompt="If the User has a growth media volume but not dimensions, enter the volume here." sqref="T109 AH174 Q77 AD142" xr:uid="{00000000-0002-0000-0C00-00001D000000}"/>
    <dataValidation allowBlank="1" showInputMessage="1" showErrorMessage="1" prompt="Select haulage distance for growth media" sqref="AF142 S77 AJ174 V109" xr:uid="{00000000-0002-0000-0C00-00001E000000}"/>
    <dataValidation allowBlank="1" showInputMessage="1" showErrorMessage="1" prompt="Select fleet size for growth media haulage" sqref="AK174" xr:uid="{00000000-0002-0000-0C00-00001F000000}"/>
    <dataValidation type="list" allowBlank="1" showInputMessage="1" showErrorMessage="1" sqref="M45:M64" xr:uid="{00000000-0002-0000-0C00-000024000000}">
      <formula1>Berm_Con_Method</formula1>
    </dataValidation>
    <dataValidation type="list" allowBlank="1" showInputMessage="1" showErrorMessage="1" sqref="O45:O64" xr:uid="{00000000-0002-0000-0C00-000025000000}">
      <formula1>Y_N</formula1>
    </dataValidation>
    <dataValidation type="list" allowBlank="1" showInputMessage="1" showErrorMessage="1" sqref="AC79:AC98 AT176:AT195 AK111:AK130 AP144:AP163 AA111:AA130 AK144:AK163 AH79:AH98 AF111:AF130 X79:X98 AO176:AO195 AU144:AU163 AZ176:AZ195" xr:uid="{F5E07ABF-45BA-4645-9EF0-1B33C7E9E06B}">
      <formula1>Amendments</formula1>
    </dataValidation>
    <dataValidation allowBlank="1" showInputMessage="1" showErrorMessage="1" prompt="Enter volume of wall / bench that will require dozer pushing." sqref="F74" xr:uid="{C1355C2F-4C1C-4879-A249-0C1B656E657F}"/>
    <dataValidation allowBlank="1" showInputMessage="1" showErrorMessage="1" prompt="Enter the width of the berm at the base.  If no entry is added the default is shown above." sqref="H43" xr:uid="{00000000-0002-0000-0C00-00000C000000}"/>
    <dataValidation allowBlank="1" showInputMessage="1" showErrorMessage="1" prompt="Enter the open pit void footprint._x000a_Explain how the pit area is derived by adding comments in the area to the right of this table._x000a_" sqref="E11" xr:uid="{203EC5E9-CD0E-465E-A6BC-BEC6010051C0}"/>
    <dataValidation type="list" allowBlank="1" showInputMessage="1" showErrorMessage="1" sqref="T144:T163" xr:uid="{9A98F73F-A927-416A-9BF6-C19BF9CECF8B}">
      <formula1>LongHaul</formula1>
    </dataValidation>
    <dataValidation allowBlank="1" showInputMessage="1" showErrorMessage="1" prompt="Select distance for local sourcing of rock. If long distance haul is required, select Long Distance in &quot;Source of Rock&quot; Column." sqref="R142" xr:uid="{69418CE2-596D-41E5-9589-6FC554285E39}"/>
    <dataValidation type="list" allowBlank="1" showInputMessage="1" showErrorMessage="1" sqref="V144:V163" xr:uid="{3812C139-00C2-405F-9DD0-86A8532DD56E}">
      <formula1>Long_distance</formula1>
    </dataValidation>
    <dataValidation allowBlank="1" showInputMessage="1" showErrorMessage="1" prompt="Default growth media thickness if user does not enter values." sqref="M172 AC140 S107 P75" xr:uid="{9FA4686F-6772-4C3A-8049-55C8769C87FB}"/>
    <dataValidation allowBlank="1" showInputMessage="1" showErrorMessage="1" prompt="Select No amend if no treatment required." sqref="X77 AC77 AH77 AA109 AF109 AK109 AK142 AP142 AU142 AO174 AT174 AZ174" xr:uid="{6D41756A-169C-4DB1-84C8-E7457AABE05A}"/>
    <dataValidation type="whole" operator="greaterThan" allowBlank="1" showInputMessage="1" showErrorMessage="1" sqref="H176:H197" xr:uid="{4F8D011C-8947-4CD4-BE69-F45C54F32ABE}">
      <formula1>0</formula1>
    </dataValidation>
    <dataValidation type="list" allowBlank="1" showInputMessage="1" showErrorMessage="1" sqref="W111:W130 AG144:AG163 AK176:AK195" xr:uid="{33BD291E-A8EB-436A-BE04-C283A3C45ECD}">
      <formula1>Load_haul_fleet_sm1ml</formula1>
    </dataValidation>
    <dataValidation type="whole" operator="greaterThan" allowBlank="1" showInputMessage="1" showErrorMessage="1" sqref="L144:N163" xr:uid="{9D02FAFF-090A-43F7-92A3-6A208FD9D004}">
      <formula1>1</formula1>
    </dataValidation>
  </dataValidations>
  <hyperlinks>
    <hyperlink ref="B41" location="'10. Pits'!B5" display="Top" xr:uid="{C3E1D109-7755-4EAF-B9C6-1FCA0E322ECD}"/>
    <hyperlink ref="E2" location="Safety_Bund__Fencing__Signs" display="Safety Bund Fencing Signs" xr:uid="{56932AD3-1BC9-4E51-B8CD-8F6365ECAEB3}"/>
    <hyperlink ref="G2" location="Benches_and_High_Wall_Drill_and_Blast_and_Doze_to_Make_Safe" display="Benches and High Wall" xr:uid="{624F4D3D-CCF0-4780-B48A-CEBA6FF416BB}"/>
    <hyperlink ref="I2" location="Low_Wall" display="Low Wall" xr:uid="{5B4FA824-837E-4322-B163-DF6231F2628B}"/>
    <hyperlink ref="J2" location="Backfill_Open_Pit_with_Waste_Rock" display="Backfill Open Pit" xr:uid="{39357870-7AC3-4E44-A361-FF904565B0E7}"/>
    <hyperlink ref="K2" location="Open_Pit_Ramp_Backfill" display="Open Pit Ramp Backfill" xr:uid="{CAC84DDE-E420-45B1-912D-45CD0ED4AF4C}"/>
    <hyperlink ref="S44" location="Subrates!B7" display="Subrates!B7" xr:uid="{894E65F0-C5FA-4A0F-B406-6C2D9596A34F}"/>
    <hyperlink ref="L78" location="Subrates_Table_2" display="Subrates_Table_2" xr:uid="{DB858ED6-60E7-4366-B18C-BC6F1EFD34C3}"/>
    <hyperlink ref="J110" location="Subrates_Table_2" display="Subrates_Table_2" xr:uid="{A7D3986D-A311-43ED-913C-162162D73D2A}"/>
    <hyperlink ref="AA143" location="Subrates_Table_2" display="Subrates_Table_2" xr:uid="{E939FC2E-5679-4CC6-A4FC-34D4200F4FC5}"/>
    <hyperlink ref="R175" location="Subrates_Table_2" display="Subrates_Table_2" xr:uid="{E204BE3F-761F-4DDE-99EF-2B4CB725C116}"/>
    <hyperlink ref="AD175" location="Subrates_Table_2" display="Subrates_Table_2" xr:uid="{B91ABA41-79D9-4BD2-B35B-2DE096EE6292}"/>
    <hyperlink ref="N78" location="Subrates_Table_3" display="Subrates_Table_3" xr:uid="{13E0BFDD-1709-4A89-A0D0-0C104B490F47}"/>
    <hyperlink ref="L110" location="Subrates_Table_3" display="Subrates_Table_3" xr:uid="{1C3B8DDC-5AE8-42CC-8098-5F0FAD8706ED}"/>
    <hyperlink ref="L38" location="Subrates_Table_6" display="Subrates_Table_6" xr:uid="{4DCCF904-E985-44BF-9C21-4BD99C68AECE}"/>
    <hyperlink ref="W143" location="Subrates_Table_9" display="Subrates_Table_9" xr:uid="{9D1579F3-E419-4DE3-9789-044B44B9BB9D}"/>
    <hyperlink ref="U78" location="Subrates!B7" display="Subrates!B7" xr:uid="{C9174AFA-2E5F-4619-9D4D-E6CCDFFB19FB}"/>
    <hyperlink ref="X110" location="Subrates!B7" display="Subrates!B7" xr:uid="{9FABC79F-F1F9-4529-A268-E76ECCD07848}"/>
    <hyperlink ref="U143" location="Subrates!B7" display="Subrates!B7" xr:uid="{F560788D-58A5-480B-AB82-0DCC40C80109}"/>
    <hyperlink ref="AH143" location="Subrates!B7" display="Subrates!B7" xr:uid="{2E2AE80B-316B-495E-8350-E3B91043CE23}"/>
    <hyperlink ref="B2" location="CONTENTS!A1" display="Contents" xr:uid="{D6BBDB5F-E49E-48C0-928B-2DDF359651FE}"/>
    <hyperlink ref="B75" location="'10. Pits'!B5" display="Top" xr:uid="{B7D91E5E-E35B-4A69-9E5A-186076E3A241}"/>
    <hyperlink ref="B107" location="'10. Pits'!B5" display="Top" xr:uid="{95D35A10-0F19-483D-805A-D90BFCC39DD9}"/>
    <hyperlink ref="B140" location="'10. Pits'!B5" display="Top" xr:uid="{94A3CE42-0FEA-4AC7-A098-8C8EF060D919}"/>
    <hyperlink ref="B172" location="'10. Pits'!B5" display="Top" xr:uid="{C3715C4D-B41A-47BD-803E-C3D685F8AF4F}"/>
    <hyperlink ref="B196" location="'10. Pits'!B5" display="Top" xr:uid="{A947047F-3E8B-4EFC-88A8-7D1A6667AE5C}"/>
    <hyperlink ref="V175" location="Subrates!B7" display="Subrates!B7" xr:uid="{2265C9C5-F56F-44D4-A24B-D87DA6097175}"/>
    <hyperlink ref="Z175" location="Subrates!B7" display="Subrates!B7" xr:uid="{7617B660-9184-4055-A9E6-E3E01174821B}"/>
    <hyperlink ref="AL175" location="Subrates!B7" display="Subrates!B7" xr:uid="{BCCE657B-8E16-41C2-8405-12381A450ABF}"/>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737" yWindow="588" count="2">
        <x14:dataValidation type="list" allowBlank="1" showInputMessage="1" showErrorMessage="1" xr:uid="{41163025-E6C6-43D5-8CF2-9AACCA09C61D}">
          <x14:formula1>
            <xm:f>Subrates!$E$9:$G$9</xm:f>
          </x14:formula1>
          <xm:sqref>R45:R64 S144:S163 P111:P130</xm:sqref>
        </x14:dataValidation>
        <x14:dataValidation type="list" allowBlank="1" showInputMessage="1" showErrorMessage="1" xr:uid="{745B2AA8-5341-4CB7-98A5-6DFBBFA47692}">
          <x14:formula1>
            <xm:f>Subrates!$E$9:$H$9</xm:f>
          </x14:formula1>
          <xm:sqref>T79:T98 U176:U195 Y176:Y195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2792-33D2-40C1-86A2-D0CBC53DC35C}">
  <sheetPr codeName="Sheet25">
    <tabColor theme="9" tint="-0.249977111117893"/>
  </sheetPr>
  <dimension ref="A1:AZ98"/>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51.7109375" style="475" customWidth="1"/>
    <col min="5" max="41" width="18.7109375" style="474" customWidth="1"/>
    <col min="42" max="53" width="18.7109375" style="475" customWidth="1"/>
    <col min="54" max="16384" width="9" style="475"/>
  </cols>
  <sheetData>
    <row r="1" spans="2:52" ht="14.25">
      <c r="B1" s="433" t="s">
        <v>0</v>
      </c>
      <c r="C1" s="808"/>
      <c r="D1" s="520"/>
      <c r="U1" s="1049" t="str">
        <f>IF(U4="","No Alert","Enter justification")</f>
        <v>No Alert</v>
      </c>
      <c r="V1" s="1049" t="str">
        <f t="shared" ref="V1:AK1" si="0">IF(V4="","No Alert","Enter justification")</f>
        <v>No Alert</v>
      </c>
      <c r="W1" s="1049" t="str">
        <f t="shared" si="0"/>
        <v>No Alert</v>
      </c>
      <c r="X1" s="1049" t="str">
        <f t="shared" si="0"/>
        <v>No Alert</v>
      </c>
      <c r="Y1" s="1049" t="str">
        <f t="shared" si="0"/>
        <v>No Alert</v>
      </c>
      <c r="Z1" s="1049" t="str">
        <f t="shared" si="0"/>
        <v>No Alert</v>
      </c>
      <c r="AA1" s="1049" t="str">
        <f t="shared" si="0"/>
        <v>No Alert</v>
      </c>
      <c r="AB1" s="1049" t="str">
        <f t="shared" si="0"/>
        <v>No Alert</v>
      </c>
      <c r="AC1" s="1049" t="str">
        <f t="shared" si="0"/>
        <v>No Alert</v>
      </c>
      <c r="AD1" s="1049" t="str">
        <f t="shared" si="0"/>
        <v>No Alert</v>
      </c>
      <c r="AE1" s="1049" t="str">
        <f t="shared" si="0"/>
        <v>No Alert</v>
      </c>
      <c r="AF1" s="1049" t="str">
        <f t="shared" si="0"/>
        <v>No Alert</v>
      </c>
      <c r="AG1" s="1049" t="str">
        <f t="shared" si="0"/>
        <v>No Alert</v>
      </c>
      <c r="AH1" s="1049" t="str">
        <f t="shared" si="0"/>
        <v>No Alert</v>
      </c>
      <c r="AI1" s="1049" t="str">
        <f t="shared" si="0"/>
        <v>No Alert</v>
      </c>
      <c r="AJ1" s="1049" t="str">
        <f t="shared" si="0"/>
        <v>No Alert</v>
      </c>
      <c r="AK1" s="1049" t="str">
        <f t="shared" si="0"/>
        <v>No Alert</v>
      </c>
    </row>
    <row r="2" spans="2:52" ht="18" customHeight="1">
      <c r="B2" s="286" t="s">
        <v>256</v>
      </c>
      <c r="C2" s="476" t="s">
        <v>2307</v>
      </c>
      <c r="D2" s="944"/>
      <c r="E2" s="944"/>
      <c r="F2" s="944"/>
      <c r="G2" s="944"/>
      <c r="H2" s="944"/>
      <c r="I2" s="944"/>
      <c r="J2" s="944"/>
      <c r="K2" s="944"/>
      <c r="L2" s="944"/>
      <c r="M2" s="944"/>
      <c r="T2" s="848" t="s">
        <v>1596</v>
      </c>
      <c r="U2" s="828" t="str">
        <f>TOV!C503</f>
        <v>#11.13</v>
      </c>
      <c r="V2" s="828" t="str">
        <f>TOV!$C491</f>
        <v>#11.01</v>
      </c>
      <c r="W2" s="828" t="str">
        <f>TOV!$C492</f>
        <v>#11.02</v>
      </c>
      <c r="X2" s="828" t="str">
        <f>TOV!$C493</f>
        <v>#11.03</v>
      </c>
      <c r="Y2" s="828" t="str">
        <f>TOV!$C494</f>
        <v>#11.04</v>
      </c>
      <c r="Z2" s="828" t="str">
        <f>TOV!$C495</f>
        <v>#11.05</v>
      </c>
      <c r="AA2" s="828" t="str">
        <f>TOV!$C496</f>
        <v>#11.06</v>
      </c>
      <c r="AB2" s="828" t="str">
        <f>TOV!$C497</f>
        <v>#11.07</v>
      </c>
      <c r="AC2" s="828" t="str">
        <f>TOV!$C498</f>
        <v>#11.08</v>
      </c>
      <c r="AD2" s="828" t="str">
        <f>TOV!$C499</f>
        <v>#11.09</v>
      </c>
      <c r="AE2" s="828" t="str">
        <f>TOV!$C500</f>
        <v>#11.10</v>
      </c>
      <c r="AF2" s="828" t="str">
        <f>TOV!$C501</f>
        <v>#11.11</v>
      </c>
      <c r="AG2" s="828" t="str">
        <f>TOV!$C502</f>
        <v>#11.12</v>
      </c>
      <c r="AH2" s="828" t="str">
        <f>TOV!$C504</f>
        <v>#11.14</v>
      </c>
      <c r="AI2" s="828" t="str">
        <f>TOV!$C505</f>
        <v>#11.15</v>
      </c>
      <c r="AJ2" s="828" t="str">
        <f>TOV!$C506</f>
        <v>#11.16</v>
      </c>
      <c r="AK2" s="828" t="str">
        <f>TOV!$C507</f>
        <v>#11.17</v>
      </c>
    </row>
    <row r="3" spans="2:52" s="1030" customFormat="1" ht="18" customHeight="1">
      <c r="B3" s="1031">
        <f>AN32</f>
        <v>0</v>
      </c>
      <c r="C3" s="736" t="s">
        <v>1516</v>
      </c>
      <c r="I3" s="1032"/>
      <c r="J3" s="1032"/>
      <c r="K3" s="1032"/>
      <c r="M3" s="1032"/>
      <c r="N3" s="1032"/>
      <c r="O3" s="1032"/>
      <c r="P3" s="1032"/>
      <c r="Q3" s="1032"/>
      <c r="R3" s="1032"/>
      <c r="S3" s="1032"/>
      <c r="T3" s="848" t="s">
        <v>35</v>
      </c>
      <c r="U3" s="1211">
        <f>VLOOKUP(U2,TOV!$C$491:$G$507,TOV!$F$1,FALSE)</f>
        <v>38500</v>
      </c>
      <c r="V3" s="1211">
        <f>VLOOKUP(V2,TOV!$C$491:$G$507,TOV!$F$1,FALSE)</f>
        <v>27500</v>
      </c>
      <c r="W3" s="1211">
        <f>VLOOKUP(W2,TOV!$C$491:$G$507,TOV!$F$1,FALSE)</f>
        <v>1200000</v>
      </c>
      <c r="X3" s="1211">
        <f>VLOOKUP(X2,TOV!$C$491:$G$507,TOV!$F$1,FALSE)</f>
        <v>1015.8729</v>
      </c>
      <c r="Y3" s="1211">
        <f>VLOOKUP(Y2,TOV!$C$491:$G$507,TOV!$F$1,FALSE)</f>
        <v>7700.0000000000009</v>
      </c>
      <c r="Z3" s="1211">
        <f>VLOOKUP(Z2,TOV!$C$491:$G$507,TOV!$F$1,FALSE)</f>
        <v>28278.557873656478</v>
      </c>
      <c r="AA3" s="1211">
        <f>VLOOKUP(AA2,TOV!$C$491:$G$507,TOV!$F$1,FALSE)</f>
        <v>301857.11574731296</v>
      </c>
      <c r="AB3" s="1211">
        <f>VLOOKUP(AB2,TOV!$C$491:$G$507,TOV!$F$1,FALSE)</f>
        <v>135498.88</v>
      </c>
      <c r="AC3" s="1211">
        <f>VLOOKUP(AC2,TOV!$C$491:$G$507,TOV!$F$1,FALSE)</f>
        <v>242886.64888888842</v>
      </c>
      <c r="AD3" s="1211">
        <f>VLOOKUP(AD2,TOV!$C$491:$G$507,TOV!$F$1,FALSE)</f>
        <v>58498.880000000005</v>
      </c>
      <c r="AE3" s="1211">
        <f>VLOOKUP(AE2,TOV!$C$491:$G$507,TOV!$F$1,FALSE)</f>
        <v>105997.76000000001</v>
      </c>
      <c r="AF3" s="1211">
        <f>VLOOKUP(AF2,TOV!$C$491:$G$507,TOV!$F$1,FALSE)</f>
        <v>258.9076105439126</v>
      </c>
      <c r="AG3" s="1211">
        <f>VLOOKUP(AG2,TOV!$C$491:$G$507,TOV!$F$1,FALSE)</f>
        <v>1035.6304421756504</v>
      </c>
      <c r="AH3" s="1211">
        <f>VLOOKUP(AH2,TOV!$C$491:$G$507,TOV!$F$1,FALSE)</f>
        <v>1233.0732545349679</v>
      </c>
      <c r="AI3" s="1211">
        <f>VLOOKUP(AI2,TOV!$C$491:$G$507,TOV!$F$1,FALSE)</f>
        <v>1803.8145649227899</v>
      </c>
      <c r="AJ3" s="1211">
        <f>VLOOKUP(AJ2,TOV!$C$491:$G$507,TOV!$F$1,FALSE)</f>
        <v>2945.2971856984341</v>
      </c>
      <c r="AK3" s="1211">
        <f>VLOOKUP(AK2,TOV!$C$491:$G$507,TOV!$F$1,FALSE)</f>
        <v>28124.047294401727</v>
      </c>
      <c r="AP3" s="562"/>
      <c r="AQ3" s="562"/>
    </row>
    <row r="4" spans="2:52" s="1030" customFormat="1" ht="18" customHeight="1">
      <c r="B4" s="1156">
        <f>Summary!$G$122</f>
        <v>0</v>
      </c>
      <c r="C4" s="736" t="s">
        <v>1484</v>
      </c>
      <c r="I4" s="1032"/>
      <c r="J4" s="1032"/>
      <c r="K4" s="1032"/>
      <c r="L4" s="1032"/>
      <c r="M4" s="1032"/>
      <c r="N4" s="1032"/>
      <c r="O4" s="1032"/>
      <c r="P4" s="1032"/>
      <c r="Q4" s="1032"/>
      <c r="R4" s="1032"/>
      <c r="S4" s="1032"/>
      <c r="T4" s="848" t="s">
        <v>2308</v>
      </c>
      <c r="U4" s="291"/>
      <c r="V4" s="291"/>
      <c r="W4" s="291"/>
      <c r="X4" s="291"/>
      <c r="Y4" s="291"/>
      <c r="Z4" s="291"/>
      <c r="AA4" s="291"/>
      <c r="AB4" s="291"/>
      <c r="AC4" s="291"/>
      <c r="AD4" s="291"/>
      <c r="AE4" s="291"/>
      <c r="AF4" s="291"/>
      <c r="AG4" s="291"/>
      <c r="AH4" s="291"/>
      <c r="AI4" s="291"/>
      <c r="AJ4" s="291"/>
      <c r="AK4" s="291"/>
      <c r="AP4" s="562"/>
      <c r="AQ4" s="562"/>
    </row>
    <row r="5" spans="2:52" ht="84.75" customHeight="1">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row>
    <row r="6" spans="2:52" ht="9.75" customHeight="1">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row>
    <row r="7" spans="2:52" s="1030" customFormat="1" ht="16.149999999999999" customHeight="1">
      <c r="I7" s="1032"/>
      <c r="J7" s="1032"/>
      <c r="K7" s="1032"/>
      <c r="L7" s="1032"/>
      <c r="M7" s="1032"/>
      <c r="N7" s="1032"/>
      <c r="O7" s="1032"/>
      <c r="P7" s="1032"/>
      <c r="Q7" s="1032"/>
      <c r="R7" s="1032"/>
      <c r="S7" s="1032"/>
      <c r="T7" s="848" t="s">
        <v>2</v>
      </c>
      <c r="U7" s="82" t="str">
        <f>VLOOKUP(U2,TOV!$C$491:$G$507,TOV!$G$1,FALSE)</f>
        <v>Item</v>
      </c>
      <c r="V7" s="82" t="str">
        <f>VLOOKUP(V2,TOV!$C$491:$G$507,TOV!$G$1,FALSE)</f>
        <v>Item</v>
      </c>
      <c r="W7" s="82" t="str">
        <f>VLOOKUP(W2,TOV!$C$491:$G$507,TOV!$G$1,FALSE)</f>
        <v>item</v>
      </c>
      <c r="X7" s="82" t="str">
        <f>VLOOKUP(X2,TOV!$C$491:$G$507,TOV!$G$1,FALSE)</f>
        <v>m</v>
      </c>
      <c r="Y7" s="82" t="str">
        <f>VLOOKUP(Y2,TOV!$C$491:$G$507,TOV!$G$1,FALSE)</f>
        <v>Item</v>
      </c>
      <c r="Z7" s="82" t="str">
        <f>VLOOKUP(Z2,TOV!$C$491:$G$507,TOV!$G$1,FALSE)</f>
        <v>Item</v>
      </c>
      <c r="AA7" s="82" t="str">
        <f>VLOOKUP(AA2,TOV!$C$491:$G$507,TOV!$G$1,FALSE)</f>
        <v>Item</v>
      </c>
      <c r="AB7" s="82" t="str">
        <f>VLOOKUP(AB2,TOV!$C$491:$G$507,TOV!$G$1,FALSE)</f>
        <v>Item</v>
      </c>
      <c r="AC7" s="82" t="str">
        <f>VLOOKUP(AC2,TOV!$C$491:$G$507,TOV!$G$1,FALSE)</f>
        <v>Item</v>
      </c>
      <c r="AD7" s="82" t="str">
        <f>VLOOKUP(AD2,TOV!$C$491:$G$507,TOV!$G$1,FALSE)</f>
        <v>Item</v>
      </c>
      <c r="AE7" s="82" t="str">
        <f>VLOOKUP(AE2,TOV!$C$491:$G$507,TOV!$G$1,FALSE)</f>
        <v>Item</v>
      </c>
      <c r="AF7" s="82" t="str">
        <f>VLOOKUP(AF2,TOV!$C$491:$G$507,TOV!$G$1,FALSE)</f>
        <v>m</v>
      </c>
      <c r="AG7" s="82" t="str">
        <f>VLOOKUP(AG2,TOV!$C$491:$G$507,TOV!$G$1,FALSE)</f>
        <v>m</v>
      </c>
      <c r="AH7" s="82" t="str">
        <f>VLOOKUP(AH2,TOV!$C$491:$G$507,TOV!$G$1,FALSE)</f>
        <v>ha</v>
      </c>
      <c r="AI7" s="82" t="str">
        <f>VLOOKUP(AI2,TOV!$C$491:$G$507,TOV!$G$1,FALSE)</f>
        <v>ha</v>
      </c>
      <c r="AJ7" s="82" t="str">
        <f>VLOOKUP(AJ2,TOV!$C$491:$G$507,TOV!$G$1,FALSE)</f>
        <v>ha</v>
      </c>
      <c r="AK7" s="82" t="str">
        <f>VLOOKUP(AK2,TOV!$C$491:$G$507,TOV!$G$1,FALSE)</f>
        <v>ha</v>
      </c>
      <c r="AP7" s="562"/>
      <c r="AQ7" s="562"/>
    </row>
    <row r="8" spans="2:52" s="1030" customFormat="1" ht="16.149999999999999" customHeight="1">
      <c r="B8" s="1176" t="s">
        <v>1784</v>
      </c>
      <c r="C8" s="1177"/>
      <c r="D8" s="1177"/>
      <c r="E8" s="1178"/>
      <c r="F8" s="1176"/>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8"/>
    </row>
    <row r="9" spans="2:52" ht="106.15" customHeight="1">
      <c r="B9" s="774" t="s">
        <v>1517</v>
      </c>
      <c r="C9" s="773" t="s">
        <v>27</v>
      </c>
      <c r="D9" s="774" t="s">
        <v>1583</v>
      </c>
      <c r="E9" s="774" t="s">
        <v>2309</v>
      </c>
      <c r="F9" s="774" t="s">
        <v>2310</v>
      </c>
      <c r="G9" s="774" t="s">
        <v>2311</v>
      </c>
      <c r="H9" s="774" t="s">
        <v>2312</v>
      </c>
      <c r="I9" s="774" t="s">
        <v>2313</v>
      </c>
      <c r="J9" s="774" t="s">
        <v>2314</v>
      </c>
      <c r="K9" s="774" t="s">
        <v>2315</v>
      </c>
      <c r="L9" s="774" t="s">
        <v>2316</v>
      </c>
      <c r="M9" s="774" t="s">
        <v>2317</v>
      </c>
      <c r="N9" s="774" t="s">
        <v>2318</v>
      </c>
      <c r="O9" s="774" t="s">
        <v>2319</v>
      </c>
      <c r="P9" s="774" t="s">
        <v>2320</v>
      </c>
      <c r="Q9" s="774" t="s">
        <v>2321</v>
      </c>
      <c r="R9" s="774" t="s">
        <v>2322</v>
      </c>
      <c r="S9" s="774" t="s">
        <v>2323</v>
      </c>
      <c r="T9" s="773" t="s">
        <v>2324</v>
      </c>
      <c r="U9" s="773" t="str">
        <f>VLOOKUP(U2,TOV!$C$491:$G$507,3,FALSE)</f>
        <v xml:space="preserve">Disconnect and terminate all services </v>
      </c>
      <c r="V9" s="773" t="str">
        <f>VLOOKUP(V2,TOV!$C$491:$G$507,3,FALSE)</f>
        <v>Demolition and removal of vent fans, electrical substation and winch</v>
      </c>
      <c r="W9" s="773" t="str">
        <f>VLOOKUP(W2,TOV!$C$491:$G$507,3,FALSE)</f>
        <v>Demolition and removal of hoisting shaft headframe, winder building, and support infrastructure</v>
      </c>
      <c r="X9" s="773" t="str">
        <f>VLOOKUP(X2,TOV!$C$491:$G$507,3,FALSE)</f>
        <v>Removal of conveyors and support services down Drift/Decline</v>
      </c>
      <c r="Y9" s="773" t="str">
        <f>VLOOKUP(Y2,TOV!$C$491:$G$507,3,FALSE)</f>
        <v>Install gate or grill over an adit</v>
      </c>
      <c r="Z9" s="773" t="str">
        <f>VLOOKUP(Z2,TOV!$C$491:$G$507,3,FALSE)</f>
        <v>Small adits - seal</v>
      </c>
      <c r="AA9" s="773" t="str">
        <f>VLOOKUP(AA2,TOV!$C$491:$G$507,3,FALSE)</f>
        <v>Larger portals, declines, adits, drifts - seal</v>
      </c>
      <c r="AB9" s="773" t="str">
        <f>VLOOKUP(AB2,TOV!$C$491:$G$507,3,FALSE)</f>
        <v>Ventilation shafts - seal with concrete plug and rehabilitate</v>
      </c>
      <c r="AC9" s="773" t="str">
        <f>VLOOKUP(AC2,TOV!$C$491:$G$507,3,FALSE)</f>
        <v>Hoisting and person haulage shafts - seal with concrete plug and rehabilitate</v>
      </c>
      <c r="AD9" s="773" t="str">
        <f>VLOOKUP(AD2,TOV!$C$491:$G$507,3,FALSE)</f>
        <v xml:space="preserve">Ventilation shafts - seal with steel plate and rehabilitate </v>
      </c>
      <c r="AE9" s="773" t="str">
        <f>VLOOKUP(AE2,TOV!$C$491:$G$507,3,FALSE)</f>
        <v xml:space="preserve">Hoisting and person haulage shafts - seal with steel plate and rehabilitate </v>
      </c>
      <c r="AF9" s="773" t="str">
        <f>VLOOKUP(AF2,TOV!$C$491:$G$507,3,FALSE)</f>
        <v>Ventilation shafts - backfill using suitably sized (screened) material</v>
      </c>
      <c r="AG9" s="773" t="str">
        <f>VLOOKUP(AG2,TOV!$C$491:$G$507,3,FALSE)</f>
        <v>Hoisting and person haulage shafts - backfill using suitably sized (screened) material</v>
      </c>
      <c r="AH9" s="773" t="str">
        <f>VLOOKUP(AH2,TOV!$C$491:$G$507,3,FALSE)</f>
        <v>Existing rehabilitation repair - minor</v>
      </c>
      <c r="AI9" s="773" t="str">
        <f>VLOOKUP(AI2,TOV!$C$491:$G$507,3,FALSE)</f>
        <v>Existing rehabilitation repair - moderate</v>
      </c>
      <c r="AJ9" s="773" t="str">
        <f>VLOOKUP(AJ2,TOV!$C$491:$G$507,3,FALSE)</f>
        <v>Existing rehabilitation repair - major</v>
      </c>
      <c r="AK9" s="773" t="str">
        <f>VLOOKUP(AK2,TOV!$C$491:$G$507,3,FALSE)</f>
        <v>Existing rehabilitation repair - total failure of intended landform</v>
      </c>
      <c r="AL9" s="864" t="s">
        <v>2325</v>
      </c>
      <c r="AM9" s="773" t="s">
        <v>2326</v>
      </c>
      <c r="AN9" s="864" t="s">
        <v>2327</v>
      </c>
      <c r="AO9" s="776" t="s">
        <v>1645</v>
      </c>
      <c r="AP9" s="777"/>
      <c r="AQ9" s="777"/>
      <c r="AR9" s="777"/>
      <c r="AS9" s="777"/>
      <c r="AT9" s="777"/>
      <c r="AU9" s="777"/>
      <c r="AV9" s="778"/>
    </row>
    <row r="10" spans="2:52" ht="20.65" customHeight="1">
      <c r="B10" s="474"/>
      <c r="C10" s="474"/>
      <c r="D10" s="474"/>
      <c r="E10" s="125" t="s">
        <v>2328</v>
      </c>
      <c r="F10" s="125" t="s">
        <v>2328</v>
      </c>
      <c r="G10" s="1212" t="s">
        <v>11</v>
      </c>
      <c r="H10" s="125" t="s">
        <v>1646</v>
      </c>
      <c r="I10" s="125" t="s">
        <v>2328</v>
      </c>
      <c r="J10" s="1212" t="s">
        <v>11</v>
      </c>
      <c r="K10" s="125" t="s">
        <v>1646</v>
      </c>
      <c r="L10" s="125" t="s">
        <v>2328</v>
      </c>
      <c r="M10" s="125" t="s">
        <v>2328</v>
      </c>
      <c r="N10" s="125" t="s">
        <v>2328</v>
      </c>
      <c r="O10" s="1212" t="s">
        <v>11</v>
      </c>
      <c r="P10" s="125" t="s">
        <v>2328</v>
      </c>
      <c r="Q10" s="1212" t="s">
        <v>95</v>
      </c>
      <c r="R10" s="1212" t="s">
        <v>95</v>
      </c>
      <c r="S10" s="1212" t="s">
        <v>95</v>
      </c>
      <c r="T10" s="1212" t="s">
        <v>95</v>
      </c>
      <c r="U10" s="1212" t="str">
        <f>VLOOKUP(U2,TOV!$C$491:$G$507,5,FALSE)</f>
        <v>Item</v>
      </c>
      <c r="V10" s="1212" t="str">
        <f>VLOOKUP(V2,TOV!$C$491:$G$507,5,FALSE)</f>
        <v>Item</v>
      </c>
      <c r="W10" s="1212" t="str">
        <f>VLOOKUP(W2,TOV!$C$491:$G$507,5,FALSE)</f>
        <v>item</v>
      </c>
      <c r="X10" s="1212" t="str">
        <f>VLOOKUP(X2,TOV!$C$491:$G$507,5,FALSE)</f>
        <v>m</v>
      </c>
      <c r="Y10" s="1212" t="str">
        <f>VLOOKUP(Y2,TOV!$C$491:$G$507,5,FALSE)</f>
        <v>Item</v>
      </c>
      <c r="Z10" s="1212" t="str">
        <f>VLOOKUP(Z2,TOV!$C$491:$G$507,5,FALSE)</f>
        <v>Item</v>
      </c>
      <c r="AA10" s="1212" t="str">
        <f>VLOOKUP(AA2,TOV!$C$491:$G$507,5,FALSE)</f>
        <v>Item</v>
      </c>
      <c r="AB10" s="1212" t="str">
        <f>VLOOKUP(AB2,TOV!$C$491:$G$507,5,FALSE)</f>
        <v>Item</v>
      </c>
      <c r="AC10" s="1212" t="str">
        <f>VLOOKUP(AC2,TOV!$C$491:$G$507,5,FALSE)</f>
        <v>Item</v>
      </c>
      <c r="AD10" s="1212" t="str">
        <f>VLOOKUP(AD2,TOV!$C$491:$G$507,5,FALSE)</f>
        <v>Item</v>
      </c>
      <c r="AE10" s="1212" t="str">
        <f>VLOOKUP(AE2,TOV!$C$491:$G$507,5,FALSE)</f>
        <v>Item</v>
      </c>
      <c r="AF10" s="1212" t="str">
        <f>VLOOKUP(AF2,TOV!$C$491:$G$507,5,FALSE)</f>
        <v>m</v>
      </c>
      <c r="AG10" s="1212" t="str">
        <f>VLOOKUP(AG2,TOV!$C$491:$G$507,5,FALSE)</f>
        <v>m</v>
      </c>
      <c r="AH10" s="1212" t="str">
        <f>VLOOKUP(AH2,TOV!$C$491:$G$507,5,FALSE)</f>
        <v>ha</v>
      </c>
      <c r="AI10" s="1212" t="str">
        <f>VLOOKUP(AI2,TOV!$C$491:$G$507,5,FALSE)</f>
        <v>ha</v>
      </c>
      <c r="AJ10" s="1212" t="str">
        <f>VLOOKUP(AJ2,TOV!$C$491:$G$507,5,FALSE)</f>
        <v>ha</v>
      </c>
      <c r="AK10" s="1212" t="str">
        <f>VLOOKUP(AK2,TOV!$C$491:$G$507,5,FALSE)</f>
        <v>ha</v>
      </c>
      <c r="AP10" s="474"/>
      <c r="AQ10" s="474"/>
      <c r="AR10" s="474"/>
      <c r="AS10" s="474"/>
      <c r="AT10" s="474"/>
      <c r="AU10" s="474"/>
      <c r="AV10" s="474"/>
      <c r="AW10" s="474"/>
      <c r="AX10" s="474"/>
      <c r="AY10" s="474"/>
      <c r="AZ10" s="474"/>
    </row>
    <row r="11" spans="2:52" s="520" customFormat="1" ht="15">
      <c r="B11" s="310"/>
      <c r="C11" s="989">
        <v>1</v>
      </c>
      <c r="D11" s="168"/>
      <c r="E11" s="30"/>
      <c r="F11" s="42"/>
      <c r="G11" s="316"/>
      <c r="H11" s="40" t="s">
        <v>2329</v>
      </c>
      <c r="I11" s="78"/>
      <c r="J11" s="316"/>
      <c r="K11" s="40" t="s">
        <v>2329</v>
      </c>
      <c r="L11" s="78"/>
      <c r="M11" s="78"/>
      <c r="N11" s="78"/>
      <c r="O11" s="77"/>
      <c r="P11" s="78"/>
      <c r="Q11" s="316"/>
      <c r="R11" s="316"/>
      <c r="S11" s="316"/>
      <c r="T11" s="316"/>
      <c r="U11" s="351">
        <f>IF(E11&gt;0,E11*IF(U$4="",U$3,U$4),0)</f>
        <v>0</v>
      </c>
      <c r="V11" s="351">
        <f>F11*IF(V$4="",V$3,V$4)</f>
        <v>0</v>
      </c>
      <c r="W11" s="351">
        <f>I11*IF(W$4="",W$3,W$4)</f>
        <v>0</v>
      </c>
      <c r="X11" s="351">
        <f>O11*IF(X$4="",X$3,X$4)</f>
        <v>0</v>
      </c>
      <c r="Y11" s="351">
        <f>L11*IF(Y$4="",Y$3,Y$4)</f>
        <v>0</v>
      </c>
      <c r="Z11" s="351">
        <f>M11*IF(Z$4="",Z$3,Z$4)</f>
        <v>0</v>
      </c>
      <c r="AA11" s="351">
        <f>N11*IF(AA$4="",AA$3,AA$4)</f>
        <v>0</v>
      </c>
      <c r="AB11" s="351">
        <f>IF(H11=Lists!$B$47,(F11+P11)*IF(AB$4="",AB$3,AB$4),0)</f>
        <v>0</v>
      </c>
      <c r="AC11" s="351">
        <f>IF(K11=Lists!$B$47,I11*IF(AC$4="",AC$26,AC$4),0)</f>
        <v>0</v>
      </c>
      <c r="AD11" s="351">
        <f>IF(H11=Lists!$B$48,(F11+P11)*IF(AD$4="",AD$3,AD$4),0)</f>
        <v>0</v>
      </c>
      <c r="AE11" s="351">
        <f>IF(K11=Lists!$B$48,I11*IF(AE$4="",AE$3,AE$4),0)</f>
        <v>0</v>
      </c>
      <c r="AF11" s="351">
        <f>IF(H11=Lists!$B$46,F11*G11*IF(AF$4="",AF$3,AF$4),0)</f>
        <v>0</v>
      </c>
      <c r="AG11" s="351">
        <f>IF(K11=Lists!$B$46,I11*J11*IF(AG$4="",AG$3,AG$4),0)</f>
        <v>0</v>
      </c>
      <c r="AH11" s="351">
        <f>Q11*IF(AH$4="",AH$3,AH$4)</f>
        <v>0</v>
      </c>
      <c r="AI11" s="351">
        <f>R11*IF(AI$4="",AI$3,AI$4)</f>
        <v>0</v>
      </c>
      <c r="AJ11" s="351">
        <f>S11*IF(AJ$4="",AJ$3,AJ$4)</f>
        <v>0</v>
      </c>
      <c r="AK11" s="351">
        <f>T11*IF(AK$4="",AK$3,AK$4)</f>
        <v>0</v>
      </c>
      <c r="AL11" s="276">
        <f>SUM(U11:AK11)</f>
        <v>0</v>
      </c>
      <c r="AM11" s="423"/>
      <c r="AN11" s="363">
        <f>IF(AM11="",AL11,AM11)</f>
        <v>0</v>
      </c>
      <c r="AO11" s="215"/>
      <c r="AP11" s="217"/>
      <c r="AQ11" s="217"/>
      <c r="AR11" s="217"/>
      <c r="AS11" s="217"/>
      <c r="AT11" s="217"/>
      <c r="AU11" s="217"/>
      <c r="AV11" s="218"/>
    </row>
    <row r="12" spans="2:52" s="520" customFormat="1" ht="15">
      <c r="B12" s="310"/>
      <c r="C12" s="989">
        <f>C11+1</f>
        <v>2</v>
      </c>
      <c r="D12" s="168"/>
      <c r="E12" s="30"/>
      <c r="F12" s="42"/>
      <c r="G12" s="316"/>
      <c r="H12" s="40" t="s">
        <v>2330</v>
      </c>
      <c r="I12" s="78"/>
      <c r="J12" s="316"/>
      <c r="K12" s="40" t="s">
        <v>2330</v>
      </c>
      <c r="L12" s="78"/>
      <c r="M12" s="78"/>
      <c r="N12" s="78"/>
      <c r="O12" s="77"/>
      <c r="P12" s="78"/>
      <c r="Q12" s="316"/>
      <c r="R12" s="316"/>
      <c r="S12" s="316"/>
      <c r="T12" s="316"/>
      <c r="U12" s="351">
        <f t="shared" ref="U12:U30" si="1">IF(E12&gt;0,E12*IF(U$4="",U$3,U$4),0)</f>
        <v>0</v>
      </c>
      <c r="V12" s="351">
        <f t="shared" ref="V12:V30" si="2">F12*IF(V$4="",V$3,V$4)</f>
        <v>0</v>
      </c>
      <c r="W12" s="351">
        <f t="shared" ref="W12:W30" si="3">I12*IF(W$4="",W$3,W$4)</f>
        <v>0</v>
      </c>
      <c r="X12" s="351">
        <f t="shared" ref="X12:X30" si="4">O12*IF(X$4="",X$3,X$4)</f>
        <v>0</v>
      </c>
      <c r="Y12" s="351">
        <f t="shared" ref="Y12:Y30" si="5">L12*IF(Y$4="",Y$3,Y$4)</f>
        <v>0</v>
      </c>
      <c r="Z12" s="351">
        <f t="shared" ref="Z12:Z30" si="6">M12*IF(Z$4="",Z$3,Z$4)</f>
        <v>0</v>
      </c>
      <c r="AA12" s="351">
        <f t="shared" ref="AA12:AA30" si="7">N12*IF(AA$4="",AA$3,AA$4)</f>
        <v>0</v>
      </c>
      <c r="AB12" s="351">
        <f>IF(H12=Lists!$B$47,(F12+P12)*IF(AB$4="",AB$3,AB$4),0)</f>
        <v>0</v>
      </c>
      <c r="AC12" s="351">
        <f>IF(K12=Lists!$B$47,I12*IF(AC$4="",AC$26,AC$4),0)</f>
        <v>0</v>
      </c>
      <c r="AD12" s="351">
        <f>IF(H12=Lists!$B$48,(F12+P12)*IF(AD$4="",AD$3,AD$4),0)</f>
        <v>0</v>
      </c>
      <c r="AE12" s="351">
        <f>IF(K12=Lists!$B$48,I12*IF(AE$4="",AE$3,AE$4),0)</f>
        <v>0</v>
      </c>
      <c r="AF12" s="351">
        <f>IF(H12=Lists!$B$46,F12*G12*IF(AF$4="",AF$3,AF$4),0)</f>
        <v>0</v>
      </c>
      <c r="AG12" s="351">
        <f>IF(K12=Lists!$B$46,I12*J12*IF(AG$4="",AG$3,AG$4),0)</f>
        <v>0</v>
      </c>
      <c r="AH12" s="351">
        <f t="shared" ref="AH12:AH30" si="8">Q12*IF(AH$4="",AH$3,AH$4)</f>
        <v>0</v>
      </c>
      <c r="AI12" s="351">
        <f t="shared" ref="AI12:AI30" si="9">R12*IF(AI$4="",AI$3,AI$4)</f>
        <v>0</v>
      </c>
      <c r="AJ12" s="351">
        <f t="shared" ref="AJ12:AJ30" si="10">S12*IF(AJ$4="",AJ$3,AJ$4)</f>
        <v>0</v>
      </c>
      <c r="AK12" s="351">
        <f t="shared" ref="AK12:AK30" si="11">T12*IF(AK$4="",AK$3,AK$4)</f>
        <v>0</v>
      </c>
      <c r="AL12" s="276">
        <f t="shared" ref="AL12:AL30" si="12">SUM(U12:AK12)</f>
        <v>0</v>
      </c>
      <c r="AM12" s="423"/>
      <c r="AN12" s="363">
        <f t="shared" ref="AN12:AN30" si="13">IF(AM12="",AL12,AM12)</f>
        <v>0</v>
      </c>
      <c r="AO12" s="215"/>
      <c r="AP12" s="217"/>
      <c r="AQ12" s="217"/>
      <c r="AR12" s="217"/>
      <c r="AS12" s="217"/>
      <c r="AT12" s="217"/>
      <c r="AU12" s="217"/>
      <c r="AV12" s="218"/>
    </row>
    <row r="13" spans="2:52" s="520" customFormat="1" ht="15">
      <c r="B13" s="310"/>
      <c r="C13" s="989">
        <f t="shared" ref="C13:C30" si="14">C12+1</f>
        <v>3</v>
      </c>
      <c r="D13" s="168"/>
      <c r="E13" s="30"/>
      <c r="F13" s="42"/>
      <c r="G13" s="316"/>
      <c r="H13" s="40" t="s">
        <v>2331</v>
      </c>
      <c r="I13" s="78"/>
      <c r="J13" s="316"/>
      <c r="K13" s="40" t="s">
        <v>2331</v>
      </c>
      <c r="L13" s="78"/>
      <c r="M13" s="78"/>
      <c r="N13" s="78"/>
      <c r="O13" s="77"/>
      <c r="P13" s="78"/>
      <c r="Q13" s="316"/>
      <c r="R13" s="316"/>
      <c r="S13" s="316"/>
      <c r="T13" s="316"/>
      <c r="U13" s="351">
        <f t="shared" si="1"/>
        <v>0</v>
      </c>
      <c r="V13" s="351">
        <f t="shared" si="2"/>
        <v>0</v>
      </c>
      <c r="W13" s="351">
        <f t="shared" si="3"/>
        <v>0</v>
      </c>
      <c r="X13" s="351">
        <f t="shared" si="4"/>
        <v>0</v>
      </c>
      <c r="Y13" s="351">
        <f t="shared" si="5"/>
        <v>0</v>
      </c>
      <c r="Z13" s="351">
        <f t="shared" si="6"/>
        <v>0</v>
      </c>
      <c r="AA13" s="351">
        <f t="shared" si="7"/>
        <v>0</v>
      </c>
      <c r="AB13" s="351">
        <f>IF(H13=Lists!$B$47,(F13+P13)*IF(AB$4="",AB$3,AB$4),0)</f>
        <v>0</v>
      </c>
      <c r="AC13" s="351">
        <f>IF(K13=Lists!$B$47,I13*IF(AC$4="",AC$26,AC$4),0)</f>
        <v>0</v>
      </c>
      <c r="AD13" s="351">
        <f>IF(H13=Lists!$B$48,(F13+P13)*IF(AD$4="",AD$3,AD$4),0)</f>
        <v>0</v>
      </c>
      <c r="AE13" s="351">
        <f>IF(K13=Lists!$B$48,I13*IF(AE$4="",AE$3,AE$4),0)</f>
        <v>0</v>
      </c>
      <c r="AF13" s="351">
        <f>IF(H13=Lists!$B$46,F13*G13*IF(AF$4="",AF$3,AF$4),0)</f>
        <v>0</v>
      </c>
      <c r="AG13" s="351">
        <f>IF(K13=Lists!$B$46,I13*J13*IF(AG$4="",AG$3,AG$4),0)</f>
        <v>0</v>
      </c>
      <c r="AH13" s="351">
        <f t="shared" si="8"/>
        <v>0</v>
      </c>
      <c r="AI13" s="351">
        <f t="shared" si="9"/>
        <v>0</v>
      </c>
      <c r="AJ13" s="351">
        <f t="shared" si="10"/>
        <v>0</v>
      </c>
      <c r="AK13" s="351">
        <f t="shared" si="11"/>
        <v>0</v>
      </c>
      <c r="AL13" s="276">
        <f t="shared" si="12"/>
        <v>0</v>
      </c>
      <c r="AM13" s="423"/>
      <c r="AN13" s="363">
        <f t="shared" si="13"/>
        <v>0</v>
      </c>
      <c r="AO13" s="215"/>
      <c r="AP13" s="217"/>
      <c r="AQ13" s="217"/>
      <c r="AR13" s="217"/>
      <c r="AS13" s="217"/>
      <c r="AT13" s="217"/>
      <c r="AU13" s="217"/>
      <c r="AV13" s="218"/>
    </row>
    <row r="14" spans="2:52" s="520" customFormat="1" ht="15">
      <c r="B14" s="310"/>
      <c r="C14" s="989">
        <f t="shared" si="14"/>
        <v>4</v>
      </c>
      <c r="D14" s="168"/>
      <c r="E14" s="30"/>
      <c r="F14" s="42"/>
      <c r="G14" s="316"/>
      <c r="H14" s="40" t="s">
        <v>2329</v>
      </c>
      <c r="I14" s="78"/>
      <c r="J14" s="316"/>
      <c r="K14" s="40" t="s">
        <v>2331</v>
      </c>
      <c r="L14" s="78"/>
      <c r="M14" s="78"/>
      <c r="N14" s="78"/>
      <c r="O14" s="77"/>
      <c r="P14" s="78"/>
      <c r="Q14" s="316"/>
      <c r="R14" s="316"/>
      <c r="S14" s="316"/>
      <c r="T14" s="316"/>
      <c r="U14" s="351">
        <f t="shared" si="1"/>
        <v>0</v>
      </c>
      <c r="V14" s="351">
        <f t="shared" si="2"/>
        <v>0</v>
      </c>
      <c r="W14" s="351">
        <f t="shared" si="3"/>
        <v>0</v>
      </c>
      <c r="X14" s="351">
        <f t="shared" si="4"/>
        <v>0</v>
      </c>
      <c r="Y14" s="351">
        <f t="shared" si="5"/>
        <v>0</v>
      </c>
      <c r="Z14" s="351">
        <f t="shared" si="6"/>
        <v>0</v>
      </c>
      <c r="AA14" s="351">
        <f t="shared" si="7"/>
        <v>0</v>
      </c>
      <c r="AB14" s="351">
        <f>IF(H14=Lists!$B$47,(F14+P14)*IF(AB$4="",AB$3,AB$4),0)</f>
        <v>0</v>
      </c>
      <c r="AC14" s="351">
        <f>IF(K14=Lists!$B$47,I14*IF(AC$4="",AC$26,AC$4),0)</f>
        <v>0</v>
      </c>
      <c r="AD14" s="351">
        <f>IF(H14=Lists!$B$48,(F14+P14)*IF(AD$4="",AD$3,AD$4),0)</f>
        <v>0</v>
      </c>
      <c r="AE14" s="351">
        <f>IF(K14=Lists!$B$48,I14*IF(AE$4="",AE$3,AE$4),0)</f>
        <v>0</v>
      </c>
      <c r="AF14" s="351">
        <f>IF(H14=Lists!$B$46,F14*G14*IF(AF$4="",AF$3,AF$4),0)</f>
        <v>0</v>
      </c>
      <c r="AG14" s="351">
        <f>IF(K14=Lists!$B$46,I14*J14*IF(AG$4="",AG$3,AG$4),0)</f>
        <v>0</v>
      </c>
      <c r="AH14" s="351">
        <f t="shared" si="8"/>
        <v>0</v>
      </c>
      <c r="AI14" s="351">
        <f t="shared" si="9"/>
        <v>0</v>
      </c>
      <c r="AJ14" s="351">
        <f t="shared" si="10"/>
        <v>0</v>
      </c>
      <c r="AK14" s="351">
        <f t="shared" si="11"/>
        <v>0</v>
      </c>
      <c r="AL14" s="276">
        <f t="shared" si="12"/>
        <v>0</v>
      </c>
      <c r="AM14" s="423"/>
      <c r="AN14" s="363">
        <f t="shared" si="13"/>
        <v>0</v>
      </c>
      <c r="AO14" s="215"/>
      <c r="AP14" s="217"/>
      <c r="AQ14" s="217"/>
      <c r="AR14" s="217"/>
      <c r="AS14" s="217"/>
      <c r="AT14" s="217"/>
      <c r="AU14" s="217"/>
      <c r="AV14" s="218"/>
    </row>
    <row r="15" spans="2:52" s="520" customFormat="1" ht="15">
      <c r="B15" s="310"/>
      <c r="C15" s="989">
        <f t="shared" si="14"/>
        <v>5</v>
      </c>
      <c r="D15" s="168"/>
      <c r="E15" s="30"/>
      <c r="F15" s="42"/>
      <c r="G15" s="316"/>
      <c r="H15" s="40" t="s">
        <v>2330</v>
      </c>
      <c r="I15" s="78"/>
      <c r="J15" s="316"/>
      <c r="K15" s="40" t="s">
        <v>2331</v>
      </c>
      <c r="L15" s="78"/>
      <c r="M15" s="78"/>
      <c r="N15" s="78"/>
      <c r="O15" s="77"/>
      <c r="P15" s="78"/>
      <c r="Q15" s="316"/>
      <c r="R15" s="316"/>
      <c r="S15" s="316"/>
      <c r="T15" s="316"/>
      <c r="U15" s="351">
        <f t="shared" si="1"/>
        <v>0</v>
      </c>
      <c r="V15" s="351">
        <f t="shared" si="2"/>
        <v>0</v>
      </c>
      <c r="W15" s="351">
        <f t="shared" si="3"/>
        <v>0</v>
      </c>
      <c r="X15" s="351">
        <f t="shared" si="4"/>
        <v>0</v>
      </c>
      <c r="Y15" s="351">
        <f t="shared" si="5"/>
        <v>0</v>
      </c>
      <c r="Z15" s="351">
        <f t="shared" si="6"/>
        <v>0</v>
      </c>
      <c r="AA15" s="351">
        <f t="shared" si="7"/>
        <v>0</v>
      </c>
      <c r="AB15" s="351">
        <f>IF(H15=Lists!$B$47,(F15+P15)*IF(AB$4="",AB$3,AB$4),0)</f>
        <v>0</v>
      </c>
      <c r="AC15" s="351">
        <f>IF(K15=Lists!$B$47,I15*IF(AC$4="",AC$26,AC$4),0)</f>
        <v>0</v>
      </c>
      <c r="AD15" s="351">
        <f>IF(H15=Lists!$B$48,(F15+P15)*IF(AD$4="",AD$3,AD$4),0)</f>
        <v>0</v>
      </c>
      <c r="AE15" s="351">
        <f>IF(K15=Lists!$B$48,I15*IF(AE$4="",AE$3,AE$4),0)</f>
        <v>0</v>
      </c>
      <c r="AF15" s="351">
        <f>IF(H15=Lists!$B$46,F15*G15*IF(AF$4="",AF$3,AF$4),0)</f>
        <v>0</v>
      </c>
      <c r="AG15" s="351">
        <f>IF(K15=Lists!$B$46,I15*J15*IF(AG$4="",AG$3,AG$4),0)</f>
        <v>0</v>
      </c>
      <c r="AH15" s="351">
        <f t="shared" si="8"/>
        <v>0</v>
      </c>
      <c r="AI15" s="351">
        <f t="shared" si="9"/>
        <v>0</v>
      </c>
      <c r="AJ15" s="351">
        <f t="shared" si="10"/>
        <v>0</v>
      </c>
      <c r="AK15" s="351">
        <f t="shared" si="11"/>
        <v>0</v>
      </c>
      <c r="AL15" s="276">
        <f t="shared" si="12"/>
        <v>0</v>
      </c>
      <c r="AM15" s="423"/>
      <c r="AN15" s="363">
        <f t="shared" si="13"/>
        <v>0</v>
      </c>
      <c r="AO15" s="215"/>
      <c r="AP15" s="217"/>
      <c r="AQ15" s="217"/>
      <c r="AR15" s="217"/>
      <c r="AS15" s="217"/>
      <c r="AT15" s="217"/>
      <c r="AU15" s="217"/>
      <c r="AV15" s="218"/>
    </row>
    <row r="16" spans="2:52" s="520" customFormat="1" ht="15">
      <c r="B16" s="310"/>
      <c r="C16" s="989">
        <f t="shared" si="14"/>
        <v>6</v>
      </c>
      <c r="D16" s="168"/>
      <c r="E16" s="30"/>
      <c r="F16" s="42"/>
      <c r="G16" s="316"/>
      <c r="H16" s="40" t="s">
        <v>2330</v>
      </c>
      <c r="I16" s="78"/>
      <c r="J16" s="316"/>
      <c r="K16" s="40" t="s">
        <v>2331</v>
      </c>
      <c r="L16" s="78"/>
      <c r="M16" s="78"/>
      <c r="N16" s="78"/>
      <c r="O16" s="77"/>
      <c r="P16" s="78"/>
      <c r="Q16" s="316"/>
      <c r="R16" s="316"/>
      <c r="S16" s="316"/>
      <c r="T16" s="316"/>
      <c r="U16" s="351">
        <f t="shared" si="1"/>
        <v>0</v>
      </c>
      <c r="V16" s="351">
        <f t="shared" si="2"/>
        <v>0</v>
      </c>
      <c r="W16" s="351">
        <f t="shared" si="3"/>
        <v>0</v>
      </c>
      <c r="X16" s="351">
        <f t="shared" si="4"/>
        <v>0</v>
      </c>
      <c r="Y16" s="351">
        <f t="shared" si="5"/>
        <v>0</v>
      </c>
      <c r="Z16" s="351">
        <f t="shared" si="6"/>
        <v>0</v>
      </c>
      <c r="AA16" s="351">
        <f t="shared" si="7"/>
        <v>0</v>
      </c>
      <c r="AB16" s="351">
        <f>IF(H16=Lists!$B$47,(F16+P16)*IF(AB$4="",AB$3,AB$4),0)</f>
        <v>0</v>
      </c>
      <c r="AC16" s="351">
        <f>IF(K16=Lists!$B$47,I16*IF(AC$4="",AC$26,AC$4),0)</f>
        <v>0</v>
      </c>
      <c r="AD16" s="351">
        <f>IF(H16=Lists!$B$48,(F16+P16)*IF(AD$4="",AD$3,AD$4),0)</f>
        <v>0</v>
      </c>
      <c r="AE16" s="351">
        <f>IF(K16=Lists!$B$48,I16*IF(AE$4="",AE$3,AE$4),0)</f>
        <v>0</v>
      </c>
      <c r="AF16" s="351">
        <f>IF(H16=Lists!$B$46,F16*G16*IF(AF$4="",AF$3,AF$4),0)</f>
        <v>0</v>
      </c>
      <c r="AG16" s="351">
        <f>IF(K16=Lists!$B$46,I16*J16*IF(AG$4="",AG$3,AG$4),0)</f>
        <v>0</v>
      </c>
      <c r="AH16" s="351">
        <f t="shared" si="8"/>
        <v>0</v>
      </c>
      <c r="AI16" s="351">
        <f t="shared" si="9"/>
        <v>0</v>
      </c>
      <c r="AJ16" s="351">
        <f t="shared" si="10"/>
        <v>0</v>
      </c>
      <c r="AK16" s="351">
        <f t="shared" si="11"/>
        <v>0</v>
      </c>
      <c r="AL16" s="276">
        <f t="shared" si="12"/>
        <v>0</v>
      </c>
      <c r="AM16" s="423"/>
      <c r="AN16" s="363">
        <f t="shared" si="13"/>
        <v>0</v>
      </c>
      <c r="AO16" s="215"/>
      <c r="AP16" s="217"/>
      <c r="AQ16" s="217"/>
      <c r="AR16" s="217"/>
      <c r="AS16" s="217"/>
      <c r="AT16" s="217"/>
      <c r="AU16" s="217"/>
      <c r="AV16" s="218"/>
    </row>
    <row r="17" spans="1:48" s="520" customFormat="1" ht="15">
      <c r="B17" s="310"/>
      <c r="C17" s="989">
        <f t="shared" si="14"/>
        <v>7</v>
      </c>
      <c r="D17" s="168"/>
      <c r="E17" s="30"/>
      <c r="F17" s="42"/>
      <c r="G17" s="316"/>
      <c r="H17" s="40" t="s">
        <v>2330</v>
      </c>
      <c r="I17" s="78"/>
      <c r="J17" s="316"/>
      <c r="K17" s="40" t="s">
        <v>2331</v>
      </c>
      <c r="L17" s="78"/>
      <c r="M17" s="78"/>
      <c r="N17" s="78"/>
      <c r="O17" s="77"/>
      <c r="P17" s="78"/>
      <c r="Q17" s="316"/>
      <c r="R17" s="316"/>
      <c r="S17" s="316"/>
      <c r="T17" s="316"/>
      <c r="U17" s="351">
        <f t="shared" si="1"/>
        <v>0</v>
      </c>
      <c r="V17" s="351">
        <f t="shared" si="2"/>
        <v>0</v>
      </c>
      <c r="W17" s="351">
        <f t="shared" si="3"/>
        <v>0</v>
      </c>
      <c r="X17" s="351">
        <f t="shared" si="4"/>
        <v>0</v>
      </c>
      <c r="Y17" s="351">
        <f t="shared" si="5"/>
        <v>0</v>
      </c>
      <c r="Z17" s="351">
        <f t="shared" si="6"/>
        <v>0</v>
      </c>
      <c r="AA17" s="351">
        <f t="shared" si="7"/>
        <v>0</v>
      </c>
      <c r="AB17" s="351">
        <f>IF(H17=Lists!$B$47,(F17+P17)*IF(AB$4="",AB$3,AB$4),0)</f>
        <v>0</v>
      </c>
      <c r="AC17" s="351">
        <f>IF(K17=Lists!$B$47,I17*IF(AC$4="",AC$26,AC$4),0)</f>
        <v>0</v>
      </c>
      <c r="AD17" s="351">
        <f>IF(H17=Lists!$B$48,(F17+P17)*IF(AD$4="",AD$3,AD$4),0)</f>
        <v>0</v>
      </c>
      <c r="AE17" s="351">
        <f>IF(K17=Lists!$B$48,I17*IF(AE$4="",AE$3,AE$4),0)</f>
        <v>0</v>
      </c>
      <c r="AF17" s="351">
        <f>IF(H17=Lists!$B$46,F17*G17*IF(AF$4="",AF$3,AF$4),0)</f>
        <v>0</v>
      </c>
      <c r="AG17" s="351">
        <f>IF(K17=Lists!$B$46,I17*J17*IF(AG$4="",AG$3,AG$4),0)</f>
        <v>0</v>
      </c>
      <c r="AH17" s="351">
        <f t="shared" si="8"/>
        <v>0</v>
      </c>
      <c r="AI17" s="351">
        <f t="shared" si="9"/>
        <v>0</v>
      </c>
      <c r="AJ17" s="351">
        <f t="shared" si="10"/>
        <v>0</v>
      </c>
      <c r="AK17" s="351">
        <f t="shared" si="11"/>
        <v>0</v>
      </c>
      <c r="AL17" s="276">
        <f t="shared" si="12"/>
        <v>0</v>
      </c>
      <c r="AM17" s="423"/>
      <c r="AN17" s="363">
        <f t="shared" si="13"/>
        <v>0</v>
      </c>
      <c r="AO17" s="215"/>
      <c r="AP17" s="217"/>
      <c r="AQ17" s="217"/>
      <c r="AR17" s="217"/>
      <c r="AS17" s="217"/>
      <c r="AT17" s="217"/>
      <c r="AU17" s="217"/>
      <c r="AV17" s="218"/>
    </row>
    <row r="18" spans="1:48" s="520" customFormat="1" ht="15">
      <c r="B18" s="310"/>
      <c r="C18" s="989">
        <f t="shared" si="14"/>
        <v>8</v>
      </c>
      <c r="D18" s="168"/>
      <c r="E18" s="30"/>
      <c r="F18" s="42"/>
      <c r="G18" s="316"/>
      <c r="H18" s="40" t="s">
        <v>2330</v>
      </c>
      <c r="I18" s="78"/>
      <c r="J18" s="316"/>
      <c r="K18" s="40" t="s">
        <v>2331</v>
      </c>
      <c r="L18" s="78"/>
      <c r="M18" s="78"/>
      <c r="N18" s="78"/>
      <c r="O18" s="77"/>
      <c r="P18" s="78"/>
      <c r="Q18" s="316"/>
      <c r="R18" s="316"/>
      <c r="S18" s="316"/>
      <c r="T18" s="316"/>
      <c r="U18" s="351">
        <f t="shared" si="1"/>
        <v>0</v>
      </c>
      <c r="V18" s="351">
        <f t="shared" si="2"/>
        <v>0</v>
      </c>
      <c r="W18" s="351">
        <f t="shared" si="3"/>
        <v>0</v>
      </c>
      <c r="X18" s="351">
        <f t="shared" si="4"/>
        <v>0</v>
      </c>
      <c r="Y18" s="351">
        <f t="shared" si="5"/>
        <v>0</v>
      </c>
      <c r="Z18" s="351">
        <f t="shared" si="6"/>
        <v>0</v>
      </c>
      <c r="AA18" s="351">
        <f t="shared" si="7"/>
        <v>0</v>
      </c>
      <c r="AB18" s="351">
        <f>IF(H18=Lists!$B$47,(F18+P18)*IF(AB$4="",AB$3,AB$4),0)</f>
        <v>0</v>
      </c>
      <c r="AC18" s="351">
        <f>IF(K18=Lists!$B$47,I18*IF(AC$4="",AC$26,AC$4),0)</f>
        <v>0</v>
      </c>
      <c r="AD18" s="351">
        <f>IF(H18=Lists!$B$48,(F18+P18)*IF(AD$4="",AD$3,AD$4),0)</f>
        <v>0</v>
      </c>
      <c r="AE18" s="351">
        <f>IF(K18=Lists!$B$48,I18*IF(AE$4="",AE$3,AE$4),0)</f>
        <v>0</v>
      </c>
      <c r="AF18" s="351">
        <f>IF(H18=Lists!$B$46,F18*G18*IF(AF$4="",AF$3,AF$4),0)</f>
        <v>0</v>
      </c>
      <c r="AG18" s="351">
        <f>IF(K18=Lists!$B$46,I18*J18*IF(AG$4="",AG$3,AG$4),0)</f>
        <v>0</v>
      </c>
      <c r="AH18" s="351">
        <f t="shared" si="8"/>
        <v>0</v>
      </c>
      <c r="AI18" s="351">
        <f t="shared" si="9"/>
        <v>0</v>
      </c>
      <c r="AJ18" s="351">
        <f t="shared" si="10"/>
        <v>0</v>
      </c>
      <c r="AK18" s="351">
        <f t="shared" si="11"/>
        <v>0</v>
      </c>
      <c r="AL18" s="276">
        <f t="shared" si="12"/>
        <v>0</v>
      </c>
      <c r="AM18" s="423"/>
      <c r="AN18" s="363">
        <f t="shared" si="13"/>
        <v>0</v>
      </c>
      <c r="AO18" s="215"/>
      <c r="AP18" s="217"/>
      <c r="AQ18" s="217"/>
      <c r="AR18" s="217"/>
      <c r="AS18" s="217"/>
      <c r="AT18" s="217"/>
      <c r="AU18" s="217"/>
      <c r="AV18" s="218"/>
    </row>
    <row r="19" spans="1:48" s="520" customFormat="1" ht="15">
      <c r="B19" s="310"/>
      <c r="C19" s="989">
        <f t="shared" si="14"/>
        <v>9</v>
      </c>
      <c r="D19" s="168"/>
      <c r="E19" s="30"/>
      <c r="F19" s="42"/>
      <c r="G19" s="316"/>
      <c r="H19" s="40" t="s">
        <v>2330</v>
      </c>
      <c r="I19" s="78"/>
      <c r="J19" s="316"/>
      <c r="K19" s="40" t="s">
        <v>2331</v>
      </c>
      <c r="L19" s="78"/>
      <c r="M19" s="78"/>
      <c r="N19" s="78"/>
      <c r="O19" s="77"/>
      <c r="P19" s="78"/>
      <c r="Q19" s="316"/>
      <c r="R19" s="316"/>
      <c r="S19" s="316"/>
      <c r="T19" s="316"/>
      <c r="U19" s="351">
        <f t="shared" si="1"/>
        <v>0</v>
      </c>
      <c r="V19" s="351">
        <f t="shared" si="2"/>
        <v>0</v>
      </c>
      <c r="W19" s="351">
        <f t="shared" si="3"/>
        <v>0</v>
      </c>
      <c r="X19" s="351">
        <f t="shared" si="4"/>
        <v>0</v>
      </c>
      <c r="Y19" s="351">
        <f t="shared" si="5"/>
        <v>0</v>
      </c>
      <c r="Z19" s="351">
        <f t="shared" si="6"/>
        <v>0</v>
      </c>
      <c r="AA19" s="351">
        <f t="shared" si="7"/>
        <v>0</v>
      </c>
      <c r="AB19" s="351">
        <f>IF(H19=Lists!$B$47,(F19+P19)*IF(AB$4="",AB$3,AB$4),0)</f>
        <v>0</v>
      </c>
      <c r="AC19" s="351">
        <f>IF(K19=Lists!$B$47,I19*IF(AC$4="",AC$26,AC$4),0)</f>
        <v>0</v>
      </c>
      <c r="AD19" s="351">
        <f>IF(H19=Lists!$B$48,(F19+P19)*IF(AD$4="",AD$3,AD$4),0)</f>
        <v>0</v>
      </c>
      <c r="AE19" s="351">
        <f>IF(K19=Lists!$B$48,I19*IF(AE$4="",AE$3,AE$4),0)</f>
        <v>0</v>
      </c>
      <c r="AF19" s="351">
        <f>IF(H19=Lists!$B$46,F19*G19*IF(AF$4="",AF$3,AF$4),0)</f>
        <v>0</v>
      </c>
      <c r="AG19" s="351">
        <f>IF(K19=Lists!$B$46,I19*J19*IF(AG$4="",AG$3,AG$4),0)</f>
        <v>0</v>
      </c>
      <c r="AH19" s="351">
        <f t="shared" si="8"/>
        <v>0</v>
      </c>
      <c r="AI19" s="351">
        <f t="shared" si="9"/>
        <v>0</v>
      </c>
      <c r="AJ19" s="351">
        <f t="shared" si="10"/>
        <v>0</v>
      </c>
      <c r="AK19" s="351">
        <f t="shared" si="11"/>
        <v>0</v>
      </c>
      <c r="AL19" s="276">
        <f t="shared" si="12"/>
        <v>0</v>
      </c>
      <c r="AM19" s="423"/>
      <c r="AN19" s="363">
        <f t="shared" si="13"/>
        <v>0</v>
      </c>
      <c r="AO19" s="215"/>
      <c r="AP19" s="217"/>
      <c r="AQ19" s="217"/>
      <c r="AR19" s="217"/>
      <c r="AS19" s="217"/>
      <c r="AT19" s="217"/>
      <c r="AU19" s="217"/>
      <c r="AV19" s="218"/>
    </row>
    <row r="20" spans="1:48" s="520" customFormat="1" ht="15">
      <c r="B20" s="310"/>
      <c r="C20" s="989">
        <f t="shared" si="14"/>
        <v>10</v>
      </c>
      <c r="D20" s="168"/>
      <c r="E20" s="30"/>
      <c r="F20" s="42"/>
      <c r="G20" s="316"/>
      <c r="H20" s="40" t="s">
        <v>2330</v>
      </c>
      <c r="I20" s="78"/>
      <c r="J20" s="316"/>
      <c r="K20" s="40" t="s">
        <v>2331</v>
      </c>
      <c r="L20" s="78"/>
      <c r="M20" s="78"/>
      <c r="N20" s="78"/>
      <c r="O20" s="77"/>
      <c r="P20" s="78"/>
      <c r="Q20" s="316"/>
      <c r="R20" s="316"/>
      <c r="S20" s="316"/>
      <c r="T20" s="316"/>
      <c r="U20" s="351">
        <f t="shared" si="1"/>
        <v>0</v>
      </c>
      <c r="V20" s="351">
        <f t="shared" si="2"/>
        <v>0</v>
      </c>
      <c r="W20" s="351">
        <f t="shared" si="3"/>
        <v>0</v>
      </c>
      <c r="X20" s="351">
        <f t="shared" si="4"/>
        <v>0</v>
      </c>
      <c r="Y20" s="351">
        <f t="shared" si="5"/>
        <v>0</v>
      </c>
      <c r="Z20" s="351">
        <f t="shared" si="6"/>
        <v>0</v>
      </c>
      <c r="AA20" s="351">
        <f t="shared" si="7"/>
        <v>0</v>
      </c>
      <c r="AB20" s="351">
        <f>IF(H20=Lists!$B$47,(F20+P20)*IF(AB$4="",AB$3,AB$4),0)</f>
        <v>0</v>
      </c>
      <c r="AC20" s="351">
        <f>IF(K20=Lists!$B$47,I20*IF(AC$4="",AC$26,AC$4),0)</f>
        <v>0</v>
      </c>
      <c r="AD20" s="351">
        <f>IF(H20=Lists!$B$48,(F20+P20)*IF(AD$4="",AD$3,AD$4),0)</f>
        <v>0</v>
      </c>
      <c r="AE20" s="351">
        <f>IF(K20=Lists!$B$48,I20*IF(AE$4="",AE$3,AE$4),0)</f>
        <v>0</v>
      </c>
      <c r="AF20" s="351">
        <f>IF(H20=Lists!$B$46,F20*G20*IF(AF$4="",AF$3,AF$4),0)</f>
        <v>0</v>
      </c>
      <c r="AG20" s="351">
        <f>IF(K20=Lists!$B$46,I20*J20*IF(AG$4="",AG$3,AG$4),0)</f>
        <v>0</v>
      </c>
      <c r="AH20" s="351">
        <f t="shared" si="8"/>
        <v>0</v>
      </c>
      <c r="AI20" s="351">
        <f t="shared" si="9"/>
        <v>0</v>
      </c>
      <c r="AJ20" s="351">
        <f t="shared" si="10"/>
        <v>0</v>
      </c>
      <c r="AK20" s="351">
        <f t="shared" si="11"/>
        <v>0</v>
      </c>
      <c r="AL20" s="276">
        <f t="shared" si="12"/>
        <v>0</v>
      </c>
      <c r="AM20" s="423"/>
      <c r="AN20" s="363">
        <f t="shared" si="13"/>
        <v>0</v>
      </c>
      <c r="AO20" s="215"/>
      <c r="AP20" s="217"/>
      <c r="AQ20" s="217"/>
      <c r="AR20" s="217"/>
      <c r="AS20" s="217"/>
      <c r="AT20" s="217"/>
      <c r="AU20" s="217"/>
      <c r="AV20" s="218"/>
    </row>
    <row r="21" spans="1:48" s="520" customFormat="1" ht="15">
      <c r="B21" s="310"/>
      <c r="C21" s="989">
        <f t="shared" si="14"/>
        <v>11</v>
      </c>
      <c r="D21" s="168"/>
      <c r="E21" s="30"/>
      <c r="F21" s="42"/>
      <c r="G21" s="316"/>
      <c r="H21" s="40" t="s">
        <v>2330</v>
      </c>
      <c r="I21" s="78"/>
      <c r="J21" s="316"/>
      <c r="K21" s="40" t="s">
        <v>2331</v>
      </c>
      <c r="L21" s="78"/>
      <c r="M21" s="78"/>
      <c r="N21" s="78"/>
      <c r="O21" s="77"/>
      <c r="P21" s="78"/>
      <c r="Q21" s="316"/>
      <c r="R21" s="316"/>
      <c r="S21" s="316"/>
      <c r="T21" s="316"/>
      <c r="U21" s="351">
        <f t="shared" si="1"/>
        <v>0</v>
      </c>
      <c r="V21" s="351">
        <f t="shared" si="2"/>
        <v>0</v>
      </c>
      <c r="W21" s="351">
        <f t="shared" si="3"/>
        <v>0</v>
      </c>
      <c r="X21" s="351">
        <f t="shared" si="4"/>
        <v>0</v>
      </c>
      <c r="Y21" s="351">
        <f t="shared" si="5"/>
        <v>0</v>
      </c>
      <c r="Z21" s="351">
        <f t="shared" si="6"/>
        <v>0</v>
      </c>
      <c r="AA21" s="351">
        <f t="shared" si="7"/>
        <v>0</v>
      </c>
      <c r="AB21" s="351">
        <f>IF(H21=Lists!$B$47,(F21+P21)*IF(AB$4="",AB$3,AB$4),0)</f>
        <v>0</v>
      </c>
      <c r="AC21" s="351">
        <f>IF(K21=Lists!$B$47,I21*IF(AC$4="",AC$26,AC$4),0)</f>
        <v>0</v>
      </c>
      <c r="AD21" s="351">
        <f>IF(H21=Lists!$B$48,(F21+P21)*IF(AD$4="",AD$3,AD$4),0)</f>
        <v>0</v>
      </c>
      <c r="AE21" s="351">
        <f>IF(K21=Lists!$B$48,I21*IF(AE$4="",AE$3,AE$4),0)</f>
        <v>0</v>
      </c>
      <c r="AF21" s="351">
        <f>IF(H21=Lists!$B$46,F21*G21*IF(AF$4="",AF$3,AF$4),0)</f>
        <v>0</v>
      </c>
      <c r="AG21" s="351">
        <f>IF(K21=Lists!$B$46,I21*J21*IF(AG$4="",AG$3,AG$4),0)</f>
        <v>0</v>
      </c>
      <c r="AH21" s="351">
        <f t="shared" si="8"/>
        <v>0</v>
      </c>
      <c r="AI21" s="351">
        <f t="shared" si="9"/>
        <v>0</v>
      </c>
      <c r="AJ21" s="351">
        <f t="shared" si="10"/>
        <v>0</v>
      </c>
      <c r="AK21" s="351">
        <f t="shared" si="11"/>
        <v>0</v>
      </c>
      <c r="AL21" s="276">
        <f t="shared" si="12"/>
        <v>0</v>
      </c>
      <c r="AM21" s="423"/>
      <c r="AN21" s="363">
        <f t="shared" si="13"/>
        <v>0</v>
      </c>
      <c r="AO21" s="215"/>
      <c r="AP21" s="217"/>
      <c r="AQ21" s="217"/>
      <c r="AR21" s="217"/>
      <c r="AS21" s="217"/>
      <c r="AT21" s="217"/>
      <c r="AU21" s="217"/>
      <c r="AV21" s="218"/>
    </row>
    <row r="22" spans="1:48" s="520" customFormat="1" ht="15">
      <c r="B22" s="310"/>
      <c r="C22" s="989">
        <f t="shared" si="14"/>
        <v>12</v>
      </c>
      <c r="D22" s="168"/>
      <c r="E22" s="30"/>
      <c r="F22" s="42"/>
      <c r="G22" s="316"/>
      <c r="H22" s="40" t="s">
        <v>2330</v>
      </c>
      <c r="I22" s="78"/>
      <c r="J22" s="316"/>
      <c r="K22" s="40" t="s">
        <v>2331</v>
      </c>
      <c r="L22" s="78"/>
      <c r="M22" s="78"/>
      <c r="N22" s="78"/>
      <c r="O22" s="77"/>
      <c r="P22" s="78"/>
      <c r="Q22" s="316"/>
      <c r="R22" s="316"/>
      <c r="S22" s="316"/>
      <c r="T22" s="316"/>
      <c r="U22" s="351">
        <f t="shared" si="1"/>
        <v>0</v>
      </c>
      <c r="V22" s="351">
        <f t="shared" si="2"/>
        <v>0</v>
      </c>
      <c r="W22" s="351">
        <f t="shared" si="3"/>
        <v>0</v>
      </c>
      <c r="X22" s="351">
        <f t="shared" si="4"/>
        <v>0</v>
      </c>
      <c r="Y22" s="351">
        <f t="shared" si="5"/>
        <v>0</v>
      </c>
      <c r="Z22" s="351">
        <f t="shared" si="6"/>
        <v>0</v>
      </c>
      <c r="AA22" s="351">
        <f t="shared" si="7"/>
        <v>0</v>
      </c>
      <c r="AB22" s="351">
        <f>IF(H22=Lists!$B$47,(F22+P22)*IF(AB$4="",AB$3,AB$4),0)</f>
        <v>0</v>
      </c>
      <c r="AC22" s="351">
        <f>IF(K22=Lists!$B$47,I22*IF(AC$4="",AC$26,AC$4),0)</f>
        <v>0</v>
      </c>
      <c r="AD22" s="351">
        <f>IF(H22=Lists!$B$48,(F22+P22)*IF(AD$4="",AD$3,AD$4),0)</f>
        <v>0</v>
      </c>
      <c r="AE22" s="351">
        <f>IF(K22=Lists!$B$48,I22*IF(AE$4="",AE$3,AE$4),0)</f>
        <v>0</v>
      </c>
      <c r="AF22" s="351">
        <f>IF(H22=Lists!$B$46,F22*G22*IF(AF$4="",AF$3,AF$4),0)</f>
        <v>0</v>
      </c>
      <c r="AG22" s="351">
        <f>IF(K22=Lists!$B$46,I22*J22*IF(AG$4="",AG$3,AG$4),0)</f>
        <v>0</v>
      </c>
      <c r="AH22" s="351">
        <f t="shared" si="8"/>
        <v>0</v>
      </c>
      <c r="AI22" s="351">
        <f t="shared" si="9"/>
        <v>0</v>
      </c>
      <c r="AJ22" s="351">
        <f t="shared" si="10"/>
        <v>0</v>
      </c>
      <c r="AK22" s="351">
        <f t="shared" si="11"/>
        <v>0</v>
      </c>
      <c r="AL22" s="276">
        <f t="shared" si="12"/>
        <v>0</v>
      </c>
      <c r="AM22" s="423"/>
      <c r="AN22" s="363">
        <f t="shared" si="13"/>
        <v>0</v>
      </c>
      <c r="AO22" s="215"/>
      <c r="AP22" s="217"/>
      <c r="AQ22" s="217"/>
      <c r="AR22" s="217"/>
      <c r="AS22" s="217"/>
      <c r="AT22" s="217"/>
      <c r="AU22" s="217"/>
      <c r="AV22" s="218"/>
    </row>
    <row r="23" spans="1:48" s="520" customFormat="1" ht="15">
      <c r="B23" s="310"/>
      <c r="C23" s="989">
        <f t="shared" si="14"/>
        <v>13</v>
      </c>
      <c r="D23" s="168"/>
      <c r="E23" s="30"/>
      <c r="F23" s="42"/>
      <c r="G23" s="316"/>
      <c r="H23" s="40" t="s">
        <v>2330</v>
      </c>
      <c r="I23" s="78"/>
      <c r="J23" s="316"/>
      <c r="K23" s="40" t="s">
        <v>2331</v>
      </c>
      <c r="L23" s="78"/>
      <c r="M23" s="78"/>
      <c r="N23" s="78"/>
      <c r="O23" s="77"/>
      <c r="P23" s="78"/>
      <c r="Q23" s="316"/>
      <c r="R23" s="316"/>
      <c r="S23" s="316"/>
      <c r="T23" s="316"/>
      <c r="U23" s="351">
        <f t="shared" si="1"/>
        <v>0</v>
      </c>
      <c r="V23" s="351">
        <f t="shared" si="2"/>
        <v>0</v>
      </c>
      <c r="W23" s="351">
        <f t="shared" si="3"/>
        <v>0</v>
      </c>
      <c r="X23" s="351">
        <f t="shared" si="4"/>
        <v>0</v>
      </c>
      <c r="Y23" s="351">
        <f t="shared" si="5"/>
        <v>0</v>
      </c>
      <c r="Z23" s="351">
        <f t="shared" si="6"/>
        <v>0</v>
      </c>
      <c r="AA23" s="351">
        <f t="shared" si="7"/>
        <v>0</v>
      </c>
      <c r="AB23" s="351">
        <f>IF(H23=Lists!$B$47,(F23+P23)*IF(AB$4="",AB$3,AB$4),0)</f>
        <v>0</v>
      </c>
      <c r="AC23" s="351">
        <f>IF(K23=Lists!$B$47,I23*IF(AC$4="",AC$26,AC$4),0)</f>
        <v>0</v>
      </c>
      <c r="AD23" s="351">
        <f>IF(H23=Lists!$B$48,(F23+P23)*IF(AD$4="",AD$3,AD$4),0)</f>
        <v>0</v>
      </c>
      <c r="AE23" s="351">
        <f>IF(K23=Lists!$B$48,I23*IF(AE$4="",AE$3,AE$4),0)</f>
        <v>0</v>
      </c>
      <c r="AF23" s="351">
        <f>IF(H23=Lists!$B$46,F23*G23*IF(AF$4="",AF$3,AF$4),0)</f>
        <v>0</v>
      </c>
      <c r="AG23" s="351">
        <f>IF(K23=Lists!$B$46,I23*J23*IF(AG$4="",AG$3,AG$4),0)</f>
        <v>0</v>
      </c>
      <c r="AH23" s="351">
        <f t="shared" si="8"/>
        <v>0</v>
      </c>
      <c r="AI23" s="351">
        <f t="shared" si="9"/>
        <v>0</v>
      </c>
      <c r="AJ23" s="351">
        <f t="shared" si="10"/>
        <v>0</v>
      </c>
      <c r="AK23" s="351">
        <f t="shared" si="11"/>
        <v>0</v>
      </c>
      <c r="AL23" s="276">
        <f t="shared" si="12"/>
        <v>0</v>
      </c>
      <c r="AM23" s="423"/>
      <c r="AN23" s="363">
        <f t="shared" si="13"/>
        <v>0</v>
      </c>
      <c r="AO23" s="215"/>
      <c r="AP23" s="217"/>
      <c r="AQ23" s="217"/>
      <c r="AR23" s="217"/>
      <c r="AS23" s="217"/>
      <c r="AT23" s="217"/>
      <c r="AU23" s="217"/>
      <c r="AV23" s="218"/>
    </row>
    <row r="24" spans="1:48" s="520" customFormat="1" ht="15">
      <c r="B24" s="310"/>
      <c r="C24" s="989">
        <f t="shared" si="14"/>
        <v>14</v>
      </c>
      <c r="D24" s="168"/>
      <c r="E24" s="30"/>
      <c r="F24" s="42"/>
      <c r="G24" s="316"/>
      <c r="H24" s="40" t="s">
        <v>2330</v>
      </c>
      <c r="I24" s="78"/>
      <c r="J24" s="316"/>
      <c r="K24" s="40" t="s">
        <v>2331</v>
      </c>
      <c r="L24" s="78"/>
      <c r="M24" s="78"/>
      <c r="N24" s="78"/>
      <c r="O24" s="77"/>
      <c r="P24" s="78"/>
      <c r="Q24" s="316"/>
      <c r="R24" s="316"/>
      <c r="S24" s="316"/>
      <c r="T24" s="316"/>
      <c r="U24" s="351">
        <f t="shared" si="1"/>
        <v>0</v>
      </c>
      <c r="V24" s="351">
        <f t="shared" si="2"/>
        <v>0</v>
      </c>
      <c r="W24" s="351">
        <f t="shared" si="3"/>
        <v>0</v>
      </c>
      <c r="X24" s="351">
        <f t="shared" si="4"/>
        <v>0</v>
      </c>
      <c r="Y24" s="351">
        <f t="shared" si="5"/>
        <v>0</v>
      </c>
      <c r="Z24" s="351">
        <f t="shared" si="6"/>
        <v>0</v>
      </c>
      <c r="AA24" s="351">
        <f t="shared" si="7"/>
        <v>0</v>
      </c>
      <c r="AB24" s="351">
        <f>IF(H24=Lists!$B$47,(F24+P24)*IF(AB$4="",AB$3,AB$4),0)</f>
        <v>0</v>
      </c>
      <c r="AC24" s="351">
        <f>IF(K24=Lists!$B$47,I24*IF(AC$4="",AC$26,AC$4),0)</f>
        <v>0</v>
      </c>
      <c r="AD24" s="351">
        <f>IF(H24=Lists!$B$48,(F24+P24)*IF(AD$4="",AD$3,AD$4),0)</f>
        <v>0</v>
      </c>
      <c r="AE24" s="351">
        <f>IF(K24=Lists!$B$48,I24*IF(AE$4="",AE$3,AE$4),0)</f>
        <v>0</v>
      </c>
      <c r="AF24" s="351">
        <f>IF(H24=Lists!$B$46,F24*G24*IF(AF$4="",AF$3,AF$4),0)</f>
        <v>0</v>
      </c>
      <c r="AG24" s="351">
        <f>IF(K24=Lists!$B$46,I24*J24*IF(AG$4="",AG$3,AG$4),0)</f>
        <v>0</v>
      </c>
      <c r="AH24" s="351">
        <f t="shared" si="8"/>
        <v>0</v>
      </c>
      <c r="AI24" s="351">
        <f t="shared" si="9"/>
        <v>0</v>
      </c>
      <c r="AJ24" s="351">
        <f t="shared" si="10"/>
        <v>0</v>
      </c>
      <c r="AK24" s="351">
        <f t="shared" si="11"/>
        <v>0</v>
      </c>
      <c r="AL24" s="276">
        <f t="shared" si="12"/>
        <v>0</v>
      </c>
      <c r="AM24" s="423"/>
      <c r="AN24" s="363">
        <f t="shared" si="13"/>
        <v>0</v>
      </c>
      <c r="AO24" s="215"/>
      <c r="AP24" s="217"/>
      <c r="AQ24" s="217"/>
      <c r="AR24" s="217"/>
      <c r="AS24" s="217"/>
      <c r="AT24" s="217"/>
      <c r="AU24" s="217"/>
      <c r="AV24" s="218"/>
    </row>
    <row r="25" spans="1:48" s="520" customFormat="1" ht="15">
      <c r="B25" s="310"/>
      <c r="C25" s="989">
        <f t="shared" si="14"/>
        <v>15</v>
      </c>
      <c r="D25" s="168"/>
      <c r="E25" s="30"/>
      <c r="F25" s="42"/>
      <c r="G25" s="316"/>
      <c r="H25" s="40" t="s">
        <v>2330</v>
      </c>
      <c r="I25" s="78"/>
      <c r="J25" s="316"/>
      <c r="K25" s="40" t="s">
        <v>2331</v>
      </c>
      <c r="L25" s="78"/>
      <c r="M25" s="78"/>
      <c r="N25" s="78"/>
      <c r="O25" s="77"/>
      <c r="P25" s="78"/>
      <c r="Q25" s="316"/>
      <c r="R25" s="316"/>
      <c r="S25" s="316"/>
      <c r="T25" s="316"/>
      <c r="U25" s="351">
        <f t="shared" si="1"/>
        <v>0</v>
      </c>
      <c r="V25" s="351">
        <f t="shared" si="2"/>
        <v>0</v>
      </c>
      <c r="W25" s="351">
        <f t="shared" si="3"/>
        <v>0</v>
      </c>
      <c r="X25" s="351">
        <f t="shared" si="4"/>
        <v>0</v>
      </c>
      <c r="Y25" s="351">
        <f t="shared" si="5"/>
        <v>0</v>
      </c>
      <c r="Z25" s="351">
        <f t="shared" si="6"/>
        <v>0</v>
      </c>
      <c r="AA25" s="351">
        <f t="shared" si="7"/>
        <v>0</v>
      </c>
      <c r="AB25" s="351">
        <f>IF(H25=Lists!$B$47,(F25+P25)*IF(AB$4="",AB$3,AB$4),0)</f>
        <v>0</v>
      </c>
      <c r="AC25" s="351">
        <f>IF(K25=Lists!$B$47,I25*IF(AC$4="",AC$26,AC$4),0)</f>
        <v>0</v>
      </c>
      <c r="AD25" s="351">
        <f>IF(H25=Lists!$B$48,(F25+P25)*IF(AD$4="",AD$3,AD$4),0)</f>
        <v>0</v>
      </c>
      <c r="AE25" s="351">
        <f>IF(K25=Lists!$B$48,I25*IF(AE$4="",AE$3,AE$4),0)</f>
        <v>0</v>
      </c>
      <c r="AF25" s="351">
        <f>IF(H25=Lists!$B$46,F25*G25*IF(AF$4="",AF$3,AF$4),0)</f>
        <v>0</v>
      </c>
      <c r="AG25" s="351">
        <f>IF(K25=Lists!$B$46,I25*J25*IF(AG$4="",AG$3,AG$4),0)</f>
        <v>0</v>
      </c>
      <c r="AH25" s="351">
        <f t="shared" si="8"/>
        <v>0</v>
      </c>
      <c r="AI25" s="351">
        <f t="shared" si="9"/>
        <v>0</v>
      </c>
      <c r="AJ25" s="351">
        <f t="shared" si="10"/>
        <v>0</v>
      </c>
      <c r="AK25" s="351">
        <f t="shared" si="11"/>
        <v>0</v>
      </c>
      <c r="AL25" s="276">
        <f t="shared" si="12"/>
        <v>0</v>
      </c>
      <c r="AM25" s="423"/>
      <c r="AN25" s="363">
        <f t="shared" si="13"/>
        <v>0</v>
      </c>
      <c r="AO25" s="215"/>
      <c r="AP25" s="217"/>
      <c r="AQ25" s="217"/>
      <c r="AR25" s="217"/>
      <c r="AS25" s="217"/>
      <c r="AT25" s="217"/>
      <c r="AU25" s="217"/>
      <c r="AV25" s="218"/>
    </row>
    <row r="26" spans="1:48" s="520" customFormat="1" ht="15">
      <c r="B26" s="310"/>
      <c r="C26" s="989">
        <f t="shared" si="14"/>
        <v>16</v>
      </c>
      <c r="D26" s="168"/>
      <c r="E26" s="30"/>
      <c r="F26" s="42"/>
      <c r="G26" s="316"/>
      <c r="H26" s="40" t="s">
        <v>2330</v>
      </c>
      <c r="I26" s="78"/>
      <c r="J26" s="316"/>
      <c r="K26" s="40" t="s">
        <v>2331</v>
      </c>
      <c r="L26" s="78"/>
      <c r="M26" s="78"/>
      <c r="N26" s="78"/>
      <c r="O26" s="77"/>
      <c r="P26" s="78"/>
      <c r="Q26" s="316"/>
      <c r="R26" s="316"/>
      <c r="S26" s="316"/>
      <c r="T26" s="316"/>
      <c r="U26" s="351">
        <f t="shared" si="1"/>
        <v>0</v>
      </c>
      <c r="V26" s="351">
        <f t="shared" si="2"/>
        <v>0</v>
      </c>
      <c r="W26" s="351">
        <f t="shared" si="3"/>
        <v>0</v>
      </c>
      <c r="X26" s="351">
        <f t="shared" si="4"/>
        <v>0</v>
      </c>
      <c r="Y26" s="351">
        <f t="shared" si="5"/>
        <v>0</v>
      </c>
      <c r="Z26" s="351">
        <f t="shared" si="6"/>
        <v>0</v>
      </c>
      <c r="AA26" s="351">
        <f t="shared" si="7"/>
        <v>0</v>
      </c>
      <c r="AB26" s="351">
        <f>IF(H26=Lists!$B$47,(F26+P26)*IF(AB$4="",AB$3,AB$4),0)</f>
        <v>0</v>
      </c>
      <c r="AC26" s="351">
        <f>IF(K26=Lists!$B$47,I26*IF(AC$4="",AC$26,AC$4),0)</f>
        <v>0</v>
      </c>
      <c r="AD26" s="351">
        <f>IF(H26=Lists!$B$48,(F26+P26)*IF(AD$4="",AD$3,AD$4),0)</f>
        <v>0</v>
      </c>
      <c r="AE26" s="351">
        <f>IF(K26=Lists!$B$48,I26*IF(AE$4="",AE$3,AE$4),0)</f>
        <v>0</v>
      </c>
      <c r="AF26" s="351">
        <f>IF(H26=Lists!$B$46,F26*G26*IF(AF$4="",AF$3,AF$4),0)</f>
        <v>0</v>
      </c>
      <c r="AG26" s="351">
        <f>IF(K26=Lists!$B$46,I26*J26*IF(AG$4="",AG$3,AG$4),0)</f>
        <v>0</v>
      </c>
      <c r="AH26" s="351">
        <f t="shared" si="8"/>
        <v>0</v>
      </c>
      <c r="AI26" s="351">
        <f t="shared" si="9"/>
        <v>0</v>
      </c>
      <c r="AJ26" s="351">
        <f t="shared" si="10"/>
        <v>0</v>
      </c>
      <c r="AK26" s="351">
        <f t="shared" si="11"/>
        <v>0</v>
      </c>
      <c r="AL26" s="276">
        <f t="shared" si="12"/>
        <v>0</v>
      </c>
      <c r="AM26" s="423"/>
      <c r="AN26" s="363">
        <f t="shared" si="13"/>
        <v>0</v>
      </c>
      <c r="AO26" s="215"/>
      <c r="AP26" s="217"/>
      <c r="AQ26" s="217"/>
      <c r="AR26" s="217"/>
      <c r="AS26" s="217"/>
      <c r="AT26" s="217"/>
      <c r="AU26" s="217"/>
      <c r="AV26" s="218"/>
    </row>
    <row r="27" spans="1:48" s="520" customFormat="1" ht="15">
      <c r="B27" s="310"/>
      <c r="C27" s="989">
        <f t="shared" si="14"/>
        <v>17</v>
      </c>
      <c r="D27" s="168"/>
      <c r="E27" s="30"/>
      <c r="F27" s="42"/>
      <c r="G27" s="316"/>
      <c r="H27" s="40" t="s">
        <v>2330</v>
      </c>
      <c r="I27" s="78"/>
      <c r="J27" s="316"/>
      <c r="K27" s="40" t="s">
        <v>2331</v>
      </c>
      <c r="L27" s="78"/>
      <c r="M27" s="78"/>
      <c r="N27" s="78"/>
      <c r="O27" s="77"/>
      <c r="P27" s="78"/>
      <c r="Q27" s="316"/>
      <c r="R27" s="316"/>
      <c r="S27" s="316"/>
      <c r="T27" s="316"/>
      <c r="U27" s="351">
        <f t="shared" si="1"/>
        <v>0</v>
      </c>
      <c r="V27" s="351">
        <f t="shared" si="2"/>
        <v>0</v>
      </c>
      <c r="W27" s="351">
        <f t="shared" si="3"/>
        <v>0</v>
      </c>
      <c r="X27" s="351">
        <f t="shared" si="4"/>
        <v>0</v>
      </c>
      <c r="Y27" s="351">
        <f t="shared" si="5"/>
        <v>0</v>
      </c>
      <c r="Z27" s="351">
        <f t="shared" si="6"/>
        <v>0</v>
      </c>
      <c r="AA27" s="351">
        <f t="shared" si="7"/>
        <v>0</v>
      </c>
      <c r="AB27" s="351">
        <f>IF(H27=Lists!$B$47,(F27+P27)*IF(AB$4="",AB$3,AB$4),0)</f>
        <v>0</v>
      </c>
      <c r="AC27" s="351">
        <f>IF(K27=Lists!$B$47,I27*IF(AC$4="",AC$26,AC$4),0)</f>
        <v>0</v>
      </c>
      <c r="AD27" s="351">
        <f>IF(H27=Lists!$B$48,(F27+P27)*IF(AD$4="",AD$3,AD$4),0)</f>
        <v>0</v>
      </c>
      <c r="AE27" s="351">
        <f>IF(K27=Lists!$B$48,I27*IF(AE$4="",AE$3,AE$4),0)</f>
        <v>0</v>
      </c>
      <c r="AF27" s="351">
        <f>IF(H27=Lists!$B$46,F27*G27*IF(AF$4="",AF$3,AF$4),0)</f>
        <v>0</v>
      </c>
      <c r="AG27" s="351">
        <f>IF(K27=Lists!$B$46,I27*J27*IF(AG$4="",AG$3,AG$4),0)</f>
        <v>0</v>
      </c>
      <c r="AH27" s="351">
        <f t="shared" si="8"/>
        <v>0</v>
      </c>
      <c r="AI27" s="351">
        <f t="shared" si="9"/>
        <v>0</v>
      </c>
      <c r="AJ27" s="351">
        <f t="shared" si="10"/>
        <v>0</v>
      </c>
      <c r="AK27" s="351">
        <f t="shared" si="11"/>
        <v>0</v>
      </c>
      <c r="AL27" s="276">
        <f t="shared" si="12"/>
        <v>0</v>
      </c>
      <c r="AM27" s="423"/>
      <c r="AN27" s="363">
        <f t="shared" si="13"/>
        <v>0</v>
      </c>
      <c r="AO27" s="215"/>
      <c r="AP27" s="217"/>
      <c r="AQ27" s="217"/>
      <c r="AR27" s="217"/>
      <c r="AS27" s="217"/>
      <c r="AT27" s="217"/>
      <c r="AU27" s="217"/>
      <c r="AV27" s="218"/>
    </row>
    <row r="28" spans="1:48" s="520" customFormat="1" ht="15">
      <c r="B28" s="310"/>
      <c r="C28" s="989">
        <f t="shared" si="14"/>
        <v>18</v>
      </c>
      <c r="D28" s="168"/>
      <c r="E28" s="30"/>
      <c r="F28" s="42"/>
      <c r="G28" s="316"/>
      <c r="H28" s="40" t="s">
        <v>2330</v>
      </c>
      <c r="I28" s="78"/>
      <c r="J28" s="316"/>
      <c r="K28" s="40" t="s">
        <v>2331</v>
      </c>
      <c r="L28" s="78"/>
      <c r="M28" s="78"/>
      <c r="N28" s="78"/>
      <c r="O28" s="77"/>
      <c r="P28" s="78"/>
      <c r="Q28" s="316"/>
      <c r="R28" s="316"/>
      <c r="S28" s="316"/>
      <c r="T28" s="316"/>
      <c r="U28" s="351">
        <f t="shared" si="1"/>
        <v>0</v>
      </c>
      <c r="V28" s="351">
        <f t="shared" si="2"/>
        <v>0</v>
      </c>
      <c r="W28" s="351">
        <f t="shared" si="3"/>
        <v>0</v>
      </c>
      <c r="X28" s="351">
        <f t="shared" si="4"/>
        <v>0</v>
      </c>
      <c r="Y28" s="351">
        <f t="shared" si="5"/>
        <v>0</v>
      </c>
      <c r="Z28" s="351">
        <f t="shared" si="6"/>
        <v>0</v>
      </c>
      <c r="AA28" s="351">
        <f t="shared" si="7"/>
        <v>0</v>
      </c>
      <c r="AB28" s="351">
        <f>IF(H28=Lists!$B$47,(F28+P28)*IF(AB$4="",AB$3,AB$4),0)</f>
        <v>0</v>
      </c>
      <c r="AC28" s="351">
        <f>IF(K28=Lists!$B$47,I28*IF(AC$4="",AC$26,AC$4),0)</f>
        <v>0</v>
      </c>
      <c r="AD28" s="351">
        <f>IF(H28=Lists!$B$48,(F28+P28)*IF(AD$4="",AD$3,AD$4),0)</f>
        <v>0</v>
      </c>
      <c r="AE28" s="351">
        <f>IF(K28=Lists!$B$48,I28*IF(AE$4="",AE$3,AE$4),0)</f>
        <v>0</v>
      </c>
      <c r="AF28" s="351">
        <f>IF(H28=Lists!$B$46,F28*G28*IF(AF$4="",AF$3,AF$4),0)</f>
        <v>0</v>
      </c>
      <c r="AG28" s="351">
        <f>IF(K28=Lists!$B$46,I28*J28*IF(AG$4="",AG$3,AG$4),0)</f>
        <v>0</v>
      </c>
      <c r="AH28" s="351">
        <f t="shared" si="8"/>
        <v>0</v>
      </c>
      <c r="AI28" s="351">
        <f t="shared" si="9"/>
        <v>0</v>
      </c>
      <c r="AJ28" s="351">
        <f t="shared" si="10"/>
        <v>0</v>
      </c>
      <c r="AK28" s="351">
        <f t="shared" si="11"/>
        <v>0</v>
      </c>
      <c r="AL28" s="276">
        <f t="shared" si="12"/>
        <v>0</v>
      </c>
      <c r="AM28" s="423"/>
      <c r="AN28" s="363">
        <f t="shared" si="13"/>
        <v>0</v>
      </c>
      <c r="AO28" s="215"/>
      <c r="AP28" s="217"/>
      <c r="AQ28" s="217"/>
      <c r="AR28" s="217"/>
      <c r="AS28" s="217"/>
      <c r="AT28" s="217"/>
      <c r="AU28" s="217"/>
      <c r="AV28" s="218"/>
    </row>
    <row r="29" spans="1:48" s="520" customFormat="1" ht="15">
      <c r="B29" s="310"/>
      <c r="C29" s="989">
        <f t="shared" si="14"/>
        <v>19</v>
      </c>
      <c r="D29" s="168"/>
      <c r="E29" s="30"/>
      <c r="F29" s="42"/>
      <c r="G29" s="316"/>
      <c r="H29" s="40" t="s">
        <v>2330</v>
      </c>
      <c r="I29" s="78"/>
      <c r="J29" s="316"/>
      <c r="K29" s="40" t="s">
        <v>2331</v>
      </c>
      <c r="L29" s="78"/>
      <c r="M29" s="78"/>
      <c r="N29" s="78"/>
      <c r="O29" s="77"/>
      <c r="P29" s="78"/>
      <c r="Q29" s="316"/>
      <c r="R29" s="316"/>
      <c r="S29" s="316"/>
      <c r="T29" s="316"/>
      <c r="U29" s="351">
        <f t="shared" si="1"/>
        <v>0</v>
      </c>
      <c r="V29" s="351">
        <f t="shared" si="2"/>
        <v>0</v>
      </c>
      <c r="W29" s="351">
        <f t="shared" si="3"/>
        <v>0</v>
      </c>
      <c r="X29" s="351">
        <f t="shared" si="4"/>
        <v>0</v>
      </c>
      <c r="Y29" s="351">
        <f t="shared" si="5"/>
        <v>0</v>
      </c>
      <c r="Z29" s="351">
        <f t="shared" si="6"/>
        <v>0</v>
      </c>
      <c r="AA29" s="351">
        <f t="shared" si="7"/>
        <v>0</v>
      </c>
      <c r="AB29" s="351">
        <f>IF(H29=Lists!$B$47,(F29+P29)*IF(AB$4="",AB$3,AB$4),0)</f>
        <v>0</v>
      </c>
      <c r="AC29" s="351">
        <f>IF(K29=Lists!$B$47,I29*IF(AC$4="",AC$26,AC$4),0)</f>
        <v>0</v>
      </c>
      <c r="AD29" s="351">
        <f>IF(H29=Lists!$B$48,(F29+P29)*IF(AD$4="",AD$3,AD$4),0)</f>
        <v>0</v>
      </c>
      <c r="AE29" s="351">
        <f>IF(K29=Lists!$B$48,I29*IF(AE$4="",AE$3,AE$4),0)</f>
        <v>0</v>
      </c>
      <c r="AF29" s="351">
        <f>IF(H29=Lists!$B$46,F29*G29*IF(AF$4="",AF$3,AF$4),0)</f>
        <v>0</v>
      </c>
      <c r="AG29" s="351">
        <f>IF(K29=Lists!$B$46,I29*J29*IF(AG$4="",AG$3,AG$4),0)</f>
        <v>0</v>
      </c>
      <c r="AH29" s="351">
        <f t="shared" si="8"/>
        <v>0</v>
      </c>
      <c r="AI29" s="351">
        <f t="shared" si="9"/>
        <v>0</v>
      </c>
      <c r="AJ29" s="351">
        <f t="shared" si="10"/>
        <v>0</v>
      </c>
      <c r="AK29" s="351">
        <f t="shared" si="11"/>
        <v>0</v>
      </c>
      <c r="AL29" s="276">
        <f t="shared" si="12"/>
        <v>0</v>
      </c>
      <c r="AM29" s="423"/>
      <c r="AN29" s="363">
        <f t="shared" si="13"/>
        <v>0</v>
      </c>
      <c r="AO29" s="215"/>
      <c r="AP29" s="217"/>
      <c r="AQ29" s="217"/>
      <c r="AR29" s="217"/>
      <c r="AS29" s="217"/>
      <c r="AT29" s="217"/>
      <c r="AU29" s="217"/>
      <c r="AV29" s="218"/>
    </row>
    <row r="30" spans="1:48" s="520" customFormat="1" ht="15">
      <c r="B30" s="301"/>
      <c r="C30" s="989">
        <f t="shared" si="14"/>
        <v>20</v>
      </c>
      <c r="D30" s="168"/>
      <c r="E30" s="30"/>
      <c r="F30" s="42"/>
      <c r="G30" s="316"/>
      <c r="H30" s="40" t="s">
        <v>2330</v>
      </c>
      <c r="I30" s="78"/>
      <c r="J30" s="316"/>
      <c r="K30" s="40" t="s">
        <v>2331</v>
      </c>
      <c r="L30" s="78"/>
      <c r="M30" s="78"/>
      <c r="N30" s="78"/>
      <c r="O30" s="77"/>
      <c r="P30" s="78"/>
      <c r="Q30" s="362"/>
      <c r="R30" s="362"/>
      <c r="S30" s="362"/>
      <c r="T30" s="316"/>
      <c r="U30" s="351">
        <f t="shared" si="1"/>
        <v>0</v>
      </c>
      <c r="V30" s="351">
        <f t="shared" si="2"/>
        <v>0</v>
      </c>
      <c r="W30" s="351">
        <f t="shared" si="3"/>
        <v>0</v>
      </c>
      <c r="X30" s="351">
        <f t="shared" si="4"/>
        <v>0</v>
      </c>
      <c r="Y30" s="351">
        <f t="shared" si="5"/>
        <v>0</v>
      </c>
      <c r="Z30" s="351">
        <f t="shared" si="6"/>
        <v>0</v>
      </c>
      <c r="AA30" s="351">
        <f t="shared" si="7"/>
        <v>0</v>
      </c>
      <c r="AB30" s="351">
        <f>IF(H30=Lists!$B$47,(F30+P30)*IF(AB$4="",AB$3,AB$4),0)</f>
        <v>0</v>
      </c>
      <c r="AC30" s="351">
        <f>IF(K30=Lists!$B$47,I30*IF(AC$4="",AC$26,AC$4),0)</f>
        <v>0</v>
      </c>
      <c r="AD30" s="351">
        <f>IF(H30=Lists!$B$48,(F30+P30)*IF(AD$4="",AD$3,AD$4),0)</f>
        <v>0</v>
      </c>
      <c r="AE30" s="351">
        <f>IF(K30=Lists!$B$48,I30*IF(AE$4="",AE$3,AE$4),0)</f>
        <v>0</v>
      </c>
      <c r="AF30" s="351">
        <f>IF(H30=Lists!$B$46,F30*G30*IF(AF$4="",AF$3,AF$4),0)</f>
        <v>0</v>
      </c>
      <c r="AG30" s="351">
        <f>IF(K30=Lists!$B$46,I30*J30*IF(AG$4="",AG$3,AG$4),0)</f>
        <v>0</v>
      </c>
      <c r="AH30" s="351">
        <f t="shared" si="8"/>
        <v>0</v>
      </c>
      <c r="AI30" s="351">
        <f t="shared" si="9"/>
        <v>0</v>
      </c>
      <c r="AJ30" s="351">
        <f t="shared" si="10"/>
        <v>0</v>
      </c>
      <c r="AK30" s="351">
        <f t="shared" si="11"/>
        <v>0</v>
      </c>
      <c r="AL30" s="276">
        <f t="shared" si="12"/>
        <v>0</v>
      </c>
      <c r="AM30" s="423"/>
      <c r="AN30" s="363">
        <f t="shared" si="13"/>
        <v>0</v>
      </c>
      <c r="AO30" s="215"/>
      <c r="AP30" s="217"/>
      <c r="AQ30" s="217"/>
      <c r="AR30" s="217"/>
      <c r="AS30" s="217"/>
      <c r="AT30" s="217"/>
      <c r="AU30" s="217"/>
      <c r="AV30" s="218"/>
    </row>
    <row r="31" spans="1:48" ht="19.899999999999999" customHeight="1">
      <c r="A31" s="804"/>
      <c r="E31" s="520"/>
      <c r="F31" s="520"/>
      <c r="G31" s="1123"/>
      <c r="H31" s="475"/>
      <c r="I31" s="520"/>
      <c r="J31" s="869"/>
      <c r="K31" s="475"/>
      <c r="L31" s="520"/>
      <c r="M31" s="520"/>
      <c r="N31" s="520"/>
      <c r="O31" s="925"/>
      <c r="P31" s="520"/>
      <c r="Q31" s="869"/>
      <c r="R31" s="869"/>
      <c r="S31" s="869"/>
      <c r="T31" s="869"/>
      <c r="U31" s="1105"/>
      <c r="V31" s="1105"/>
      <c r="W31" s="1105"/>
      <c r="X31" s="1105"/>
      <c r="Y31" s="1105"/>
      <c r="Z31" s="1105"/>
      <c r="AA31" s="1105"/>
      <c r="AB31" s="1105"/>
      <c r="AC31" s="1105"/>
      <c r="AD31" s="1105"/>
      <c r="AE31" s="1105"/>
      <c r="AF31" s="1105"/>
      <c r="AG31" s="1105"/>
      <c r="AH31" s="1105"/>
      <c r="AI31" s="1105"/>
      <c r="AJ31" s="1105"/>
      <c r="AK31" s="1105"/>
      <c r="AL31" s="1213"/>
      <c r="AM31" s="1214"/>
      <c r="AN31" s="1215"/>
      <c r="AO31" s="1030"/>
      <c r="AP31" s="747"/>
      <c r="AQ31" s="1045"/>
    </row>
    <row r="32" spans="1:48" ht="19.899999999999999" customHeight="1">
      <c r="A32" s="804"/>
      <c r="E32" s="806">
        <f>SUM(E10:E31)</f>
        <v>0</v>
      </c>
      <c r="F32" s="806">
        <f>SUM(F10:F31)</f>
        <v>0</v>
      </c>
      <c r="G32" s="372">
        <f>SUM(G10:G31)</f>
        <v>0</v>
      </c>
      <c r="H32" s="475"/>
      <c r="I32" s="806">
        <f>SUM(I10:I31)</f>
        <v>0</v>
      </c>
      <c r="J32" s="372">
        <f>SUM(J10:J31)</f>
        <v>0</v>
      </c>
      <c r="K32" s="475"/>
      <c r="L32" s="806">
        <f t="shared" ref="L32:AN32" si="15">SUM(L10:L31)</f>
        <v>0</v>
      </c>
      <c r="M32" s="806">
        <f t="shared" si="15"/>
        <v>0</v>
      </c>
      <c r="N32" s="806">
        <f t="shared" si="15"/>
        <v>0</v>
      </c>
      <c r="O32" s="373">
        <f t="shared" si="15"/>
        <v>0</v>
      </c>
      <c r="P32" s="806">
        <f t="shared" si="15"/>
        <v>0</v>
      </c>
      <c r="Q32" s="372">
        <f t="shared" si="15"/>
        <v>0</v>
      </c>
      <c r="R32" s="372">
        <f t="shared" si="15"/>
        <v>0</v>
      </c>
      <c r="S32" s="372">
        <f t="shared" si="15"/>
        <v>0</v>
      </c>
      <c r="T32" s="372">
        <f t="shared" si="15"/>
        <v>0</v>
      </c>
      <c r="U32" s="351">
        <f t="shared" ref="U32:AK32" si="16">SUM(U10:U31)</f>
        <v>0</v>
      </c>
      <c r="V32" s="351">
        <f t="shared" si="16"/>
        <v>0</v>
      </c>
      <c r="W32" s="351">
        <f t="shared" si="16"/>
        <v>0</v>
      </c>
      <c r="X32" s="351">
        <f t="shared" si="16"/>
        <v>0</v>
      </c>
      <c r="Y32" s="351">
        <f t="shared" si="16"/>
        <v>0</v>
      </c>
      <c r="Z32" s="351">
        <f t="shared" si="16"/>
        <v>0</v>
      </c>
      <c r="AA32" s="351">
        <f t="shared" si="16"/>
        <v>0</v>
      </c>
      <c r="AB32" s="351">
        <f t="shared" si="16"/>
        <v>0</v>
      </c>
      <c r="AC32" s="351">
        <f t="shared" si="16"/>
        <v>0</v>
      </c>
      <c r="AD32" s="351">
        <f t="shared" si="16"/>
        <v>0</v>
      </c>
      <c r="AE32" s="351">
        <f t="shared" si="16"/>
        <v>0</v>
      </c>
      <c r="AF32" s="351">
        <f t="shared" si="16"/>
        <v>0</v>
      </c>
      <c r="AG32" s="351">
        <f t="shared" si="16"/>
        <v>0</v>
      </c>
      <c r="AH32" s="351">
        <f t="shared" si="16"/>
        <v>0</v>
      </c>
      <c r="AI32" s="351">
        <f t="shared" si="16"/>
        <v>0</v>
      </c>
      <c r="AJ32" s="351">
        <f t="shared" si="16"/>
        <v>0</v>
      </c>
      <c r="AK32" s="351">
        <f t="shared" si="16"/>
        <v>0</v>
      </c>
      <c r="AL32" s="1046">
        <f t="shared" si="15"/>
        <v>0</v>
      </c>
      <c r="AM32" s="1216">
        <f t="shared" si="15"/>
        <v>0</v>
      </c>
      <c r="AN32" s="1046">
        <f t="shared" si="15"/>
        <v>0</v>
      </c>
      <c r="AO32" s="1032"/>
    </row>
    <row r="33" spans="1:41" ht="12.75">
      <c r="A33" s="804"/>
      <c r="E33" s="1048"/>
      <c r="G33" s="475"/>
      <c r="H33" s="475"/>
      <c r="I33" s="475"/>
      <c r="K33" s="475"/>
      <c r="AN33" s="1032"/>
      <c r="AO33" s="1032"/>
    </row>
    <row r="34" spans="1:41" ht="13.9" customHeight="1">
      <c r="A34" s="804"/>
      <c r="H34" s="475"/>
      <c r="K34" s="475"/>
      <c r="AN34" s="1032"/>
      <c r="AO34" s="1032"/>
    </row>
    <row r="35" spans="1:41" ht="12.75">
      <c r="I35" s="770"/>
      <c r="U35" s="475"/>
      <c r="AN35" s="1032"/>
      <c r="AO35" s="1032"/>
    </row>
    <row r="36" spans="1:41" ht="12.75">
      <c r="I36" s="770"/>
      <c r="U36" s="475"/>
      <c r="V36" s="770"/>
      <c r="W36" s="770"/>
      <c r="X36" s="770"/>
      <c r="Y36" s="770"/>
      <c r="Z36" s="770"/>
      <c r="AA36" s="770"/>
      <c r="AB36" s="770"/>
      <c r="AC36" s="770"/>
      <c r="AD36" s="770"/>
      <c r="AE36" s="770"/>
      <c r="AN36" s="1032"/>
      <c r="AO36" s="1032"/>
    </row>
    <row r="37" spans="1:41">
      <c r="E37" s="475"/>
      <c r="F37" s="475"/>
      <c r="G37" s="475"/>
      <c r="H37" s="475"/>
      <c r="I37" s="475"/>
      <c r="J37" s="475"/>
      <c r="K37" s="475"/>
      <c r="L37" s="475"/>
      <c r="M37" s="475"/>
      <c r="N37" s="475"/>
      <c r="O37" s="475"/>
      <c r="P37" s="475"/>
      <c r="Q37" s="475"/>
      <c r="R37" s="475"/>
      <c r="S37" s="475"/>
      <c r="T37" s="475"/>
      <c r="AN37" s="475"/>
      <c r="AO37" s="475"/>
    </row>
    <row r="38" spans="1:41">
      <c r="AN38" s="475"/>
      <c r="AO38" s="475"/>
    </row>
    <row r="39" spans="1:41" ht="13.9" customHeight="1">
      <c r="AN39" s="475"/>
      <c r="AO39" s="475"/>
    </row>
    <row r="40" spans="1:41">
      <c r="A40" s="804"/>
      <c r="AN40" s="475"/>
      <c r="AO40" s="475"/>
    </row>
    <row r="41" spans="1:41" ht="13.9" customHeight="1">
      <c r="AL41" s="475"/>
      <c r="AN41" s="475"/>
      <c r="AO41" s="475"/>
    </row>
    <row r="42" spans="1:41" ht="12.75">
      <c r="AN42" s="1032"/>
      <c r="AO42" s="1032"/>
    </row>
    <row r="43" spans="1:41" ht="12.75">
      <c r="AN43" s="1032"/>
      <c r="AO43" s="1032"/>
    </row>
    <row r="44" spans="1:41" ht="12.75">
      <c r="A44" s="772"/>
      <c r="AN44" s="1032"/>
      <c r="AO44" s="1032"/>
    </row>
    <row r="46" spans="1:41" ht="12.6" customHeight="1"/>
    <row r="50" spans="1:24" ht="6.6" customHeight="1"/>
    <row r="51" spans="1:24">
      <c r="A51" s="804"/>
    </row>
    <row r="54" spans="1:24" ht="13.9" customHeight="1"/>
    <row r="55" spans="1:24">
      <c r="A55" s="804"/>
      <c r="D55" s="747"/>
      <c r="E55" s="747"/>
      <c r="F55" s="747"/>
      <c r="G55" s="747"/>
      <c r="H55" s="747"/>
      <c r="I55" s="747"/>
      <c r="J55" s="747"/>
      <c r="K55" s="747"/>
      <c r="L55" s="747"/>
      <c r="M55" s="747"/>
      <c r="N55" s="747"/>
      <c r="O55" s="747"/>
      <c r="P55" s="747"/>
      <c r="Q55" s="747"/>
      <c r="R55" s="747"/>
      <c r="S55" s="747"/>
      <c r="T55" s="747"/>
      <c r="U55" s="747"/>
      <c r="V55" s="747"/>
      <c r="W55" s="747"/>
      <c r="X55" s="747"/>
    </row>
    <row r="56" spans="1:24" ht="13.9" customHeight="1"/>
    <row r="59" spans="1:24">
      <c r="A59" s="772"/>
    </row>
    <row r="65" spans="1:24" ht="6.6" customHeight="1"/>
    <row r="66" spans="1:24">
      <c r="A66" s="804"/>
    </row>
    <row r="69" spans="1:24" ht="13.9" customHeight="1"/>
    <row r="70" spans="1:24">
      <c r="A70" s="804"/>
      <c r="D70" s="747"/>
      <c r="E70" s="747"/>
      <c r="F70" s="747"/>
      <c r="G70" s="747"/>
      <c r="H70" s="747"/>
      <c r="W70" s="747"/>
      <c r="X70" s="747"/>
    </row>
    <row r="71" spans="1:24" ht="13.9" customHeight="1"/>
    <row r="74" spans="1:24">
      <c r="A74" s="772"/>
    </row>
    <row r="80" spans="1:24" ht="7.35" customHeight="1"/>
    <row r="84" spans="1:24" ht="13.9" customHeight="1"/>
    <row r="85" spans="1:24">
      <c r="A85" s="804"/>
      <c r="D85" s="747"/>
      <c r="E85" s="747"/>
      <c r="F85" s="747"/>
      <c r="G85" s="747"/>
      <c r="H85" s="747"/>
      <c r="I85" s="747"/>
      <c r="J85" s="747"/>
      <c r="K85" s="747"/>
      <c r="L85" s="747"/>
      <c r="M85" s="747"/>
      <c r="N85" s="747"/>
      <c r="O85" s="747"/>
      <c r="P85" s="747"/>
      <c r="Q85" s="747"/>
      <c r="R85" s="747"/>
      <c r="S85" s="747"/>
      <c r="T85" s="747"/>
      <c r="U85" s="747"/>
      <c r="V85" s="747"/>
      <c r="W85" s="747"/>
      <c r="X85" s="747"/>
    </row>
    <row r="86" spans="1:24" ht="13.9" customHeight="1"/>
    <row r="89" spans="1:24" ht="80.25" customHeight="1">
      <c r="A89" s="772"/>
    </row>
    <row r="95" spans="1:24" ht="6.6" customHeight="1"/>
    <row r="97" spans="5:20">
      <c r="E97" s="475"/>
      <c r="F97" s="475"/>
      <c r="G97" s="1055"/>
      <c r="H97" s="1055"/>
      <c r="I97" s="11"/>
      <c r="J97" s="11"/>
      <c r="K97" s="11"/>
      <c r="L97" s="11"/>
      <c r="M97" s="11"/>
      <c r="N97" s="11"/>
      <c r="O97" s="11"/>
      <c r="P97" s="11"/>
      <c r="Q97" s="11"/>
      <c r="R97" s="11"/>
      <c r="S97" s="11"/>
      <c r="T97" s="11"/>
    </row>
    <row r="98" spans="5:20">
      <c r="J98" s="475"/>
      <c r="K98" s="475"/>
      <c r="L98" s="475"/>
      <c r="M98" s="475"/>
      <c r="N98" s="475"/>
      <c r="O98" s="475"/>
      <c r="P98" s="475"/>
      <c r="Q98" s="475"/>
      <c r="R98" s="475"/>
      <c r="S98" s="475"/>
      <c r="T98" s="475"/>
    </row>
  </sheetData>
  <sheetProtection algorithmName="SHA-512" hashValue="4+4CmiOY2uB+7KzmDIXRIS/nWlduM6uWwGtsIiPf0ApSJ8rdZXW3nmZDZMO6gl2ijvbJAdNqMSqPz23zzQuZWQ==" saltValue="dz8lh1Lw4WHr/p2gKgxw+g==" spinCount="100000" sheet="1" objects="1" scenarios="1" autoFilter="0"/>
  <dataConsolidate/>
  <phoneticPr fontId="15" type="noConversion"/>
  <conditionalFormatting sqref="U1:AK1">
    <cfRule type="containsText" dxfId="116" priority="7" operator="containsText" text="No Alert">
      <formula>NOT(ISERROR(SEARCH("No Alert",U1)))</formula>
    </cfRule>
    <cfRule type="containsText" dxfId="115" priority="8" operator="containsText" text="Enter">
      <formula>NOT(ISERROR(SEARCH("Enter",U1)))</formula>
    </cfRule>
  </conditionalFormatting>
  <conditionalFormatting sqref="U4:AK4 AM11:AM30">
    <cfRule type="cellIs" dxfId="114" priority="2" operator="notEqual">
      <formula>""</formula>
    </cfRule>
  </conditionalFormatting>
  <conditionalFormatting sqref="AO11:AV30">
    <cfRule type="expression" dxfId="113" priority="1">
      <formula>$AM11&lt;&gt;""</formula>
    </cfRule>
  </conditionalFormatting>
  <dataValidations count="3">
    <dataValidation type="list" allowBlank="1" showInputMessage="1" showErrorMessage="1" sqref="H11:H30 K11:K30" xr:uid="{98034E97-F134-49F1-A75B-FE33A9D3B254}">
      <formula1>Shafts</formula1>
    </dataValidation>
    <dataValidation allowBlank="1" showInputMessage="1" showErrorMessage="1" prompt="Enter the area requiring rehabilitation,  Can be used for subsidence.  See TOV for more detail." sqref="Q9:T9" xr:uid="{D0B98CF7-0495-47C5-917A-2FEAB427E707}"/>
    <dataValidation type="whole" allowBlank="1" showInputMessage="1" showErrorMessage="1" sqref="E11:F30 I11:I30 L11:M30 N11:P29 N30:S30" xr:uid="{2E575ED1-1B74-425B-B98C-57D1450B851A}">
      <formula1>0</formula1>
      <formula2>10000</formula2>
    </dataValidation>
  </dataValidations>
  <hyperlinks>
    <hyperlink ref="B2" location="CONTENTS!A1" display="Contents" xr:uid="{DAC9274C-EB94-4431-977C-2EEB1BF4A68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DF87-88FF-4E06-AAE1-1DD2C78F886B}">
  <sheetPr codeName="Sheet12">
    <tabColor theme="9" tint="-0.249977111117893"/>
  </sheetPr>
  <dimension ref="A1:EW159"/>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28515625" defaultRowHeight="12.75"/>
  <cols>
    <col min="1" max="1" width="3.42578125" style="434" customWidth="1"/>
    <col min="2" max="2" width="20.7109375" style="434" customWidth="1"/>
    <col min="3" max="3" width="18.7109375" style="434" customWidth="1"/>
    <col min="4" max="4" width="46.42578125" style="434" customWidth="1"/>
    <col min="5" max="19" width="18.7109375" style="434" customWidth="1"/>
    <col min="20" max="20" width="21.7109375" style="434" customWidth="1"/>
    <col min="21" max="50" width="18.7109375" style="434" customWidth="1"/>
    <col min="51" max="51" width="41.42578125" style="434" customWidth="1"/>
    <col min="52" max="55" width="18.7109375" style="434" customWidth="1"/>
    <col min="56" max="56" width="38.7109375" style="434" customWidth="1"/>
    <col min="57" max="60" width="18.7109375" style="434" customWidth="1"/>
    <col min="61" max="61" width="39.28515625" style="434" customWidth="1"/>
    <col min="62" max="65" width="18.7109375" style="434" customWidth="1"/>
    <col min="66" max="66" width="51.7109375" style="434" customWidth="1"/>
    <col min="67" max="70" width="18.7109375" style="434" customWidth="1"/>
    <col min="71" max="71" width="43.7109375" style="434" customWidth="1"/>
    <col min="72" max="91" width="18.7109375" style="434" customWidth="1"/>
    <col min="92" max="92" width="24.7109375" style="434" customWidth="1"/>
    <col min="93" max="96" width="18.7109375" style="434" customWidth="1"/>
    <col min="97" max="97" width="24.7109375" style="434" customWidth="1"/>
    <col min="98" max="101" width="18.7109375" style="434" customWidth="1"/>
    <col min="102" max="102" width="24.7109375" style="434" customWidth="1"/>
    <col min="103" max="120" width="18.7109375" style="434" customWidth="1"/>
    <col min="121" max="121" width="149" style="434" customWidth="1"/>
    <col min="122" max="124" width="18.7109375" style="434" customWidth="1"/>
    <col min="125" max="16384" width="9.28515625" style="434"/>
  </cols>
  <sheetData>
    <row r="1" spans="2:149" ht="14.25">
      <c r="B1" s="433" t="s">
        <v>0</v>
      </c>
      <c r="D1" s="1217"/>
      <c r="E1" s="734"/>
    </row>
    <row r="2" spans="2:149" ht="18" customHeight="1">
      <c r="B2" s="286" t="s">
        <v>256</v>
      </c>
      <c r="C2" s="1218" t="s">
        <v>2332</v>
      </c>
      <c r="D2" s="1219"/>
      <c r="E2" s="1219"/>
      <c r="F2" s="1219"/>
      <c r="G2" s="1219"/>
      <c r="H2" s="1219"/>
      <c r="I2" s="1219"/>
      <c r="J2" s="1219"/>
      <c r="K2" s="1219"/>
      <c r="L2" s="1219"/>
      <c r="M2" s="1219"/>
    </row>
    <row r="3" spans="2:149" s="520" customFormat="1" ht="18" customHeight="1">
      <c r="B3" s="1031">
        <f>K31+DP53</f>
        <v>0</v>
      </c>
      <c r="C3" s="736" t="s">
        <v>1516</v>
      </c>
      <c r="F3" s="768"/>
      <c r="G3" s="768"/>
      <c r="H3" s="768"/>
      <c r="I3" s="768"/>
      <c r="J3" s="768"/>
      <c r="K3" s="768"/>
      <c r="L3" s="768"/>
      <c r="M3" s="768"/>
      <c r="N3" s="768"/>
      <c r="O3" s="768"/>
      <c r="P3" s="768"/>
      <c r="Q3" s="768"/>
      <c r="R3" s="768"/>
      <c r="S3" s="768"/>
      <c r="T3" s="768"/>
      <c r="U3" s="768"/>
      <c r="V3" s="768"/>
      <c r="W3" s="768"/>
      <c r="AK3" s="768"/>
      <c r="AM3" s="768"/>
      <c r="AO3" s="768"/>
      <c r="AR3" s="768"/>
      <c r="AT3" s="768"/>
      <c r="AV3" s="768"/>
      <c r="AX3" s="768"/>
      <c r="AZ3" s="768"/>
    </row>
    <row r="4" spans="2:149" s="520" customFormat="1" ht="18" customHeight="1">
      <c r="B4" s="1033">
        <f>Summary!$G$122</f>
        <v>0</v>
      </c>
      <c r="C4" s="736" t="s">
        <v>1484</v>
      </c>
      <c r="E4" s="1220">
        <v>1</v>
      </c>
      <c r="F4" s="1220">
        <f t="shared" ref="F4:O4" si="0">E4+1</f>
        <v>2</v>
      </c>
      <c r="G4" s="1220">
        <f t="shared" si="0"/>
        <v>3</v>
      </c>
      <c r="H4" s="1220">
        <f t="shared" si="0"/>
        <v>4</v>
      </c>
      <c r="I4" s="1220">
        <f t="shared" si="0"/>
        <v>5</v>
      </c>
      <c r="J4" s="1220">
        <f>I4+1</f>
        <v>6</v>
      </c>
      <c r="K4" s="1220">
        <f t="shared" si="0"/>
        <v>7</v>
      </c>
      <c r="L4" s="1220">
        <f t="shared" si="0"/>
        <v>8</v>
      </c>
      <c r="M4" s="1220">
        <f t="shared" si="0"/>
        <v>9</v>
      </c>
      <c r="N4" s="1220">
        <f t="shared" si="0"/>
        <v>10</v>
      </c>
      <c r="O4" s="1220">
        <f t="shared" si="0"/>
        <v>11</v>
      </c>
      <c r="P4" s="768"/>
      <c r="Q4" s="768"/>
      <c r="R4" s="768"/>
      <c r="S4" s="768"/>
      <c r="T4" s="768"/>
      <c r="U4" s="768"/>
      <c r="V4" s="768"/>
      <c r="W4" s="768"/>
      <c r="X4" s="768"/>
      <c r="AK4" s="768"/>
      <c r="AM4" s="768"/>
      <c r="AO4" s="768"/>
      <c r="AR4" s="768"/>
      <c r="AT4" s="768"/>
      <c r="AV4" s="768"/>
      <c r="AX4" s="768"/>
      <c r="AZ4" s="768"/>
      <c r="BB4" s="768"/>
    </row>
    <row r="5" spans="2:149" s="475" customFormat="1" ht="96" customHeight="1"/>
    <row r="6" spans="2:149" s="520" customFormat="1" ht="16.149999999999999" customHeight="1">
      <c r="F6" s="768"/>
      <c r="G6" s="768"/>
      <c r="H6" s="768"/>
      <c r="I6" s="768"/>
      <c r="J6" s="768"/>
      <c r="K6" s="768"/>
      <c r="L6" s="768"/>
      <c r="M6" s="768"/>
      <c r="N6" s="768"/>
      <c r="O6" s="768"/>
      <c r="P6" s="768"/>
      <c r="Q6" s="768"/>
      <c r="R6" s="768"/>
      <c r="S6" s="768"/>
      <c r="T6" s="768"/>
      <c r="U6" s="768"/>
      <c r="V6" s="768"/>
      <c r="W6" s="768"/>
      <c r="X6" s="768"/>
      <c r="AE6" s="768"/>
      <c r="AF6" s="768"/>
      <c r="AK6" s="768"/>
      <c r="AM6" s="768"/>
      <c r="AO6" s="768"/>
      <c r="BC6" s="768"/>
      <c r="BF6" s="768"/>
      <c r="BG6" s="768"/>
      <c r="BH6" s="768"/>
      <c r="BI6" s="768"/>
      <c r="BJ6" s="768"/>
      <c r="BK6" s="768"/>
      <c r="BL6" s="768"/>
      <c r="BO6" s="768"/>
      <c r="BP6" s="768"/>
      <c r="BQ6" s="768"/>
      <c r="BT6" s="768"/>
      <c r="BU6" s="768"/>
      <c r="BV6" s="768"/>
      <c r="BZ6" s="768"/>
      <c r="CA6" s="768"/>
      <c r="CB6" s="768"/>
      <c r="CC6" s="768"/>
      <c r="CD6" s="768"/>
      <c r="CE6" s="768"/>
      <c r="CH6" s="768"/>
      <c r="CK6" s="768"/>
      <c r="CN6" s="768"/>
      <c r="CS6" s="768"/>
      <c r="CX6" s="768"/>
    </row>
    <row r="7" spans="2:149" s="475" customFormat="1" ht="18" customHeight="1">
      <c r="C7" s="991" t="s">
        <v>2333</v>
      </c>
      <c r="D7" s="991"/>
      <c r="F7" s="746"/>
      <c r="G7" s="434"/>
      <c r="H7" s="434"/>
      <c r="I7" s="434"/>
      <c r="J7" s="434"/>
      <c r="K7" s="434"/>
      <c r="S7" s="474"/>
      <c r="T7" s="474"/>
      <c r="U7" s="474"/>
      <c r="V7" s="474"/>
      <c r="AC7" s="474"/>
      <c r="AD7" s="474"/>
      <c r="AI7" s="474"/>
      <c r="AK7" s="474"/>
      <c r="AM7" s="474"/>
      <c r="AP7" s="474"/>
      <c r="AR7" s="474"/>
      <c r="AT7" s="474"/>
      <c r="AV7" s="474"/>
      <c r="AX7" s="474"/>
      <c r="AZ7" s="474"/>
      <c r="BA7" s="474"/>
      <c r="BD7" s="474"/>
      <c r="BE7" s="474"/>
      <c r="BF7" s="474"/>
      <c r="BG7" s="474"/>
      <c r="BH7" s="474"/>
      <c r="BI7" s="474"/>
      <c r="BJ7" s="474"/>
      <c r="BM7" s="474"/>
      <c r="BN7" s="474"/>
      <c r="BO7" s="474"/>
      <c r="BR7" s="474"/>
      <c r="BS7" s="474"/>
      <c r="BT7" s="474"/>
      <c r="BX7" s="474"/>
      <c r="BY7" s="474"/>
      <c r="BZ7" s="474"/>
      <c r="CA7" s="474"/>
      <c r="CB7" s="474"/>
      <c r="CC7" s="474"/>
      <c r="CF7" s="474"/>
      <c r="CG7" s="474"/>
      <c r="CH7" s="474"/>
      <c r="CI7" s="474"/>
      <c r="CL7" s="474"/>
      <c r="CM7" s="474"/>
      <c r="CN7" s="474"/>
      <c r="CO7" s="474"/>
      <c r="CP7" s="474"/>
      <c r="CQ7" s="474"/>
      <c r="CS7" s="474"/>
      <c r="CV7" s="474"/>
      <c r="ES7" s="1068"/>
    </row>
    <row r="8" spans="2:149" s="475" customFormat="1" ht="29.65" customHeight="1">
      <c r="B8" s="773" t="s">
        <v>1517</v>
      </c>
      <c r="C8" s="773" t="s">
        <v>27</v>
      </c>
      <c r="D8" s="773" t="s">
        <v>2334</v>
      </c>
      <c r="E8" s="773" t="s">
        <v>244</v>
      </c>
      <c r="F8" s="812" t="s">
        <v>111</v>
      </c>
      <c r="G8" s="773" t="s">
        <v>1585</v>
      </c>
      <c r="H8" s="773" t="s">
        <v>1895</v>
      </c>
      <c r="I8" s="773" t="s">
        <v>2</v>
      </c>
      <c r="J8" s="773" t="s">
        <v>1550</v>
      </c>
      <c r="K8" s="775" t="s">
        <v>2335</v>
      </c>
      <c r="L8" s="776" t="s">
        <v>1526</v>
      </c>
      <c r="M8" s="777"/>
      <c r="N8" s="777"/>
      <c r="O8" s="777"/>
      <c r="P8" s="777"/>
      <c r="Q8" s="777"/>
      <c r="R8" s="777"/>
      <c r="S8" s="778"/>
      <c r="T8" s="474"/>
      <c r="U8" s="474"/>
      <c r="V8" s="474"/>
      <c r="AC8" s="474"/>
      <c r="AD8" s="474"/>
      <c r="AI8" s="474"/>
      <c r="AK8" s="474"/>
      <c r="AM8" s="474"/>
      <c r="AP8" s="474"/>
      <c r="AR8" s="474"/>
      <c r="AT8" s="474"/>
      <c r="AV8" s="474"/>
      <c r="AX8" s="474"/>
      <c r="AZ8" s="474"/>
      <c r="BA8" s="474"/>
      <c r="BD8" s="474"/>
      <c r="BE8" s="474"/>
      <c r="BF8" s="474"/>
      <c r="BG8" s="474"/>
      <c r="BH8" s="474"/>
      <c r="BI8" s="474"/>
      <c r="BJ8" s="474"/>
      <c r="BM8" s="474"/>
      <c r="BN8" s="474"/>
      <c r="BO8" s="474"/>
      <c r="BR8" s="474"/>
      <c r="BS8" s="474"/>
      <c r="BT8" s="474"/>
      <c r="BX8" s="474"/>
      <c r="BY8" s="474"/>
      <c r="BZ8" s="474"/>
      <c r="CA8" s="474"/>
      <c r="CB8" s="474"/>
      <c r="CC8" s="474"/>
      <c r="CF8" s="474"/>
      <c r="CG8" s="474"/>
      <c r="CH8" s="474"/>
      <c r="CI8" s="474"/>
      <c r="CL8" s="474"/>
      <c r="CM8" s="474"/>
      <c r="CN8" s="474"/>
      <c r="CO8" s="474"/>
      <c r="CP8" s="474"/>
      <c r="CQ8" s="474"/>
      <c r="CS8" s="474"/>
      <c r="CV8" s="474"/>
      <c r="ES8" s="1068"/>
    </row>
    <row r="9" spans="2:149" s="475" customFormat="1" ht="24" customHeight="1">
      <c r="F9" s="125" t="s">
        <v>1646</v>
      </c>
      <c r="L9" s="474"/>
      <c r="M9" s="474"/>
      <c r="N9" s="474"/>
      <c r="O9" s="474"/>
      <c r="P9" s="474"/>
      <c r="Q9" s="474"/>
      <c r="R9" s="474"/>
      <c r="S9" s="779"/>
      <c r="T9" s="474"/>
      <c r="U9" s="474"/>
      <c r="V9" s="474"/>
      <c r="AC9" s="474"/>
      <c r="AD9" s="474"/>
      <c r="AI9" s="474"/>
      <c r="AK9" s="474"/>
      <c r="AM9" s="474"/>
      <c r="AP9" s="474"/>
      <c r="AR9" s="474"/>
      <c r="AT9" s="474"/>
      <c r="AV9" s="474"/>
      <c r="BA9" s="474"/>
      <c r="BD9" s="474"/>
      <c r="BE9" s="474"/>
      <c r="BF9" s="474"/>
      <c r="BG9" s="474"/>
      <c r="BH9" s="474"/>
      <c r="BI9" s="474"/>
      <c r="BJ9" s="474"/>
      <c r="BM9" s="474"/>
      <c r="BN9" s="474"/>
      <c r="BO9" s="474"/>
      <c r="BR9" s="474"/>
      <c r="BS9" s="474"/>
      <c r="BT9" s="474"/>
      <c r="BX9" s="474"/>
      <c r="BY9" s="474"/>
      <c r="BZ9" s="474"/>
      <c r="CA9" s="474"/>
      <c r="CB9" s="474"/>
      <c r="CC9" s="474"/>
      <c r="CF9" s="474"/>
      <c r="CG9" s="474"/>
      <c r="CH9" s="474"/>
      <c r="CI9" s="474"/>
      <c r="CL9" s="474"/>
      <c r="CM9" s="474"/>
      <c r="CN9" s="474"/>
      <c r="CO9" s="474"/>
      <c r="CP9" s="474"/>
      <c r="CQ9" s="474"/>
      <c r="CS9" s="474"/>
      <c r="CV9" s="474"/>
      <c r="ES9" s="1068"/>
    </row>
    <row r="10" spans="2:149" s="520" customFormat="1">
      <c r="B10" s="310"/>
      <c r="C10" s="989">
        <v>1</v>
      </c>
      <c r="D10" s="175"/>
      <c r="E10" s="328"/>
      <c r="F10" s="337" t="s">
        <v>2336</v>
      </c>
      <c r="G10" s="189" t="str">
        <f>VLOOKUP(F10,Lists!$B$598:$D$604,Lists!$D$3,FALSE)</f>
        <v>#12.01</v>
      </c>
      <c r="H10" s="256">
        <f>VLOOKUP(G10,TOV!$C$509:$G$515,TOV!$F$1,FALSE)</f>
        <v>937.35863262248336</v>
      </c>
      <c r="I10" s="279" t="str">
        <f>VLOOKUP(G10,TOV!$C$509:$G$515,TOV!$G$1,FALSE)</f>
        <v>m</v>
      </c>
      <c r="J10" s="117"/>
      <c r="K10" s="118">
        <f t="shared" ref="K10:K29" si="1">IF(J10="",H10,J10)*E10</f>
        <v>0</v>
      </c>
      <c r="L10" s="114"/>
      <c r="M10" s="193"/>
      <c r="N10" s="193"/>
      <c r="O10" s="193"/>
      <c r="P10" s="193"/>
      <c r="Q10" s="193"/>
      <c r="R10" s="193"/>
      <c r="S10" s="194"/>
      <c r="T10" s="474"/>
      <c r="U10" s="474"/>
      <c r="V10" s="474"/>
      <c r="W10" s="475"/>
      <c r="X10" s="475"/>
      <c r="Y10" s="475"/>
      <c r="AC10" s="768"/>
      <c r="AD10" s="768"/>
      <c r="AI10" s="768"/>
      <c r="AK10" s="768"/>
      <c r="AM10" s="768"/>
      <c r="AP10" s="768"/>
      <c r="AR10" s="768"/>
      <c r="AT10" s="768"/>
      <c r="AV10" s="768"/>
      <c r="AX10" s="768"/>
      <c r="AZ10" s="768"/>
      <c r="BA10" s="768"/>
      <c r="BD10" s="768"/>
      <c r="BE10" s="768"/>
      <c r="BF10" s="768"/>
      <c r="BG10" s="768"/>
      <c r="BH10" s="768"/>
      <c r="BI10" s="768"/>
      <c r="BJ10" s="768"/>
      <c r="BM10" s="768"/>
      <c r="BN10" s="768"/>
      <c r="BO10" s="768"/>
      <c r="BR10" s="768"/>
      <c r="BS10" s="768"/>
      <c r="BT10" s="768"/>
      <c r="BX10" s="768"/>
      <c r="BY10" s="768"/>
      <c r="BZ10" s="768"/>
      <c r="CA10" s="768"/>
      <c r="CB10" s="768"/>
      <c r="CC10" s="768"/>
      <c r="CF10" s="768"/>
      <c r="CG10" s="768"/>
      <c r="CH10" s="768"/>
      <c r="CI10" s="768"/>
      <c r="CL10" s="768"/>
      <c r="CM10" s="768"/>
      <c r="CN10" s="768"/>
      <c r="CO10" s="768"/>
      <c r="CP10" s="768"/>
      <c r="CQ10" s="768"/>
      <c r="CS10" s="768"/>
      <c r="CV10" s="768"/>
      <c r="ES10" s="1071"/>
    </row>
    <row r="11" spans="2:149" s="520" customFormat="1">
      <c r="B11" s="310"/>
      <c r="C11" s="989">
        <f t="shared" ref="C11:C29" si="2">C10+1</f>
        <v>2</v>
      </c>
      <c r="D11" s="175"/>
      <c r="E11" s="328"/>
      <c r="F11" s="337" t="s">
        <v>2337</v>
      </c>
      <c r="G11" s="189" t="str">
        <f>VLOOKUP(F11,Lists!$B$598:$D$604,Lists!$D$3,FALSE)</f>
        <v>#12.02</v>
      </c>
      <c r="H11" s="256">
        <f>VLOOKUP(G11,TOV!$C$509:$G$515,TOV!$F$1,FALSE)</f>
        <v>108.21722059430233</v>
      </c>
      <c r="I11" s="279" t="str">
        <f>VLOOKUP(G11,TOV!$C$509:$G$515,TOV!$G$1,FALSE)</f>
        <v>m2</v>
      </c>
      <c r="J11" s="117"/>
      <c r="K11" s="118">
        <f t="shared" si="1"/>
        <v>0</v>
      </c>
      <c r="L11" s="114"/>
      <c r="M11" s="193"/>
      <c r="N11" s="193"/>
      <c r="O11" s="193"/>
      <c r="P11" s="193"/>
      <c r="Q11" s="193"/>
      <c r="R11" s="193"/>
      <c r="S11" s="194"/>
      <c r="T11" s="474"/>
      <c r="U11" s="474"/>
      <c r="V11" s="474"/>
      <c r="W11" s="475"/>
      <c r="X11" s="475"/>
      <c r="Y11" s="475"/>
      <c r="AC11" s="768"/>
      <c r="AD11" s="768"/>
      <c r="AI11" s="768"/>
      <c r="AK11" s="768"/>
      <c r="AM11" s="768"/>
      <c r="AP11" s="768"/>
      <c r="AR11" s="768"/>
      <c r="AT11" s="768"/>
      <c r="AV11" s="768"/>
      <c r="AX11" s="768"/>
      <c r="AZ11" s="768"/>
      <c r="BA11" s="768"/>
      <c r="BD11" s="768"/>
      <c r="BE11" s="768"/>
      <c r="BF11" s="768"/>
      <c r="BG11" s="768"/>
      <c r="BH11" s="768"/>
      <c r="BI11" s="768"/>
      <c r="BJ11" s="768"/>
      <c r="BM11" s="768"/>
      <c r="BN11" s="768"/>
      <c r="BO11" s="768"/>
      <c r="BR11" s="768"/>
      <c r="BS11" s="768"/>
      <c r="BT11" s="768"/>
      <c r="BX11" s="768"/>
      <c r="BY11" s="768"/>
      <c r="BZ11" s="768"/>
      <c r="CA11" s="768"/>
      <c r="CB11" s="768"/>
      <c r="CC11" s="768"/>
      <c r="CF11" s="768"/>
      <c r="CG11" s="768"/>
      <c r="CH11" s="768"/>
      <c r="CI11" s="768"/>
      <c r="CL11" s="768"/>
      <c r="CM11" s="768"/>
      <c r="CN11" s="768"/>
      <c r="CO11" s="768"/>
      <c r="CP11" s="768"/>
      <c r="CQ11" s="768"/>
      <c r="CS11" s="768"/>
      <c r="CV11" s="768"/>
      <c r="ES11" s="1071"/>
    </row>
    <row r="12" spans="2:149" s="520" customFormat="1">
      <c r="B12" s="310"/>
      <c r="C12" s="989">
        <f t="shared" si="2"/>
        <v>3</v>
      </c>
      <c r="D12" s="175"/>
      <c r="E12" s="344"/>
      <c r="F12" s="337" t="s">
        <v>2338</v>
      </c>
      <c r="G12" s="189" t="str">
        <f>VLOOKUP(F12,Lists!$B$598:$D$604,Lists!$D$3,FALSE)</f>
        <v>#12.03</v>
      </c>
      <c r="H12" s="256">
        <f>VLOOKUP(G12,TOV!$C$509:$G$515,TOV!$F$1,FALSE)</f>
        <v>200000</v>
      </c>
      <c r="I12" s="279" t="str">
        <f>VLOOKUP(G12,TOV!$C$509:$G$515,TOV!$G$1,FALSE)</f>
        <v>item</v>
      </c>
      <c r="J12" s="117"/>
      <c r="K12" s="118">
        <f t="shared" si="1"/>
        <v>0</v>
      </c>
      <c r="L12" s="114"/>
      <c r="M12" s="193"/>
      <c r="N12" s="193"/>
      <c r="O12" s="193"/>
      <c r="P12" s="193"/>
      <c r="Q12" s="193"/>
      <c r="R12" s="193"/>
      <c r="S12" s="194"/>
      <c r="T12" s="474"/>
      <c r="U12" s="474"/>
      <c r="V12" s="474"/>
      <c r="W12" s="475"/>
      <c r="X12" s="475"/>
      <c r="Y12" s="475"/>
      <c r="AC12" s="768"/>
      <c r="AD12" s="768"/>
      <c r="AI12" s="768"/>
      <c r="AK12" s="768"/>
      <c r="AM12" s="768"/>
      <c r="AP12" s="768"/>
      <c r="AR12" s="768"/>
      <c r="AT12" s="768"/>
      <c r="AV12" s="768"/>
      <c r="AX12" s="768"/>
      <c r="AZ12" s="768"/>
      <c r="BA12" s="768"/>
      <c r="BD12" s="768"/>
      <c r="BE12" s="768"/>
      <c r="BF12" s="768"/>
      <c r="BG12" s="768"/>
      <c r="BH12" s="768"/>
      <c r="BI12" s="768"/>
      <c r="BJ12" s="768"/>
      <c r="BM12" s="768"/>
      <c r="BN12" s="768"/>
      <c r="BO12" s="768"/>
      <c r="BR12" s="768"/>
      <c r="BS12" s="768"/>
      <c r="BT12" s="768"/>
      <c r="BX12" s="768"/>
      <c r="BY12" s="768"/>
      <c r="BZ12" s="768"/>
      <c r="CA12" s="768"/>
      <c r="CB12" s="768"/>
      <c r="CC12" s="768"/>
      <c r="CF12" s="768"/>
      <c r="CG12" s="768"/>
      <c r="CH12" s="768"/>
      <c r="CI12" s="768"/>
      <c r="CL12" s="768"/>
      <c r="CM12" s="768"/>
      <c r="CN12" s="768"/>
      <c r="CO12" s="768"/>
      <c r="CP12" s="768"/>
      <c r="CQ12" s="768"/>
      <c r="CS12" s="768"/>
      <c r="CV12" s="768"/>
      <c r="ES12" s="1071"/>
    </row>
    <row r="13" spans="2:149" s="520" customFormat="1">
      <c r="B13" s="310"/>
      <c r="C13" s="989">
        <f t="shared" si="2"/>
        <v>4</v>
      </c>
      <c r="D13" s="175"/>
      <c r="E13" s="344"/>
      <c r="F13" s="337" t="s">
        <v>2339</v>
      </c>
      <c r="G13" s="189" t="str">
        <f>VLOOKUP(F13,Lists!$B$598:$D$604,Lists!$D$3,FALSE)</f>
        <v>#12.04</v>
      </c>
      <c r="H13" s="256">
        <f>VLOOKUP(G13,TOV!$C$509:$G$515,TOV!$F$1,FALSE)</f>
        <v>750000</v>
      </c>
      <c r="I13" s="279" t="str">
        <f>VLOOKUP(G13,TOV!$C$509:$G$515,TOV!$G$1,FALSE)</f>
        <v>item</v>
      </c>
      <c r="J13" s="117"/>
      <c r="K13" s="118">
        <f t="shared" si="1"/>
        <v>0</v>
      </c>
      <c r="L13" s="114"/>
      <c r="M13" s="193"/>
      <c r="N13" s="193"/>
      <c r="O13" s="193"/>
      <c r="P13" s="193"/>
      <c r="Q13" s="193"/>
      <c r="R13" s="193"/>
      <c r="S13" s="194"/>
      <c r="T13" s="474"/>
      <c r="U13" s="474"/>
      <c r="V13" s="474"/>
      <c r="W13" s="475"/>
      <c r="X13" s="475"/>
      <c r="Y13" s="475"/>
      <c r="AC13" s="768"/>
      <c r="AD13" s="768"/>
      <c r="AI13" s="768"/>
      <c r="AK13" s="768"/>
      <c r="AM13" s="768"/>
      <c r="AP13" s="768"/>
      <c r="AR13" s="768"/>
      <c r="AT13" s="768"/>
      <c r="AV13" s="768"/>
      <c r="AX13" s="768"/>
      <c r="AZ13" s="768"/>
      <c r="BA13" s="768"/>
      <c r="BD13" s="768"/>
      <c r="BE13" s="768"/>
      <c r="BF13" s="768"/>
      <c r="BG13" s="768"/>
      <c r="BH13" s="768"/>
      <c r="BI13" s="768"/>
      <c r="BJ13" s="768"/>
      <c r="BM13" s="768"/>
      <c r="BN13" s="768"/>
      <c r="BO13" s="768"/>
      <c r="BR13" s="768"/>
      <c r="BS13" s="768"/>
      <c r="BT13" s="768"/>
      <c r="BX13" s="768"/>
      <c r="BY13" s="768"/>
      <c r="BZ13" s="768"/>
      <c r="CA13" s="768"/>
      <c r="CB13" s="768"/>
      <c r="CC13" s="768"/>
      <c r="CF13" s="768"/>
      <c r="CG13" s="768"/>
      <c r="CH13" s="768"/>
      <c r="CI13" s="768"/>
      <c r="CL13" s="768"/>
      <c r="CM13" s="768"/>
      <c r="CN13" s="768"/>
      <c r="CO13" s="768"/>
      <c r="CP13" s="768"/>
      <c r="CQ13" s="768"/>
      <c r="CS13" s="768"/>
      <c r="CV13" s="768"/>
      <c r="ES13" s="1071"/>
    </row>
    <row r="14" spans="2:149" s="520" customFormat="1">
      <c r="B14" s="310"/>
      <c r="C14" s="989">
        <f t="shared" si="2"/>
        <v>5</v>
      </c>
      <c r="D14" s="175"/>
      <c r="E14" s="344"/>
      <c r="F14" s="337" t="s">
        <v>2340</v>
      </c>
      <c r="G14" s="189" t="str">
        <f>VLOOKUP(F14,Lists!$B$598:$D$604,Lists!$D$3,FALSE)</f>
        <v>#12.05</v>
      </c>
      <c r="H14" s="256">
        <f>VLOOKUP(G14,TOV!$C$509:$G$515,TOV!$F$1,FALSE)</f>
        <v>375000</v>
      </c>
      <c r="I14" s="279" t="str">
        <f>VLOOKUP(G14,TOV!$C$509:$G$515,TOV!$G$1,FALSE)</f>
        <v>item</v>
      </c>
      <c r="J14" s="117"/>
      <c r="K14" s="118">
        <f t="shared" si="1"/>
        <v>0</v>
      </c>
      <c r="L14" s="114"/>
      <c r="M14" s="193"/>
      <c r="N14" s="193"/>
      <c r="O14" s="193"/>
      <c r="P14" s="193"/>
      <c r="Q14" s="193"/>
      <c r="R14" s="193"/>
      <c r="S14" s="194"/>
      <c r="T14" s="474"/>
      <c r="U14" s="474"/>
      <c r="V14" s="474"/>
      <c r="W14" s="475"/>
      <c r="X14" s="475"/>
      <c r="Y14" s="475"/>
      <c r="AC14" s="768"/>
      <c r="AD14" s="768"/>
      <c r="AI14" s="768"/>
      <c r="AK14" s="768"/>
      <c r="AM14" s="768"/>
      <c r="AP14" s="768"/>
      <c r="AR14" s="768"/>
      <c r="AT14" s="768"/>
      <c r="AV14" s="768"/>
      <c r="AX14" s="768"/>
      <c r="AZ14" s="768"/>
      <c r="BA14" s="768"/>
      <c r="BD14" s="768"/>
      <c r="BE14" s="768"/>
      <c r="BF14" s="768"/>
      <c r="BG14" s="768"/>
      <c r="BH14" s="768"/>
      <c r="BI14" s="768"/>
      <c r="BJ14" s="768"/>
      <c r="BM14" s="768"/>
      <c r="BN14" s="768"/>
      <c r="BO14" s="768"/>
      <c r="BR14" s="768"/>
      <c r="BS14" s="768"/>
      <c r="BT14" s="768"/>
      <c r="BX14" s="768"/>
      <c r="BY14" s="768"/>
      <c r="BZ14" s="768"/>
      <c r="CA14" s="768"/>
      <c r="CB14" s="768"/>
      <c r="CC14" s="768"/>
      <c r="CF14" s="768"/>
      <c r="CG14" s="768"/>
      <c r="CH14" s="768"/>
      <c r="CI14" s="768"/>
      <c r="CL14" s="768"/>
      <c r="CM14" s="768"/>
      <c r="CN14" s="768"/>
      <c r="CO14" s="768"/>
      <c r="CP14" s="768"/>
      <c r="CQ14" s="768"/>
      <c r="CS14" s="768"/>
      <c r="CV14" s="768"/>
      <c r="ES14" s="1071"/>
    </row>
    <row r="15" spans="2:149" s="520" customFormat="1">
      <c r="B15" s="310"/>
      <c r="C15" s="989">
        <f t="shared" si="2"/>
        <v>6</v>
      </c>
      <c r="D15" s="175"/>
      <c r="E15" s="328"/>
      <c r="F15" s="337" t="s">
        <v>2341</v>
      </c>
      <c r="G15" s="189" t="str">
        <f>VLOOKUP(F15,Lists!$B$598:$D$604,Lists!$D$3,FALSE)</f>
        <v>#12.06</v>
      </c>
      <c r="H15" s="256">
        <f>VLOOKUP(G15,TOV!$C$509:$G$515,TOV!$F$1,FALSE)</f>
        <v>370</v>
      </c>
      <c r="I15" s="279" t="str">
        <f>VLOOKUP(G15,TOV!$C$509:$G$515,TOV!$G$1,FALSE)</f>
        <v>m</v>
      </c>
      <c r="J15" s="117"/>
      <c r="K15" s="118">
        <f t="shared" si="1"/>
        <v>0</v>
      </c>
      <c r="L15" s="114"/>
      <c r="M15" s="193"/>
      <c r="N15" s="193"/>
      <c r="O15" s="193"/>
      <c r="P15" s="193"/>
      <c r="Q15" s="193"/>
      <c r="R15" s="193"/>
      <c r="S15" s="194"/>
      <c r="T15" s="474"/>
      <c r="U15" s="474"/>
      <c r="V15" s="474"/>
      <c r="W15" s="475"/>
      <c r="X15" s="475"/>
      <c r="Y15" s="475"/>
      <c r="AC15" s="768"/>
      <c r="AD15" s="768"/>
      <c r="AI15" s="768"/>
      <c r="AK15" s="768"/>
      <c r="AM15" s="768"/>
      <c r="AP15" s="768"/>
      <c r="AR15" s="768"/>
      <c r="AT15" s="768"/>
      <c r="AV15" s="768"/>
      <c r="AX15" s="768"/>
      <c r="AZ15" s="768"/>
      <c r="BA15" s="768"/>
      <c r="BD15" s="768"/>
      <c r="BE15" s="768"/>
      <c r="BF15" s="768"/>
      <c r="BG15" s="768"/>
      <c r="BH15" s="768"/>
      <c r="BI15" s="768"/>
      <c r="BJ15" s="768"/>
      <c r="BM15" s="768"/>
      <c r="BN15" s="768"/>
      <c r="BO15" s="768"/>
      <c r="BR15" s="768"/>
      <c r="BS15" s="768"/>
      <c r="BT15" s="768"/>
      <c r="BX15" s="768"/>
      <c r="BY15" s="768"/>
      <c r="BZ15" s="768"/>
      <c r="CA15" s="768"/>
      <c r="CB15" s="768"/>
      <c r="CC15" s="768"/>
      <c r="CF15" s="768"/>
      <c r="CG15" s="768"/>
      <c r="CH15" s="768"/>
      <c r="CI15" s="768"/>
      <c r="CL15" s="768"/>
      <c r="CM15" s="768"/>
      <c r="CN15" s="768"/>
      <c r="CO15" s="768"/>
      <c r="CP15" s="768"/>
      <c r="CQ15" s="768"/>
      <c r="CS15" s="768"/>
      <c r="CV15" s="768"/>
      <c r="ES15" s="1071"/>
    </row>
    <row r="16" spans="2:149" s="520" customFormat="1">
      <c r="B16" s="310"/>
      <c r="C16" s="989">
        <f t="shared" si="2"/>
        <v>7</v>
      </c>
      <c r="D16" s="175"/>
      <c r="E16" s="328"/>
      <c r="F16" s="337" t="s">
        <v>2342</v>
      </c>
      <c r="G16" s="189" t="str">
        <f>VLOOKUP(F16,Lists!$B$598:$D$604,Lists!$D$3,FALSE)</f>
        <v>#12.07</v>
      </c>
      <c r="H16" s="256">
        <f>VLOOKUP(G16,TOV!$C$509:$G$515,TOV!$F$1,FALSE)</f>
        <v>241.45009999999999</v>
      </c>
      <c r="I16" s="279" t="str">
        <f>VLOOKUP(G16,TOV!$C$509:$G$515,TOV!$G$1,FALSE)</f>
        <v>m</v>
      </c>
      <c r="J16" s="117"/>
      <c r="K16" s="118">
        <f t="shared" si="1"/>
        <v>0</v>
      </c>
      <c r="L16" s="114"/>
      <c r="M16" s="193"/>
      <c r="N16" s="193"/>
      <c r="O16" s="193"/>
      <c r="P16" s="193"/>
      <c r="Q16" s="193"/>
      <c r="R16" s="193"/>
      <c r="S16" s="194"/>
      <c r="T16" s="474"/>
      <c r="U16" s="474"/>
      <c r="V16" s="474"/>
      <c r="W16" s="475"/>
      <c r="X16" s="475"/>
      <c r="Y16" s="475"/>
      <c r="AC16" s="768"/>
      <c r="AD16" s="768"/>
      <c r="AI16" s="768"/>
      <c r="AK16" s="768"/>
      <c r="AM16" s="768"/>
      <c r="AP16" s="768"/>
      <c r="AR16" s="768"/>
      <c r="AT16" s="768"/>
      <c r="AV16" s="768"/>
      <c r="AX16" s="768"/>
      <c r="AZ16" s="768"/>
      <c r="BA16" s="768"/>
      <c r="BD16" s="768"/>
      <c r="BE16" s="768"/>
      <c r="BF16" s="768"/>
      <c r="BG16" s="768"/>
      <c r="BH16" s="768"/>
      <c r="BI16" s="768"/>
      <c r="BJ16" s="768"/>
      <c r="BM16" s="768"/>
      <c r="BN16" s="768"/>
      <c r="BO16" s="768"/>
      <c r="BR16" s="768"/>
      <c r="BS16" s="768"/>
      <c r="BT16" s="768"/>
      <c r="BX16" s="768"/>
      <c r="BY16" s="768"/>
      <c r="BZ16" s="768"/>
      <c r="CA16" s="768"/>
      <c r="CB16" s="768"/>
      <c r="CC16" s="768"/>
      <c r="CF16" s="768"/>
      <c r="CG16" s="768"/>
      <c r="CH16" s="768"/>
      <c r="CI16" s="768"/>
      <c r="CL16" s="768"/>
      <c r="CM16" s="768"/>
      <c r="CN16" s="768"/>
      <c r="CO16" s="768"/>
      <c r="CP16" s="768"/>
      <c r="CQ16" s="768"/>
      <c r="CS16" s="768"/>
      <c r="CV16" s="768"/>
      <c r="ES16" s="1071"/>
    </row>
    <row r="17" spans="2:153" s="520" customFormat="1">
      <c r="B17" s="310"/>
      <c r="C17" s="989">
        <f t="shared" si="2"/>
        <v>8</v>
      </c>
      <c r="D17" s="175"/>
      <c r="E17" s="328"/>
      <c r="F17" s="337" t="s">
        <v>2336</v>
      </c>
      <c r="G17" s="189" t="str">
        <f>VLOOKUP(F17,Lists!$B$598:$D$604,Lists!$D$3,FALSE)</f>
        <v>#12.01</v>
      </c>
      <c r="H17" s="256">
        <f>VLOOKUP(G17,TOV!$C$509:$G$515,TOV!$F$1,FALSE)</f>
        <v>937.35863262248336</v>
      </c>
      <c r="I17" s="279" t="str">
        <f>VLOOKUP(G17,TOV!$C$509:$G$515,TOV!$G$1,FALSE)</f>
        <v>m</v>
      </c>
      <c r="J17" s="117"/>
      <c r="K17" s="118">
        <f t="shared" si="1"/>
        <v>0</v>
      </c>
      <c r="L17" s="114"/>
      <c r="M17" s="193"/>
      <c r="N17" s="193"/>
      <c r="O17" s="193"/>
      <c r="P17" s="193"/>
      <c r="Q17" s="193"/>
      <c r="R17" s="193"/>
      <c r="S17" s="194"/>
      <c r="T17" s="474"/>
      <c r="U17" s="474"/>
      <c r="V17" s="474"/>
      <c r="W17" s="475"/>
      <c r="X17" s="475"/>
      <c r="Y17" s="475"/>
      <c r="AC17" s="768"/>
      <c r="AD17" s="768"/>
      <c r="AI17" s="768"/>
      <c r="AK17" s="768"/>
      <c r="AM17" s="768"/>
      <c r="AP17" s="768"/>
      <c r="AR17" s="768"/>
      <c r="AT17" s="768"/>
      <c r="AV17" s="768"/>
      <c r="AX17" s="768"/>
      <c r="AZ17" s="768"/>
      <c r="BA17" s="768"/>
      <c r="BD17" s="768"/>
      <c r="BE17" s="768"/>
      <c r="BF17" s="768"/>
      <c r="BG17" s="768"/>
      <c r="BH17" s="768"/>
      <c r="BI17" s="768"/>
      <c r="BJ17" s="768"/>
      <c r="BM17" s="768"/>
      <c r="BN17" s="768"/>
      <c r="BO17" s="768"/>
      <c r="BR17" s="768"/>
      <c r="BS17" s="768"/>
      <c r="BT17" s="768"/>
      <c r="BX17" s="768"/>
      <c r="BY17" s="768"/>
      <c r="BZ17" s="768"/>
      <c r="CA17" s="768"/>
      <c r="CB17" s="768"/>
      <c r="CC17" s="768"/>
      <c r="CF17" s="768"/>
      <c r="CG17" s="768"/>
      <c r="CH17" s="768"/>
      <c r="CI17" s="768"/>
      <c r="CL17" s="768"/>
      <c r="CM17" s="768"/>
      <c r="CN17" s="768"/>
      <c r="CO17" s="768"/>
      <c r="CP17" s="768"/>
      <c r="CQ17" s="768"/>
      <c r="CS17" s="768"/>
      <c r="CV17" s="768"/>
      <c r="ES17" s="1071"/>
    </row>
    <row r="18" spans="2:153" s="520" customFormat="1">
      <c r="B18" s="310"/>
      <c r="C18" s="989">
        <f t="shared" si="2"/>
        <v>9</v>
      </c>
      <c r="D18" s="175"/>
      <c r="E18" s="328"/>
      <c r="F18" s="337" t="s">
        <v>2336</v>
      </c>
      <c r="G18" s="189" t="str">
        <f>VLOOKUP(F18,Lists!$B$598:$D$604,Lists!$D$3,FALSE)</f>
        <v>#12.01</v>
      </c>
      <c r="H18" s="256">
        <f>VLOOKUP(G18,TOV!$C$509:$G$515,TOV!$F$1,FALSE)</f>
        <v>937.35863262248336</v>
      </c>
      <c r="I18" s="279" t="str">
        <f>VLOOKUP(G18,TOV!$C$509:$G$515,TOV!$G$1,FALSE)</f>
        <v>m</v>
      </c>
      <c r="J18" s="117"/>
      <c r="K18" s="118">
        <f t="shared" si="1"/>
        <v>0</v>
      </c>
      <c r="L18" s="114"/>
      <c r="M18" s="193"/>
      <c r="N18" s="193"/>
      <c r="O18" s="193"/>
      <c r="P18" s="193"/>
      <c r="Q18" s="193"/>
      <c r="R18" s="193"/>
      <c r="S18" s="194"/>
      <c r="T18" s="474"/>
      <c r="U18" s="474"/>
      <c r="V18" s="474"/>
      <c r="W18" s="475"/>
      <c r="X18" s="475"/>
      <c r="Y18" s="475"/>
      <c r="AC18" s="768"/>
      <c r="AD18" s="768"/>
      <c r="AI18" s="768"/>
      <c r="AK18" s="768"/>
      <c r="AM18" s="768"/>
      <c r="AP18" s="768"/>
      <c r="AR18" s="768"/>
      <c r="AT18" s="768"/>
      <c r="AV18" s="768"/>
      <c r="AX18" s="768"/>
      <c r="AZ18" s="768"/>
      <c r="BA18" s="768"/>
      <c r="BD18" s="768"/>
      <c r="BE18" s="768"/>
      <c r="BF18" s="768"/>
      <c r="BG18" s="768"/>
      <c r="BH18" s="768"/>
      <c r="BI18" s="768"/>
      <c r="BJ18" s="768"/>
      <c r="BM18" s="768"/>
      <c r="BN18" s="768"/>
      <c r="BO18" s="768"/>
      <c r="BR18" s="768"/>
      <c r="BS18" s="768"/>
      <c r="BT18" s="768"/>
      <c r="BX18" s="768"/>
      <c r="BY18" s="768"/>
      <c r="BZ18" s="768"/>
      <c r="CA18" s="768"/>
      <c r="CB18" s="768"/>
      <c r="CC18" s="768"/>
      <c r="CF18" s="768"/>
      <c r="CG18" s="768"/>
      <c r="CH18" s="768"/>
      <c r="CI18" s="768"/>
      <c r="CL18" s="768"/>
      <c r="CM18" s="768"/>
      <c r="CN18" s="768"/>
      <c r="CO18" s="768"/>
      <c r="CP18" s="768"/>
      <c r="CQ18" s="768"/>
      <c r="CS18" s="768"/>
      <c r="CV18" s="768"/>
      <c r="ES18" s="1071"/>
    </row>
    <row r="19" spans="2:153" s="520" customFormat="1">
      <c r="B19" s="310"/>
      <c r="C19" s="989">
        <f t="shared" si="2"/>
        <v>10</v>
      </c>
      <c r="D19" s="175"/>
      <c r="E19" s="328"/>
      <c r="F19" s="337" t="s">
        <v>2336</v>
      </c>
      <c r="G19" s="189" t="str">
        <f>VLOOKUP(F19,Lists!$B$598:$D$604,Lists!$D$3,FALSE)</f>
        <v>#12.01</v>
      </c>
      <c r="H19" s="256">
        <f>VLOOKUP(G19,TOV!$C$509:$G$515,TOV!$F$1,FALSE)</f>
        <v>937.35863262248336</v>
      </c>
      <c r="I19" s="279" t="str">
        <f>VLOOKUP(G19,TOV!$C$509:$G$515,TOV!$G$1,FALSE)</f>
        <v>m</v>
      </c>
      <c r="J19" s="117"/>
      <c r="K19" s="118">
        <f t="shared" si="1"/>
        <v>0</v>
      </c>
      <c r="L19" s="114"/>
      <c r="M19" s="193"/>
      <c r="N19" s="193"/>
      <c r="O19" s="193"/>
      <c r="P19" s="193"/>
      <c r="Q19" s="193"/>
      <c r="R19" s="193"/>
      <c r="S19" s="194"/>
      <c r="T19" s="474"/>
      <c r="U19" s="474"/>
      <c r="V19" s="474"/>
      <c r="W19" s="475"/>
      <c r="X19" s="475"/>
      <c r="Y19" s="475"/>
      <c r="AC19" s="768"/>
      <c r="AD19" s="768"/>
      <c r="AI19" s="768"/>
      <c r="AK19" s="768"/>
      <c r="AM19" s="768"/>
      <c r="AP19" s="768"/>
      <c r="AR19" s="768"/>
      <c r="AT19" s="768"/>
      <c r="AV19" s="768"/>
      <c r="AX19" s="768"/>
      <c r="AZ19" s="768"/>
      <c r="BA19" s="768"/>
      <c r="BD19" s="768"/>
      <c r="BE19" s="768"/>
      <c r="BF19" s="768"/>
      <c r="BG19" s="768"/>
      <c r="BH19" s="768"/>
      <c r="BI19" s="768"/>
      <c r="BJ19" s="768"/>
      <c r="BM19" s="768"/>
      <c r="BN19" s="768"/>
      <c r="BO19" s="768"/>
      <c r="BR19" s="768"/>
      <c r="BS19" s="768"/>
      <c r="BT19" s="768"/>
      <c r="BX19" s="768"/>
      <c r="BY19" s="768"/>
      <c r="BZ19" s="768"/>
      <c r="CA19" s="768"/>
      <c r="CB19" s="768"/>
      <c r="CC19" s="768"/>
      <c r="CF19" s="768"/>
      <c r="CG19" s="768"/>
      <c r="CH19" s="768"/>
      <c r="CI19" s="768"/>
      <c r="CL19" s="768"/>
      <c r="CM19" s="768"/>
      <c r="CN19" s="768"/>
      <c r="CO19" s="768"/>
      <c r="CP19" s="768"/>
      <c r="CQ19" s="768"/>
      <c r="CS19" s="768"/>
      <c r="CV19" s="768"/>
      <c r="ES19" s="1071"/>
    </row>
    <row r="20" spans="2:153" s="520" customFormat="1">
      <c r="B20" s="310"/>
      <c r="C20" s="989">
        <f t="shared" si="2"/>
        <v>11</v>
      </c>
      <c r="D20" s="175"/>
      <c r="E20" s="328"/>
      <c r="F20" s="337" t="s">
        <v>2336</v>
      </c>
      <c r="G20" s="189" t="str">
        <f>VLOOKUP(F20,Lists!$B$598:$D$604,Lists!$D$3,FALSE)</f>
        <v>#12.01</v>
      </c>
      <c r="H20" s="256">
        <f>VLOOKUP(G20,TOV!$C$509:$G$515,TOV!$F$1,FALSE)</f>
        <v>937.35863262248336</v>
      </c>
      <c r="I20" s="279" t="str">
        <f>VLOOKUP(G20,TOV!$C$509:$G$515,TOV!$G$1,FALSE)</f>
        <v>m</v>
      </c>
      <c r="J20" s="117"/>
      <c r="K20" s="118">
        <f t="shared" si="1"/>
        <v>0</v>
      </c>
      <c r="L20" s="114"/>
      <c r="M20" s="193"/>
      <c r="N20" s="193"/>
      <c r="O20" s="193"/>
      <c r="P20" s="193"/>
      <c r="Q20" s="193"/>
      <c r="R20" s="193"/>
      <c r="S20" s="194"/>
      <c r="T20" s="474"/>
      <c r="U20" s="474"/>
      <c r="V20" s="474"/>
      <c r="W20" s="475"/>
      <c r="X20" s="475"/>
      <c r="Y20" s="475"/>
      <c r="AC20" s="768"/>
      <c r="AD20" s="768"/>
      <c r="AI20" s="768"/>
      <c r="AK20" s="768"/>
      <c r="AM20" s="768"/>
      <c r="AP20" s="768"/>
      <c r="AR20" s="768"/>
      <c r="AT20" s="768"/>
      <c r="AV20" s="768"/>
      <c r="AX20" s="768"/>
      <c r="AZ20" s="768"/>
      <c r="BA20" s="768"/>
      <c r="BD20" s="768"/>
      <c r="BE20" s="768"/>
      <c r="BF20" s="768"/>
      <c r="BG20" s="768"/>
      <c r="BH20" s="768"/>
      <c r="BI20" s="768"/>
      <c r="BJ20" s="768"/>
      <c r="BM20" s="768"/>
      <c r="BN20" s="768"/>
      <c r="BO20" s="768"/>
      <c r="BR20" s="768"/>
      <c r="BS20" s="768"/>
      <c r="BT20" s="768"/>
      <c r="BX20" s="768"/>
      <c r="BY20" s="768"/>
      <c r="BZ20" s="768"/>
      <c r="CA20" s="768"/>
      <c r="CB20" s="768"/>
      <c r="CC20" s="768"/>
      <c r="CF20" s="768"/>
      <c r="CG20" s="768"/>
      <c r="CH20" s="768"/>
      <c r="CI20" s="768"/>
      <c r="CL20" s="768"/>
      <c r="CM20" s="768"/>
      <c r="CN20" s="768"/>
      <c r="CO20" s="768"/>
      <c r="CP20" s="768"/>
      <c r="CQ20" s="768"/>
      <c r="CS20" s="768"/>
      <c r="CV20" s="768"/>
      <c r="ES20" s="1071"/>
    </row>
    <row r="21" spans="2:153" s="520" customFormat="1">
      <c r="B21" s="310"/>
      <c r="C21" s="989">
        <f t="shared" si="2"/>
        <v>12</v>
      </c>
      <c r="D21" s="175"/>
      <c r="E21" s="328"/>
      <c r="F21" s="337" t="s">
        <v>2336</v>
      </c>
      <c r="G21" s="189" t="str">
        <f>VLOOKUP(F21,Lists!$B$598:$D$604,Lists!$D$3,FALSE)</f>
        <v>#12.01</v>
      </c>
      <c r="H21" s="256">
        <f>VLOOKUP(G21,TOV!$C$509:$G$515,TOV!$F$1,FALSE)</f>
        <v>937.35863262248336</v>
      </c>
      <c r="I21" s="279" t="str">
        <f>VLOOKUP(G21,TOV!$C$509:$G$515,TOV!$G$1,FALSE)</f>
        <v>m</v>
      </c>
      <c r="J21" s="117"/>
      <c r="K21" s="118">
        <f t="shared" si="1"/>
        <v>0</v>
      </c>
      <c r="L21" s="114"/>
      <c r="M21" s="193"/>
      <c r="N21" s="193"/>
      <c r="O21" s="193"/>
      <c r="P21" s="193"/>
      <c r="Q21" s="193"/>
      <c r="R21" s="193"/>
      <c r="S21" s="194"/>
      <c r="T21" s="474"/>
      <c r="U21" s="474"/>
      <c r="V21" s="474"/>
      <c r="W21" s="475"/>
      <c r="X21" s="475"/>
      <c r="Y21" s="475"/>
      <c r="AC21" s="768"/>
      <c r="AD21" s="768"/>
      <c r="AI21" s="768"/>
      <c r="AK21" s="768"/>
      <c r="AM21" s="768"/>
      <c r="AP21" s="768"/>
      <c r="AR21" s="768"/>
      <c r="AT21" s="768"/>
      <c r="AV21" s="768"/>
      <c r="AX21" s="768"/>
      <c r="AZ21" s="768"/>
      <c r="BA21" s="768"/>
      <c r="BD21" s="768"/>
      <c r="BE21" s="768"/>
      <c r="BF21" s="768"/>
      <c r="BG21" s="768"/>
      <c r="BH21" s="768"/>
      <c r="BI21" s="768"/>
      <c r="BJ21" s="768"/>
      <c r="BM21" s="768"/>
      <c r="BN21" s="768"/>
      <c r="BO21" s="768"/>
      <c r="BR21" s="768"/>
      <c r="BS21" s="768"/>
      <c r="BT21" s="768"/>
      <c r="BX21" s="768"/>
      <c r="BY21" s="768"/>
      <c r="BZ21" s="768"/>
      <c r="CA21" s="768"/>
      <c r="CB21" s="768"/>
      <c r="CC21" s="768"/>
      <c r="CF21" s="768"/>
      <c r="CG21" s="768"/>
      <c r="CH21" s="768"/>
      <c r="CI21" s="768"/>
      <c r="CL21" s="768"/>
      <c r="CM21" s="768"/>
      <c r="CN21" s="768"/>
      <c r="CO21" s="768"/>
      <c r="CP21" s="768"/>
      <c r="CQ21" s="768"/>
      <c r="CS21" s="768"/>
      <c r="CV21" s="768"/>
      <c r="ES21" s="1071"/>
    </row>
    <row r="22" spans="2:153" s="520" customFormat="1">
      <c r="B22" s="310"/>
      <c r="C22" s="989">
        <f t="shared" si="2"/>
        <v>13</v>
      </c>
      <c r="D22" s="175"/>
      <c r="E22" s="328"/>
      <c r="F22" s="337" t="s">
        <v>2336</v>
      </c>
      <c r="G22" s="189" t="str">
        <f>VLOOKUP(F22,Lists!$B$598:$D$604,Lists!$D$3,FALSE)</f>
        <v>#12.01</v>
      </c>
      <c r="H22" s="256">
        <f>VLOOKUP(G22,TOV!$C$509:$G$515,TOV!$F$1,FALSE)</f>
        <v>937.35863262248336</v>
      </c>
      <c r="I22" s="279" t="str">
        <f>VLOOKUP(G22,TOV!$C$509:$G$515,TOV!$G$1,FALSE)</f>
        <v>m</v>
      </c>
      <c r="J22" s="117"/>
      <c r="K22" s="118">
        <f t="shared" si="1"/>
        <v>0</v>
      </c>
      <c r="L22" s="114"/>
      <c r="M22" s="193"/>
      <c r="N22" s="193"/>
      <c r="O22" s="193"/>
      <c r="P22" s="193"/>
      <c r="Q22" s="193"/>
      <c r="R22" s="193"/>
      <c r="S22" s="194"/>
      <c r="T22" s="474"/>
      <c r="U22" s="474"/>
      <c r="V22" s="474"/>
      <c r="W22" s="475"/>
      <c r="X22" s="475"/>
      <c r="Y22" s="475"/>
      <c r="AC22" s="768"/>
      <c r="AD22" s="768"/>
      <c r="AI22" s="768"/>
      <c r="AK22" s="768"/>
      <c r="AM22" s="768"/>
      <c r="AP22" s="768"/>
      <c r="AR22" s="768"/>
      <c r="AT22" s="768"/>
      <c r="AV22" s="768"/>
      <c r="AX22" s="768"/>
      <c r="AZ22" s="768"/>
      <c r="BA22" s="768"/>
      <c r="BD22" s="768"/>
      <c r="BE22" s="768"/>
      <c r="BF22" s="768"/>
      <c r="BG22" s="768"/>
      <c r="BH22" s="768"/>
      <c r="BI22" s="768"/>
      <c r="BJ22" s="768"/>
      <c r="BM22" s="768"/>
      <c r="BN22" s="768"/>
      <c r="BO22" s="768"/>
      <c r="BR22" s="768"/>
      <c r="BS22" s="768"/>
      <c r="BT22" s="768"/>
      <c r="BX22" s="768"/>
      <c r="BY22" s="768"/>
      <c r="BZ22" s="768"/>
      <c r="CA22" s="768"/>
      <c r="CB22" s="768"/>
      <c r="CC22" s="768"/>
      <c r="CF22" s="768"/>
      <c r="CG22" s="768"/>
      <c r="CH22" s="768"/>
      <c r="CI22" s="768"/>
      <c r="CL22" s="768"/>
      <c r="CM22" s="768"/>
      <c r="CN22" s="768"/>
      <c r="CO22" s="768"/>
      <c r="CP22" s="768"/>
      <c r="CQ22" s="768"/>
      <c r="CS22" s="768"/>
      <c r="CV22" s="768"/>
      <c r="ES22" s="1071"/>
    </row>
    <row r="23" spans="2:153" s="520" customFormat="1">
      <c r="B23" s="310"/>
      <c r="C23" s="989">
        <f t="shared" si="2"/>
        <v>14</v>
      </c>
      <c r="D23" s="175"/>
      <c r="E23" s="328"/>
      <c r="F23" s="337" t="s">
        <v>2336</v>
      </c>
      <c r="G23" s="189" t="str">
        <f>VLOOKUP(F23,Lists!$B$598:$D$604,Lists!$D$3,FALSE)</f>
        <v>#12.01</v>
      </c>
      <c r="H23" s="256">
        <f>VLOOKUP(G23,TOV!$C$509:$G$515,TOV!$F$1,FALSE)</f>
        <v>937.35863262248336</v>
      </c>
      <c r="I23" s="279" t="str">
        <f>VLOOKUP(G23,TOV!$C$509:$G$515,TOV!$G$1,FALSE)</f>
        <v>m</v>
      </c>
      <c r="J23" s="117"/>
      <c r="K23" s="118">
        <f t="shared" si="1"/>
        <v>0</v>
      </c>
      <c r="L23" s="114"/>
      <c r="M23" s="193"/>
      <c r="N23" s="193"/>
      <c r="O23" s="193"/>
      <c r="P23" s="193"/>
      <c r="Q23" s="193"/>
      <c r="R23" s="193"/>
      <c r="S23" s="194"/>
      <c r="T23" s="474"/>
      <c r="U23" s="474"/>
      <c r="V23" s="474"/>
      <c r="W23" s="475"/>
      <c r="X23" s="475"/>
      <c r="Y23" s="475"/>
      <c r="AC23" s="768"/>
      <c r="AD23" s="768"/>
      <c r="AI23" s="768"/>
      <c r="AK23" s="768"/>
      <c r="AM23" s="768"/>
      <c r="AP23" s="768"/>
      <c r="AR23" s="768"/>
      <c r="AT23" s="768"/>
      <c r="AV23" s="768"/>
      <c r="AX23" s="768"/>
      <c r="AZ23" s="768"/>
      <c r="BA23" s="768"/>
      <c r="BD23" s="768"/>
      <c r="BE23" s="768"/>
      <c r="BF23" s="768"/>
      <c r="BG23" s="768"/>
      <c r="BH23" s="768"/>
      <c r="BI23" s="768"/>
      <c r="BJ23" s="768"/>
      <c r="BM23" s="768"/>
      <c r="BN23" s="768"/>
      <c r="BO23" s="768"/>
      <c r="BR23" s="768"/>
      <c r="BS23" s="768"/>
      <c r="BT23" s="768"/>
      <c r="BX23" s="768"/>
      <c r="BY23" s="768"/>
      <c r="BZ23" s="768"/>
      <c r="CA23" s="768"/>
      <c r="CB23" s="768"/>
      <c r="CC23" s="768"/>
      <c r="CF23" s="768"/>
      <c r="CG23" s="768"/>
      <c r="CH23" s="768"/>
      <c r="CI23" s="768"/>
      <c r="CL23" s="768"/>
      <c r="CM23" s="768"/>
      <c r="CN23" s="768"/>
      <c r="CO23" s="768"/>
      <c r="CP23" s="768"/>
      <c r="CQ23" s="768"/>
      <c r="CS23" s="768"/>
      <c r="CV23" s="768"/>
      <c r="ES23" s="1071"/>
    </row>
    <row r="24" spans="2:153" s="520" customFormat="1">
      <c r="B24" s="310"/>
      <c r="C24" s="989">
        <f t="shared" si="2"/>
        <v>15</v>
      </c>
      <c r="D24" s="175"/>
      <c r="E24" s="328"/>
      <c r="F24" s="337" t="s">
        <v>2336</v>
      </c>
      <c r="G24" s="189" t="str">
        <f>VLOOKUP(F24,Lists!$B$598:$D$604,Lists!$D$3,FALSE)</f>
        <v>#12.01</v>
      </c>
      <c r="H24" s="256">
        <f>VLOOKUP(G24,TOV!$C$509:$G$515,TOV!$F$1,FALSE)</f>
        <v>937.35863262248336</v>
      </c>
      <c r="I24" s="279" t="str">
        <f>VLOOKUP(G24,TOV!$C$509:$G$515,TOV!$G$1,FALSE)</f>
        <v>m</v>
      </c>
      <c r="J24" s="117"/>
      <c r="K24" s="118">
        <f t="shared" si="1"/>
        <v>0</v>
      </c>
      <c r="L24" s="114"/>
      <c r="M24" s="193"/>
      <c r="N24" s="193"/>
      <c r="O24" s="193"/>
      <c r="P24" s="193"/>
      <c r="Q24" s="193"/>
      <c r="R24" s="193"/>
      <c r="S24" s="194"/>
      <c r="T24" s="474"/>
      <c r="U24" s="474"/>
      <c r="V24" s="474"/>
      <c r="W24" s="475"/>
      <c r="X24" s="475"/>
      <c r="Y24" s="475"/>
      <c r="AC24" s="768"/>
      <c r="AD24" s="768"/>
      <c r="AI24" s="768"/>
      <c r="AK24" s="768"/>
      <c r="AM24" s="768"/>
      <c r="AP24" s="768"/>
      <c r="AR24" s="768"/>
      <c r="AT24" s="768"/>
      <c r="AV24" s="768"/>
      <c r="AX24" s="768"/>
      <c r="AZ24" s="768"/>
      <c r="BA24" s="768"/>
      <c r="BD24" s="768"/>
      <c r="BE24" s="768"/>
      <c r="BF24" s="768"/>
      <c r="BG24" s="768"/>
      <c r="BH24" s="768"/>
      <c r="BI24" s="768"/>
      <c r="BJ24" s="768"/>
      <c r="BM24" s="768"/>
      <c r="BN24" s="768"/>
      <c r="BO24" s="768"/>
      <c r="BR24" s="768"/>
      <c r="BS24" s="768"/>
      <c r="BT24" s="768"/>
      <c r="BX24" s="768"/>
      <c r="BY24" s="768"/>
      <c r="BZ24" s="768"/>
      <c r="CA24" s="768"/>
      <c r="CB24" s="768"/>
      <c r="CC24" s="768"/>
      <c r="CF24" s="768"/>
      <c r="CG24" s="768"/>
      <c r="CH24" s="768"/>
      <c r="CI24" s="768"/>
      <c r="CL24" s="768"/>
      <c r="CM24" s="768"/>
      <c r="CN24" s="768"/>
      <c r="CO24" s="768"/>
      <c r="CP24" s="768"/>
      <c r="CQ24" s="768"/>
      <c r="CS24" s="768"/>
      <c r="CV24" s="768"/>
      <c r="ES24" s="1071"/>
    </row>
    <row r="25" spans="2:153" s="520" customFormat="1">
      <c r="B25" s="310"/>
      <c r="C25" s="989">
        <f t="shared" si="2"/>
        <v>16</v>
      </c>
      <c r="D25" s="175"/>
      <c r="E25" s="328"/>
      <c r="F25" s="337" t="s">
        <v>2336</v>
      </c>
      <c r="G25" s="189" t="str">
        <f>VLOOKUP(F25,Lists!$B$598:$D$604,Lists!$D$3,FALSE)</f>
        <v>#12.01</v>
      </c>
      <c r="H25" s="256">
        <f>VLOOKUP(G25,TOV!$C$509:$G$515,TOV!$F$1,FALSE)</f>
        <v>937.35863262248336</v>
      </c>
      <c r="I25" s="279" t="str">
        <f>VLOOKUP(G25,TOV!$C$509:$G$515,TOV!$G$1,FALSE)</f>
        <v>m</v>
      </c>
      <c r="J25" s="117"/>
      <c r="K25" s="118">
        <f t="shared" si="1"/>
        <v>0</v>
      </c>
      <c r="L25" s="114"/>
      <c r="M25" s="193"/>
      <c r="N25" s="193"/>
      <c r="O25" s="193"/>
      <c r="P25" s="193"/>
      <c r="Q25" s="193"/>
      <c r="R25" s="193"/>
      <c r="S25" s="194"/>
      <c r="T25" s="474"/>
      <c r="U25" s="474"/>
      <c r="V25" s="474"/>
      <c r="W25" s="475"/>
      <c r="X25" s="475"/>
      <c r="Y25" s="475"/>
      <c r="AC25" s="768"/>
      <c r="AD25" s="768"/>
      <c r="AI25" s="768"/>
      <c r="AK25" s="768"/>
      <c r="AM25" s="768"/>
      <c r="AP25" s="768"/>
      <c r="AR25" s="768"/>
      <c r="AT25" s="768"/>
      <c r="AV25" s="768"/>
      <c r="AX25" s="768"/>
      <c r="AZ25" s="768"/>
      <c r="BA25" s="768"/>
      <c r="BD25" s="768"/>
      <c r="BE25" s="768"/>
      <c r="BF25" s="768"/>
      <c r="BG25" s="768"/>
      <c r="BH25" s="768"/>
      <c r="BI25" s="768"/>
      <c r="BJ25" s="768"/>
      <c r="BM25" s="768"/>
      <c r="BN25" s="768"/>
      <c r="BO25" s="768"/>
      <c r="BR25" s="768"/>
      <c r="BS25" s="768"/>
      <c r="BT25" s="768"/>
      <c r="BX25" s="768"/>
      <c r="BY25" s="768"/>
      <c r="BZ25" s="768"/>
      <c r="CA25" s="768"/>
      <c r="CB25" s="768"/>
      <c r="CC25" s="768"/>
      <c r="CF25" s="768"/>
      <c r="CG25" s="768"/>
      <c r="CH25" s="768"/>
      <c r="CI25" s="768"/>
      <c r="CL25" s="768"/>
      <c r="CM25" s="768"/>
      <c r="CN25" s="768"/>
      <c r="CO25" s="768"/>
      <c r="CP25" s="768"/>
      <c r="CQ25" s="768"/>
      <c r="CS25" s="768"/>
      <c r="CV25" s="768"/>
      <c r="ES25" s="1071"/>
    </row>
    <row r="26" spans="2:153" s="520" customFormat="1">
      <c r="B26" s="310"/>
      <c r="C26" s="989">
        <f t="shared" si="2"/>
        <v>17</v>
      </c>
      <c r="D26" s="175"/>
      <c r="E26" s="328"/>
      <c r="F26" s="337" t="s">
        <v>2336</v>
      </c>
      <c r="G26" s="189" t="str">
        <f>VLOOKUP(F26,Lists!$B$598:$D$604,Lists!$D$3,FALSE)</f>
        <v>#12.01</v>
      </c>
      <c r="H26" s="256">
        <f>VLOOKUP(G26,TOV!$C$509:$G$515,TOV!$F$1,FALSE)</f>
        <v>937.35863262248336</v>
      </c>
      <c r="I26" s="279" t="str">
        <f>VLOOKUP(G26,TOV!$C$509:$G$515,TOV!$G$1,FALSE)</f>
        <v>m</v>
      </c>
      <c r="J26" s="117"/>
      <c r="K26" s="118">
        <f t="shared" si="1"/>
        <v>0</v>
      </c>
      <c r="L26" s="114"/>
      <c r="M26" s="193"/>
      <c r="N26" s="193"/>
      <c r="O26" s="193"/>
      <c r="P26" s="193"/>
      <c r="Q26" s="193"/>
      <c r="R26" s="193"/>
      <c r="S26" s="194"/>
      <c r="T26" s="474"/>
      <c r="U26" s="474"/>
      <c r="V26" s="474"/>
      <c r="W26" s="475"/>
      <c r="X26" s="475"/>
      <c r="Y26" s="475"/>
      <c r="AC26" s="768"/>
      <c r="AD26" s="768"/>
      <c r="AI26" s="768"/>
      <c r="AK26" s="768"/>
      <c r="AM26" s="768"/>
      <c r="AP26" s="768"/>
      <c r="AR26" s="768"/>
      <c r="AT26" s="768"/>
      <c r="AV26" s="768"/>
      <c r="AX26" s="768"/>
      <c r="AZ26" s="768"/>
      <c r="BA26" s="768"/>
      <c r="BD26" s="768"/>
      <c r="BE26" s="768"/>
      <c r="BF26" s="768"/>
      <c r="BG26" s="768"/>
      <c r="BH26" s="768"/>
      <c r="BI26" s="768"/>
      <c r="BJ26" s="768"/>
      <c r="BM26" s="768"/>
      <c r="BN26" s="768"/>
      <c r="BO26" s="768"/>
      <c r="BR26" s="768"/>
      <c r="BS26" s="768"/>
      <c r="BT26" s="768"/>
      <c r="BX26" s="768"/>
      <c r="BY26" s="768"/>
      <c r="BZ26" s="768"/>
      <c r="CA26" s="768"/>
      <c r="CB26" s="768"/>
      <c r="CC26" s="768"/>
      <c r="CF26" s="768"/>
      <c r="CG26" s="768"/>
      <c r="CH26" s="768"/>
      <c r="CI26" s="768"/>
      <c r="CL26" s="768"/>
      <c r="CM26" s="768"/>
      <c r="CN26" s="768"/>
      <c r="CO26" s="768"/>
      <c r="CP26" s="768"/>
      <c r="CQ26" s="768"/>
      <c r="CS26" s="768"/>
      <c r="CV26" s="768"/>
      <c r="ES26" s="1071"/>
    </row>
    <row r="27" spans="2:153" s="520" customFormat="1">
      <c r="B27" s="310"/>
      <c r="C27" s="989">
        <f t="shared" si="2"/>
        <v>18</v>
      </c>
      <c r="D27" s="175"/>
      <c r="E27" s="328"/>
      <c r="F27" s="337" t="s">
        <v>2336</v>
      </c>
      <c r="G27" s="189" t="str">
        <f>VLOOKUP(F27,Lists!$B$598:$D$604,Lists!$D$3,FALSE)</f>
        <v>#12.01</v>
      </c>
      <c r="H27" s="256">
        <f>VLOOKUP(G27,TOV!$C$509:$G$515,TOV!$F$1,FALSE)</f>
        <v>937.35863262248336</v>
      </c>
      <c r="I27" s="279" t="str">
        <f>VLOOKUP(G27,TOV!$C$509:$G$515,TOV!$G$1,FALSE)</f>
        <v>m</v>
      </c>
      <c r="J27" s="117"/>
      <c r="K27" s="118">
        <f t="shared" si="1"/>
        <v>0</v>
      </c>
      <c r="L27" s="114"/>
      <c r="M27" s="193"/>
      <c r="N27" s="193"/>
      <c r="O27" s="193"/>
      <c r="P27" s="193"/>
      <c r="Q27" s="193"/>
      <c r="R27" s="193"/>
      <c r="S27" s="194"/>
      <c r="T27" s="474"/>
      <c r="U27" s="474"/>
      <c r="V27" s="474"/>
      <c r="W27" s="475"/>
      <c r="X27" s="475"/>
      <c r="Y27" s="475"/>
      <c r="AC27" s="768"/>
      <c r="AD27" s="768"/>
      <c r="AI27" s="768"/>
      <c r="AK27" s="768"/>
      <c r="AM27" s="768"/>
      <c r="AP27" s="768"/>
      <c r="AR27" s="768"/>
      <c r="AT27" s="768"/>
      <c r="AV27" s="768"/>
      <c r="AX27" s="768"/>
      <c r="AZ27" s="768"/>
      <c r="BA27" s="768"/>
      <c r="BD27" s="768"/>
      <c r="BE27" s="768"/>
      <c r="BF27" s="768"/>
      <c r="BG27" s="768"/>
      <c r="BH27" s="768"/>
      <c r="BI27" s="768"/>
      <c r="BJ27" s="768"/>
      <c r="BM27" s="768"/>
      <c r="BN27" s="768"/>
      <c r="BO27" s="768"/>
      <c r="BR27" s="768"/>
      <c r="BS27" s="768"/>
      <c r="BT27" s="768"/>
      <c r="BX27" s="768"/>
      <c r="BY27" s="768"/>
      <c r="BZ27" s="768"/>
      <c r="CA27" s="768"/>
      <c r="CB27" s="768"/>
      <c r="CC27" s="768"/>
      <c r="CF27" s="768"/>
      <c r="CG27" s="768"/>
      <c r="CH27" s="768"/>
      <c r="CI27" s="768"/>
      <c r="CL27" s="768"/>
      <c r="CM27" s="768"/>
      <c r="CN27" s="768"/>
      <c r="CO27" s="768"/>
      <c r="CP27" s="768"/>
      <c r="CQ27" s="768"/>
      <c r="CS27" s="768"/>
      <c r="CV27" s="768"/>
      <c r="ES27" s="1071"/>
    </row>
    <row r="28" spans="2:153" s="520" customFormat="1">
      <c r="B28" s="310"/>
      <c r="C28" s="989">
        <f t="shared" si="2"/>
        <v>19</v>
      </c>
      <c r="D28" s="175"/>
      <c r="E28" s="328"/>
      <c r="F28" s="337" t="s">
        <v>2336</v>
      </c>
      <c r="G28" s="189" t="str">
        <f>VLOOKUP(F28,Lists!$B$598:$D$604,Lists!$D$3,FALSE)</f>
        <v>#12.01</v>
      </c>
      <c r="H28" s="256">
        <f>VLOOKUP(G28,TOV!$C$509:$G$515,TOV!$F$1,FALSE)</f>
        <v>937.35863262248336</v>
      </c>
      <c r="I28" s="279" t="str">
        <f>VLOOKUP(G28,TOV!$C$509:$G$515,TOV!$G$1,FALSE)</f>
        <v>m</v>
      </c>
      <c r="J28" s="117"/>
      <c r="K28" s="118">
        <f t="shared" si="1"/>
        <v>0</v>
      </c>
      <c r="L28" s="114"/>
      <c r="M28" s="193"/>
      <c r="N28" s="193"/>
      <c r="O28" s="193"/>
      <c r="P28" s="193"/>
      <c r="Q28" s="193"/>
      <c r="R28" s="193"/>
      <c r="S28" s="194"/>
      <c r="T28" s="474"/>
      <c r="U28" s="474"/>
      <c r="V28" s="474"/>
      <c r="W28" s="475"/>
      <c r="X28" s="475"/>
      <c r="Y28" s="475"/>
      <c r="AC28" s="768"/>
      <c r="AD28" s="768"/>
      <c r="AI28" s="768"/>
      <c r="AK28" s="768"/>
      <c r="AM28" s="768"/>
      <c r="AP28" s="768"/>
      <c r="AR28" s="768"/>
      <c r="AT28" s="768"/>
      <c r="AV28" s="768"/>
      <c r="AX28" s="768"/>
      <c r="AZ28" s="768"/>
      <c r="BA28" s="768"/>
      <c r="BD28" s="768"/>
      <c r="BE28" s="768"/>
      <c r="BF28" s="768"/>
      <c r="BG28" s="768"/>
      <c r="BH28" s="768"/>
      <c r="BI28" s="768"/>
      <c r="BJ28" s="768"/>
      <c r="BM28" s="768"/>
      <c r="BN28" s="768"/>
      <c r="BO28" s="768"/>
      <c r="BR28" s="768"/>
      <c r="BS28" s="768"/>
      <c r="BT28" s="768"/>
      <c r="BX28" s="768"/>
      <c r="BY28" s="768"/>
      <c r="BZ28" s="768"/>
      <c r="CA28" s="768"/>
      <c r="CB28" s="768"/>
      <c r="CC28" s="768"/>
      <c r="CF28" s="768"/>
      <c r="CG28" s="768"/>
      <c r="CH28" s="768"/>
      <c r="CI28" s="768"/>
      <c r="CL28" s="768"/>
      <c r="CM28" s="768"/>
      <c r="CN28" s="768"/>
      <c r="CO28" s="768"/>
      <c r="CP28" s="768"/>
      <c r="CQ28" s="768"/>
      <c r="CS28" s="768"/>
      <c r="CV28" s="768"/>
      <c r="ES28" s="1071"/>
    </row>
    <row r="29" spans="2:153" s="520" customFormat="1">
      <c r="B29" s="310"/>
      <c r="C29" s="989">
        <f t="shared" si="2"/>
        <v>20</v>
      </c>
      <c r="D29" s="175"/>
      <c r="E29" s="328"/>
      <c r="F29" s="337" t="s">
        <v>2336</v>
      </c>
      <c r="G29" s="189" t="str">
        <f>VLOOKUP(F29,Lists!$B$598:$D$604,Lists!$D$3,FALSE)</f>
        <v>#12.01</v>
      </c>
      <c r="H29" s="256">
        <f>VLOOKUP(G29,TOV!$C$509:$G$515,TOV!$F$1,FALSE)</f>
        <v>937.35863262248336</v>
      </c>
      <c r="I29" s="279" t="str">
        <f>VLOOKUP(G29,TOV!$C$509:$G$515,TOV!$G$1,FALSE)</f>
        <v>m</v>
      </c>
      <c r="J29" s="117"/>
      <c r="K29" s="118">
        <f t="shared" si="1"/>
        <v>0</v>
      </c>
      <c r="L29" s="114"/>
      <c r="M29" s="193"/>
      <c r="N29" s="193"/>
      <c r="O29" s="193"/>
      <c r="P29" s="193"/>
      <c r="Q29" s="193"/>
      <c r="R29" s="193"/>
      <c r="S29" s="194"/>
      <c r="T29" s="474"/>
      <c r="U29" s="474"/>
      <c r="V29" s="474"/>
      <c r="W29" s="475"/>
      <c r="X29" s="475"/>
      <c r="Y29" s="475"/>
      <c r="AC29" s="768"/>
      <c r="AD29" s="768"/>
      <c r="AI29" s="768"/>
      <c r="AK29" s="768"/>
      <c r="AM29" s="768"/>
      <c r="AP29" s="768"/>
      <c r="AR29" s="768"/>
      <c r="AT29" s="768"/>
      <c r="AV29" s="768"/>
      <c r="AX29" s="768"/>
      <c r="AZ29" s="768"/>
      <c r="BA29" s="768"/>
      <c r="BD29" s="768"/>
      <c r="BE29" s="768"/>
      <c r="BF29" s="768"/>
      <c r="BG29" s="768"/>
      <c r="BH29" s="768"/>
      <c r="BI29" s="768"/>
      <c r="BJ29" s="768"/>
      <c r="BM29" s="768"/>
      <c r="BN29" s="768"/>
      <c r="BO29" s="768"/>
      <c r="BR29" s="768"/>
      <c r="BS29" s="768"/>
      <c r="BT29" s="768"/>
      <c r="BX29" s="768"/>
      <c r="BY29" s="768"/>
      <c r="BZ29" s="768"/>
      <c r="CA29" s="768"/>
      <c r="CB29" s="768"/>
      <c r="CC29" s="768"/>
      <c r="CF29" s="768"/>
      <c r="CG29" s="768"/>
      <c r="CH29" s="768"/>
      <c r="CI29" s="768"/>
      <c r="CL29" s="768"/>
      <c r="CM29" s="768"/>
      <c r="CN29" s="768"/>
      <c r="CO29" s="768"/>
      <c r="CP29" s="768"/>
      <c r="CQ29" s="768"/>
      <c r="CS29" s="768"/>
      <c r="CV29" s="768"/>
      <c r="ES29" s="1071"/>
    </row>
    <row r="30" spans="2:153" s="520" customFormat="1" ht="16.149999999999999" customHeight="1">
      <c r="B30" s="582"/>
      <c r="C30" s="582"/>
      <c r="D30" s="495"/>
      <c r="E30" s="1019"/>
      <c r="F30" s="495"/>
      <c r="G30" s="582"/>
      <c r="I30" s="259"/>
      <c r="J30" s="260"/>
      <c r="K30" s="260"/>
      <c r="L30" s="474"/>
      <c r="M30" s="474"/>
      <c r="N30" s="474"/>
      <c r="O30" s="474"/>
      <c r="P30" s="474"/>
      <c r="Q30" s="474"/>
      <c r="R30" s="474"/>
      <c r="S30" s="474"/>
      <c r="T30" s="474"/>
      <c r="U30" s="474"/>
      <c r="V30" s="474"/>
      <c r="W30" s="475"/>
      <c r="X30" s="475"/>
      <c r="Y30" s="475"/>
      <c r="AC30" s="768"/>
      <c r="AD30" s="768"/>
      <c r="AI30" s="768"/>
      <c r="AK30" s="768"/>
      <c r="AM30" s="768"/>
      <c r="AP30" s="768"/>
      <c r="AR30" s="768"/>
      <c r="AT30" s="768"/>
      <c r="AV30" s="768"/>
      <c r="AX30" s="768"/>
      <c r="AZ30" s="768"/>
      <c r="BA30" s="768"/>
      <c r="BD30" s="768"/>
      <c r="BE30" s="768"/>
      <c r="BF30" s="768"/>
      <c r="BG30" s="768"/>
      <c r="BH30" s="768"/>
      <c r="BI30" s="768"/>
      <c r="BJ30" s="768"/>
      <c r="BM30" s="768"/>
      <c r="BN30" s="768"/>
      <c r="BO30" s="768"/>
      <c r="BR30" s="768"/>
      <c r="BS30" s="768"/>
      <c r="BT30" s="768"/>
      <c r="BX30" s="768"/>
      <c r="BY30" s="768"/>
      <c r="BZ30" s="768"/>
      <c r="CA30" s="768"/>
      <c r="CB30" s="768"/>
      <c r="CC30" s="768"/>
      <c r="CF30" s="768"/>
      <c r="CG30" s="768"/>
      <c r="CL30" s="768"/>
      <c r="CM30" s="768"/>
      <c r="CN30" s="768"/>
      <c r="CO30" s="768"/>
      <c r="CP30" s="768"/>
      <c r="CQ30" s="768"/>
      <c r="CS30" s="768"/>
      <c r="CV30" s="768"/>
      <c r="ET30" s="1071"/>
    </row>
    <row r="31" spans="2:153" s="520" customFormat="1" ht="16.149999999999999" customHeight="1">
      <c r="B31" s="495"/>
      <c r="C31" s="495"/>
      <c r="D31" s="495"/>
      <c r="E31" s="495"/>
      <c r="F31" s="495"/>
      <c r="G31" s="495"/>
      <c r="I31" s="495"/>
      <c r="J31" s="1221"/>
      <c r="K31" s="1222">
        <f>SUM(K8:K30)</f>
        <v>0</v>
      </c>
      <c r="L31" s="474"/>
      <c r="M31" s="474"/>
      <c r="N31" s="474"/>
      <c r="O31" s="474"/>
      <c r="P31" s="474"/>
      <c r="Q31" s="474"/>
      <c r="R31" s="474"/>
      <c r="S31" s="474"/>
      <c r="T31" s="474"/>
      <c r="U31" s="474"/>
      <c r="V31" s="474"/>
      <c r="W31" s="475"/>
      <c r="X31" s="475"/>
      <c r="Y31" s="475"/>
      <c r="AC31" s="1146"/>
      <c r="AD31" s="1146"/>
      <c r="AI31" s="768"/>
      <c r="AK31" s="768"/>
      <c r="AM31" s="768"/>
      <c r="AP31" s="768"/>
      <c r="AR31" s="768"/>
      <c r="AT31" s="768"/>
      <c r="AV31" s="768"/>
      <c r="AX31" s="768"/>
      <c r="AZ31" s="768"/>
      <c r="BA31" s="768"/>
      <c r="BD31" s="768"/>
      <c r="BE31" s="768"/>
      <c r="BF31" s="768"/>
      <c r="BG31" s="768"/>
      <c r="BH31" s="768"/>
      <c r="BI31" s="768"/>
      <c r="BJ31" s="768"/>
      <c r="BM31" s="768"/>
      <c r="BN31" s="768"/>
      <c r="BO31" s="768"/>
      <c r="BR31" s="768"/>
      <c r="BS31" s="768"/>
      <c r="BT31" s="768"/>
      <c r="BX31" s="768"/>
      <c r="BY31" s="768"/>
      <c r="BZ31" s="768"/>
      <c r="CA31" s="768"/>
      <c r="CB31" s="768"/>
      <c r="CC31" s="768"/>
      <c r="CF31" s="768"/>
      <c r="CG31" s="768"/>
      <c r="CL31" s="768"/>
      <c r="CM31" s="768"/>
      <c r="CN31" s="768"/>
      <c r="CO31" s="768"/>
      <c r="CP31" s="768"/>
      <c r="CQ31" s="768"/>
      <c r="CS31" s="768"/>
      <c r="CT31" s="768"/>
      <c r="CV31" s="768"/>
      <c r="EW31" s="1071"/>
    </row>
    <row r="32" spans="2:153" s="520" customFormat="1" ht="16.149999999999999" customHeight="1">
      <c r="I32" s="768"/>
      <c r="K32" s="768"/>
      <c r="L32" s="1223"/>
      <c r="M32" s="280"/>
      <c r="N32" s="495"/>
      <c r="O32" s="768"/>
      <c r="P32" s="768"/>
      <c r="Q32" s="768"/>
      <c r="R32" s="768"/>
      <c r="S32" s="768"/>
      <c r="T32" s="768"/>
      <c r="U32" s="768"/>
      <c r="V32" s="768"/>
      <c r="W32" s="768"/>
      <c r="X32" s="768"/>
      <c r="AE32" s="768"/>
      <c r="AF32" s="768"/>
      <c r="AK32" s="768"/>
      <c r="AM32" s="768"/>
      <c r="AO32" s="768"/>
      <c r="AP32" s="768"/>
      <c r="AR32" s="768"/>
      <c r="AT32" s="768"/>
      <c r="AV32" s="768"/>
      <c r="AX32" s="768"/>
      <c r="AZ32" s="768"/>
      <c r="BB32" s="768"/>
      <c r="BC32" s="768"/>
      <c r="BF32" s="768"/>
      <c r="BG32" s="768"/>
      <c r="BH32" s="768"/>
      <c r="BI32" s="768"/>
      <c r="BJ32" s="768"/>
      <c r="BK32" s="768"/>
      <c r="BL32" s="768"/>
      <c r="BO32" s="768"/>
      <c r="BP32" s="768"/>
      <c r="BQ32" s="768"/>
      <c r="BT32" s="768"/>
      <c r="BU32" s="768"/>
      <c r="BV32" s="768"/>
      <c r="BZ32" s="768"/>
      <c r="CA32" s="768"/>
      <c r="CB32" s="768"/>
      <c r="CC32" s="768"/>
      <c r="CD32" s="768"/>
      <c r="CE32" s="768"/>
      <c r="CH32" s="768"/>
      <c r="CI32" s="768"/>
      <c r="CN32" s="768"/>
      <c r="CO32" s="768"/>
      <c r="CP32" s="768"/>
      <c r="CQ32" s="768"/>
      <c r="CR32" s="768"/>
      <c r="CS32" s="768"/>
      <c r="CU32" s="768"/>
      <c r="CV32" s="768"/>
      <c r="CX32" s="768"/>
      <c r="EV32" s="1071"/>
    </row>
    <row r="33" spans="1:153" s="475" customFormat="1" ht="27" customHeight="1">
      <c r="B33" s="1162" t="s">
        <v>1848</v>
      </c>
      <c r="H33" s="848" t="str">
        <f>$B33</f>
        <v>Alternate rate alert:</v>
      </c>
      <c r="I33" s="847" t="str">
        <f>IF(I36="","No Alert","Enter justification")</f>
        <v>No Alert</v>
      </c>
      <c r="J33" s="474"/>
      <c r="K33" s="986"/>
      <c r="L33" s="261"/>
      <c r="M33" s="261"/>
      <c r="N33" s="261"/>
      <c r="O33" s="474"/>
      <c r="P33" s="474"/>
      <c r="Q33" s="474"/>
      <c r="R33" s="474"/>
      <c r="S33" s="474"/>
      <c r="T33" s="474"/>
      <c r="U33" s="474"/>
      <c r="W33" s="848" t="str">
        <f t="shared" ref="W33:W38" si="3">$B33</f>
        <v>Alternate rate alert:</v>
      </c>
      <c r="X33" s="847" t="str">
        <f>IF(X36="","No Alert","Enter justification")</f>
        <v>No Alert</v>
      </c>
      <c r="Y33" s="520"/>
      <c r="AA33" s="474"/>
      <c r="AB33" s="847" t="str">
        <f>IF(AB36="","No Alert","Enter justification")</f>
        <v>No Alert</v>
      </c>
      <c r="AC33" s="474"/>
      <c r="AD33" s="847" t="str">
        <f>IF(AD36="","No Alert","Enter justification")</f>
        <v>No Alert</v>
      </c>
      <c r="AE33" s="474"/>
      <c r="AF33" s="847" t="str">
        <f>IF(AF36="","No Alert","Enter justification")</f>
        <v>No Alert</v>
      </c>
      <c r="AG33" s="474"/>
      <c r="AH33" s="847" t="str">
        <f>IF(AH36="","No Alert","Enter justification")</f>
        <v>No Alert</v>
      </c>
      <c r="AJ33" s="847" t="str">
        <f>IF(AJ36="","No Alert","Enter justification")</f>
        <v>No Alert</v>
      </c>
      <c r="AL33" s="847" t="str">
        <f>IF(AL36="","No Alert","Enter justification")</f>
        <v>No Alert</v>
      </c>
      <c r="AN33" s="848" t="str">
        <f>$B33</f>
        <v>Alternate rate alert:</v>
      </c>
      <c r="AO33" s="847" t="str">
        <f>IF(AO36="","No Alert","Enter justification")</f>
        <v>No Alert</v>
      </c>
      <c r="AQ33" s="847" t="str">
        <f>IF(AQ36="","No Alert","Enter justification")</f>
        <v>No Alert</v>
      </c>
      <c r="AS33" s="847" t="str">
        <f>IF(AS36="","No Alert","Enter justification")</f>
        <v>No Alert</v>
      </c>
      <c r="AU33" s="474"/>
      <c r="AV33" s="847" t="str">
        <f>IF(AV36="","No Alert","Enter justification")</f>
        <v>No Alert</v>
      </c>
      <c r="AX33" s="847" t="str">
        <f>IF(AX36="","No Alert","Enter justification")</f>
        <v>No Alert</v>
      </c>
      <c r="BA33" s="847"/>
      <c r="BB33" s="847"/>
      <c r="BF33" s="847"/>
      <c r="BG33" s="847"/>
      <c r="BK33" s="847"/>
      <c r="BL33" s="847"/>
      <c r="BP33" s="847"/>
      <c r="BQ33" s="847"/>
      <c r="BU33" s="847"/>
      <c r="BV33" s="847"/>
      <c r="BX33" s="474"/>
      <c r="CA33" s="474"/>
      <c r="CB33" s="474"/>
      <c r="CC33" s="474"/>
      <c r="CG33" s="474"/>
      <c r="CH33" s="474"/>
      <c r="CI33" s="474"/>
      <c r="CJ33" s="474"/>
      <c r="CK33" s="474"/>
      <c r="CL33" s="474"/>
      <c r="CM33" s="474"/>
      <c r="CN33" s="520"/>
      <c r="CO33" s="474"/>
      <c r="CP33" s="474"/>
      <c r="CQ33" s="474"/>
      <c r="CR33" s="474"/>
      <c r="CS33" s="520"/>
      <c r="CT33" s="474"/>
      <c r="CU33" s="474"/>
      <c r="CX33" s="520"/>
      <c r="CY33" s="520"/>
      <c r="CZ33" s="520"/>
      <c r="DG33" s="848" t="str">
        <f>$B33</f>
        <v>Alternate rate alert:</v>
      </c>
      <c r="DH33" s="847" t="str">
        <f>IF(DH36="","No Alert","Enter justification")</f>
        <v>No Alert</v>
      </c>
      <c r="DI33" s="847" t="str">
        <f>IF(DI36="","No Alert","Enter justification")</f>
        <v>No Alert</v>
      </c>
      <c r="DK33" s="520"/>
      <c r="DL33" s="520"/>
      <c r="DM33" s="520"/>
      <c r="ET33" s="1068"/>
    </row>
    <row r="34" spans="1:153" s="475" customFormat="1" ht="16.149999999999999" customHeight="1">
      <c r="B34" s="789" t="s">
        <v>1596</v>
      </c>
      <c r="H34" s="848" t="str">
        <f>$B34</f>
        <v>TOV#:</v>
      </c>
      <c r="I34" s="828" t="str">
        <f>TOV!C210</f>
        <v>#3.126</v>
      </c>
      <c r="J34" s="474"/>
      <c r="K34" s="986"/>
      <c r="L34" s="261"/>
      <c r="M34" s="261"/>
      <c r="N34" s="261"/>
      <c r="O34" s="474"/>
      <c r="P34" s="474"/>
      <c r="Q34" s="474"/>
      <c r="R34" s="474"/>
      <c r="S34" s="474"/>
      <c r="T34" s="474"/>
      <c r="U34" s="474"/>
      <c r="W34" s="848" t="str">
        <f t="shared" si="3"/>
        <v>TOV#:</v>
      </c>
      <c r="X34" s="828" t="str">
        <f>TOV!C210</f>
        <v>#3.126</v>
      </c>
      <c r="Y34" s="474"/>
      <c r="AA34" s="474"/>
      <c r="AB34" s="828" t="str">
        <f>TOV!C511</f>
        <v>#12.03</v>
      </c>
      <c r="AD34" s="828" t="str">
        <f>TOV!C514</f>
        <v>#12.06</v>
      </c>
      <c r="AF34" s="828" t="str">
        <f>TOV!C515</f>
        <v>#12.07</v>
      </c>
      <c r="AH34" s="828" t="str">
        <f>TOV!C262</f>
        <v>#4.02</v>
      </c>
      <c r="AI34" s="520"/>
      <c r="AM34" s="474"/>
      <c r="AN34" s="848" t="str">
        <f>$B34</f>
        <v>TOV#:</v>
      </c>
      <c r="AO34" s="828" t="str">
        <f>TOV!$C$196</f>
        <v>#3.112</v>
      </c>
      <c r="AQ34" s="828" t="str">
        <f>TOV!$C$197</f>
        <v>#3.113</v>
      </c>
      <c r="AS34" s="828" t="str">
        <f>TOV!$C$198</f>
        <v>#3.114</v>
      </c>
      <c r="AT34" s="474"/>
      <c r="AV34" s="828" t="str">
        <f>TOV!$C$194</f>
        <v>#3.110</v>
      </c>
      <c r="AX34" s="828" t="str">
        <f>TOV!$C$195</f>
        <v>#3.111</v>
      </c>
      <c r="AY34" s="474"/>
      <c r="AZ34" s="520"/>
      <c r="BC34" s="474"/>
      <c r="BD34" s="474"/>
      <c r="BE34" s="520"/>
      <c r="BH34" s="474"/>
      <c r="BI34" s="520"/>
      <c r="BM34" s="474"/>
      <c r="BN34" s="520"/>
      <c r="BR34" s="474"/>
      <c r="BS34" s="520"/>
      <c r="BW34" s="474"/>
      <c r="BX34" s="474"/>
      <c r="BY34" s="474"/>
      <c r="BZ34" s="474"/>
      <c r="CA34" s="474"/>
      <c r="CG34" s="474"/>
      <c r="CH34" s="520"/>
      <c r="CI34" s="520"/>
      <c r="CJ34" s="520"/>
      <c r="CK34" s="520"/>
      <c r="CL34" s="520"/>
      <c r="CM34" s="474"/>
      <c r="CN34" s="474"/>
      <c r="CO34" s="474"/>
      <c r="CP34" s="520"/>
      <c r="CQ34" s="520"/>
      <c r="CR34" s="474"/>
      <c r="CS34" s="474"/>
      <c r="CT34" s="474"/>
      <c r="CU34" s="520"/>
      <c r="CW34" s="474"/>
      <c r="CX34" s="474"/>
      <c r="CZ34" s="848"/>
      <c r="DA34" s="520"/>
      <c r="DB34" s="520"/>
      <c r="DG34" s="848" t="str">
        <f>$B34</f>
        <v>TOV#:</v>
      </c>
      <c r="DH34" s="828" t="str">
        <f>TOV!$C$575</f>
        <v>#14.40</v>
      </c>
      <c r="DI34" s="828" t="str">
        <f>TOV!$C$576</f>
        <v>#14.41</v>
      </c>
      <c r="DK34" s="474"/>
      <c r="DL34" s="474"/>
      <c r="DM34" s="474"/>
      <c r="EV34" s="1068"/>
    </row>
    <row r="35" spans="1:153" s="475" customFormat="1" ht="16.149999999999999" customHeight="1">
      <c r="B35" s="789" t="s">
        <v>35</v>
      </c>
      <c r="H35" s="848" t="str">
        <f t="shared" ref="H35:H38" si="4">$B35</f>
        <v>Rate</v>
      </c>
      <c r="I35" s="81">
        <f>VLOOKUP(I34,TOV!$C$207:$G$213,TOV_Rate_Ref,FALSE)</f>
        <v>75</v>
      </c>
      <c r="J35" s="474"/>
      <c r="K35" s="986"/>
      <c r="L35" s="261"/>
      <c r="M35" s="261"/>
      <c r="N35" s="261"/>
      <c r="O35" s="474"/>
      <c r="P35" s="474"/>
      <c r="Q35" s="474"/>
      <c r="R35" s="474"/>
      <c r="S35" s="474"/>
      <c r="T35" s="474"/>
      <c r="U35" s="474"/>
      <c r="W35" s="848" t="str">
        <f t="shared" si="3"/>
        <v>Rate</v>
      </c>
      <c r="X35" s="81">
        <f>VLOOKUP(X34,TOV!$C$207:$G$213,TOV_Rate_Ref,FALSE)</f>
        <v>75</v>
      </c>
      <c r="Y35" s="474"/>
      <c r="Z35" s="474"/>
      <c r="AA35" s="474"/>
      <c r="AB35" s="63">
        <f>VLOOKUP(AB$34,TOV!$C$509:$F$515,TOV_Rate_Ref,FALSE)</f>
        <v>200000</v>
      </c>
      <c r="AC35" s="474"/>
      <c r="AD35" s="63">
        <f>VLOOKUP(AD$34,TOV!$C$509:$F$515,TOV_Rate_Ref,FALSE)</f>
        <v>370</v>
      </c>
      <c r="AF35" s="63">
        <f>VLOOKUP(AF$34,TOV!$C$509:$F$515,TOV_Rate_Ref,FALSE)</f>
        <v>241.45009999999999</v>
      </c>
      <c r="AG35" s="474"/>
      <c r="AH35" s="63">
        <f>VLOOKUP(AH$34,TOV!$C$261:$G$288,4,FALSE)</f>
        <v>750000</v>
      </c>
      <c r="AI35" s="474"/>
      <c r="AJ35" s="63">
        <f>AH35/10</f>
        <v>75000</v>
      </c>
      <c r="AK35" s="474"/>
      <c r="AL35" s="63">
        <f>AH35/10</f>
        <v>75000</v>
      </c>
      <c r="AN35" s="848" t="str">
        <f t="shared" ref="AN35:AN38" si="5">$B35</f>
        <v>Rate</v>
      </c>
      <c r="AO35" s="63">
        <f>VLOOKUP(AO$34,TOV!$C$196:$G$198,4,FALSE)</f>
        <v>60.500000000000007</v>
      </c>
      <c r="AP35" s="474"/>
      <c r="AQ35" s="63">
        <f>VLOOKUP(AQ$34,TOV!$C$196:$G$198,4,FALSE)</f>
        <v>71500</v>
      </c>
      <c r="AR35" s="474"/>
      <c r="AS35" s="63">
        <f>VLOOKUP(AS$34,TOV!$C$196:$G$198,4,FALSE)</f>
        <v>291.5</v>
      </c>
      <c r="AU35" s="474"/>
      <c r="AV35" s="63">
        <f>VLOOKUP(AV$34,TOV!$C$85:$G$217,4,FALSE)</f>
        <v>660</v>
      </c>
      <c r="AW35" s="474"/>
      <c r="AX35" s="63">
        <f>VLOOKUP(AX$34,TOV!$C$85:$G$217,4,FALSE)</f>
        <v>60.500000000000007</v>
      </c>
      <c r="AY35" s="474"/>
      <c r="AZ35" s="474"/>
      <c r="BA35" s="520"/>
      <c r="BB35" s="520"/>
      <c r="BD35" s="474"/>
      <c r="BE35" s="474"/>
      <c r="BF35" s="520"/>
      <c r="BG35" s="520"/>
      <c r="BI35" s="474"/>
      <c r="BJ35" s="520"/>
      <c r="BK35" s="520"/>
      <c r="BL35" s="520"/>
      <c r="BN35" s="474"/>
      <c r="BO35" s="520"/>
      <c r="BP35" s="520"/>
      <c r="BQ35" s="520"/>
      <c r="BS35" s="474"/>
      <c r="BT35" s="520"/>
      <c r="BU35" s="520"/>
      <c r="BV35" s="520"/>
      <c r="BX35" s="474"/>
      <c r="BY35" s="474"/>
      <c r="BZ35" s="474"/>
      <c r="CA35" s="474"/>
      <c r="CB35" s="474"/>
      <c r="CG35" s="474"/>
      <c r="CH35" s="474"/>
      <c r="CI35" s="520"/>
      <c r="CJ35" s="520"/>
      <c r="CK35" s="520"/>
      <c r="CL35" s="520"/>
      <c r="CM35" s="520"/>
      <c r="CN35" s="474"/>
      <c r="CO35" s="474"/>
      <c r="CP35" s="474"/>
      <c r="CQ35" s="520"/>
      <c r="CR35" s="520"/>
      <c r="CS35" s="474"/>
      <c r="CT35" s="474"/>
      <c r="CU35" s="474"/>
      <c r="CV35" s="520"/>
      <c r="CX35" s="474"/>
      <c r="DA35" s="848"/>
      <c r="DB35" s="520"/>
      <c r="DG35" s="848" t="str">
        <f t="shared" ref="DG35:DG38" si="6">$B35</f>
        <v>Rate</v>
      </c>
      <c r="DH35" s="1211">
        <f>VLOOKUP(DH34,TOV!$C$536:$G$585,4,FALSE)</f>
        <v>1655.5</v>
      </c>
      <c r="DI35" s="1211">
        <f>VLOOKUP(DI34,TOV!$C$536:$G$585,4,FALSE)</f>
        <v>4196.5</v>
      </c>
      <c r="DK35" s="474"/>
      <c r="DL35" s="474"/>
      <c r="DM35" s="474"/>
      <c r="EW35" s="1068"/>
    </row>
    <row r="36" spans="1:153" s="520" customFormat="1" ht="16.149999999999999" customHeight="1">
      <c r="B36" s="789" t="s">
        <v>1556</v>
      </c>
      <c r="G36" s="768"/>
      <c r="H36" s="848" t="str">
        <f t="shared" si="4"/>
        <v>Alternate Rate</v>
      </c>
      <c r="I36" s="117"/>
      <c r="J36" s="768"/>
      <c r="K36" s="768"/>
      <c r="L36" s="768"/>
      <c r="M36" s="768"/>
      <c r="N36" s="768"/>
      <c r="O36" s="768"/>
      <c r="P36" s="768"/>
      <c r="Q36" s="768"/>
      <c r="S36" s="768"/>
      <c r="T36" s="768"/>
      <c r="U36" s="768"/>
      <c r="W36" s="848" t="str">
        <f t="shared" si="3"/>
        <v>Alternate Rate</v>
      </c>
      <c r="X36" s="117"/>
      <c r="Y36" s="768"/>
      <c r="Z36" s="768"/>
      <c r="AA36" s="768"/>
      <c r="AB36" s="117"/>
      <c r="AC36" s="768"/>
      <c r="AD36" s="117"/>
      <c r="AF36" s="117"/>
      <c r="AG36" s="768"/>
      <c r="AH36" s="117"/>
      <c r="AI36" s="768"/>
      <c r="AJ36" s="117"/>
      <c r="AK36" s="768"/>
      <c r="AL36" s="117"/>
      <c r="AN36" s="848" t="str">
        <f t="shared" si="5"/>
        <v>Alternate Rate</v>
      </c>
      <c r="AO36" s="117"/>
      <c r="AP36" s="768"/>
      <c r="AQ36" s="117"/>
      <c r="AR36" s="768"/>
      <c r="AS36" s="117"/>
      <c r="AU36" s="768"/>
      <c r="AV36" s="117"/>
      <c r="AW36" s="768"/>
      <c r="AX36" s="117"/>
      <c r="AY36" s="768"/>
      <c r="AZ36" s="768"/>
      <c r="BD36" s="768"/>
      <c r="BE36" s="768"/>
      <c r="BI36" s="768"/>
      <c r="BN36" s="768"/>
      <c r="BS36" s="768"/>
      <c r="BX36" s="768"/>
      <c r="BY36" s="768"/>
      <c r="BZ36" s="768"/>
      <c r="CA36" s="768"/>
      <c r="CB36" s="768"/>
      <c r="CT36" s="768"/>
      <c r="CY36" s="768"/>
      <c r="CZ36" s="768"/>
      <c r="DA36" s="848"/>
      <c r="DC36" s="768"/>
      <c r="DE36" s="768"/>
      <c r="DG36" s="848" t="str">
        <f t="shared" si="6"/>
        <v>Alternate Rate</v>
      </c>
      <c r="DH36" s="117"/>
      <c r="DI36" s="117"/>
      <c r="DK36" s="768"/>
      <c r="DL36" s="768"/>
      <c r="DM36" s="768"/>
    </row>
    <row r="37" spans="1:153" s="520" customFormat="1" ht="16.149999999999999" customHeight="1">
      <c r="B37" s="789" t="s">
        <v>1597</v>
      </c>
      <c r="C37" s="768"/>
      <c r="E37" s="768"/>
      <c r="F37" s="768"/>
      <c r="G37" s="768"/>
      <c r="H37" s="848" t="str">
        <f t="shared" si="4"/>
        <v>Unit:</v>
      </c>
      <c r="I37" s="850" t="str">
        <f>VLOOKUP(I34,TOV!$C$207:$G$213,TOV_unit_ref,FALSE)</f>
        <v>m2</v>
      </c>
      <c r="L37" s="768"/>
      <c r="M37" s="768"/>
      <c r="N37" s="768"/>
      <c r="O37" s="768"/>
      <c r="P37" s="768"/>
      <c r="Q37" s="768"/>
      <c r="R37" s="768"/>
      <c r="S37" s="768"/>
      <c r="T37" s="768"/>
      <c r="U37" s="768"/>
      <c r="W37" s="848" t="str">
        <f t="shared" si="3"/>
        <v>Unit:</v>
      </c>
      <c r="X37" s="850" t="s">
        <v>1598</v>
      </c>
      <c r="Y37" s="768"/>
      <c r="Z37" s="768"/>
      <c r="AA37" s="768"/>
      <c r="AB37" s="23" t="str">
        <f>VLOOKUP(AB$34,TOV!$C$509:$G$515,TOV_unit_ref,FALSE)</f>
        <v>item</v>
      </c>
      <c r="AC37" s="768"/>
      <c r="AD37" s="23" t="str">
        <f>VLOOKUP(AD$34,TOV!$C$509:$G$515,TOV_unit_ref,FALSE)</f>
        <v>m</v>
      </c>
      <c r="AF37" s="23" t="str">
        <f>VLOOKUP(AF$34,TOV!$C$509:$G$515,TOV_unit_ref,FALSE)</f>
        <v>m</v>
      </c>
      <c r="AG37" s="768"/>
      <c r="AH37" s="23" t="s">
        <v>146</v>
      </c>
      <c r="AI37" s="768"/>
      <c r="AJ37" s="23" t="s">
        <v>146</v>
      </c>
      <c r="AK37" s="768"/>
      <c r="AL37" s="23" t="s">
        <v>146</v>
      </c>
      <c r="AM37" s="768"/>
      <c r="AN37" s="848" t="str">
        <f t="shared" si="5"/>
        <v>Unit:</v>
      </c>
      <c r="AO37" s="1224" t="str">
        <f>VLOOKUP(AO$34,TOV!$C$196:$G$198,5,FALSE)</f>
        <v>m</v>
      </c>
      <c r="AP37" s="768"/>
      <c r="AQ37" s="1224" t="str">
        <f>VLOOKUP(AQ$34,TOV!$C$196:$G$198,5,FALSE)</f>
        <v>Item</v>
      </c>
      <c r="AR37" s="768"/>
      <c r="AS37" s="1224" t="str">
        <f>VLOOKUP(AS$34,TOV!$C$196:$G$198,5,FALSE)</f>
        <v>m2</v>
      </c>
      <c r="AT37" s="768"/>
      <c r="AU37" s="768"/>
      <c r="AV37" s="1224" t="str">
        <f>VLOOKUP(AV$34,TOV!$C$85:$G$217,5,FALSE)</f>
        <v>m2</v>
      </c>
      <c r="AW37" s="768"/>
      <c r="AX37" s="1224" t="str">
        <f>VLOOKUP(AX$34,TOV!$C$85:$G$217,5,FALSE)</f>
        <v>m2</v>
      </c>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G37" s="768"/>
      <c r="CH37" s="768"/>
      <c r="CI37" s="768"/>
      <c r="CJ37" s="768"/>
      <c r="CK37" s="768"/>
      <c r="CL37" s="768"/>
      <c r="CM37" s="768"/>
      <c r="CN37" s="768"/>
      <c r="CO37" s="768"/>
      <c r="CP37" s="768"/>
      <c r="CQ37" s="768"/>
      <c r="CR37" s="768"/>
      <c r="CS37" s="768"/>
      <c r="CT37" s="768"/>
      <c r="CU37" s="768"/>
      <c r="CV37" s="768"/>
      <c r="CX37" s="768"/>
      <c r="CY37" s="768"/>
      <c r="CZ37" s="768"/>
      <c r="DA37" s="848"/>
      <c r="DB37" s="768"/>
      <c r="DC37" s="768"/>
      <c r="DE37" s="768"/>
      <c r="DG37" s="848" t="str">
        <f t="shared" si="6"/>
        <v>Unit:</v>
      </c>
      <c r="DH37" s="850" t="s">
        <v>1598</v>
      </c>
      <c r="DI37" s="850" t="s">
        <v>1598</v>
      </c>
      <c r="DJ37" s="434"/>
      <c r="DK37" s="768"/>
      <c r="DL37" s="768"/>
      <c r="DM37" s="768"/>
      <c r="DN37" s="475"/>
      <c r="DO37" s="475"/>
      <c r="DP37" s="768"/>
      <c r="DQ37" s="768"/>
      <c r="DR37" s="434"/>
      <c r="DS37" s="434"/>
      <c r="DT37" s="768"/>
      <c r="DU37" s="768"/>
      <c r="DV37" s="768"/>
      <c r="DW37" s="768"/>
    </row>
    <row r="38" spans="1:153" s="520" customFormat="1" ht="16.149999999999999" customHeight="1">
      <c r="B38" s="789" t="s">
        <v>1599</v>
      </c>
      <c r="C38" s="768"/>
      <c r="D38" s="785" t="s">
        <v>2343</v>
      </c>
      <c r="E38" s="768"/>
      <c r="F38" s="768"/>
      <c r="G38" s="768"/>
      <c r="H38" s="848" t="str">
        <f t="shared" si="4"/>
        <v>Default:</v>
      </c>
      <c r="I38" s="853"/>
      <c r="J38" s="828">
        <v>0.5</v>
      </c>
      <c r="L38" s="768"/>
      <c r="M38" s="768"/>
      <c r="N38" s="848" t="str">
        <f t="shared" ref="N38" si="7">$B38</f>
        <v>Default:</v>
      </c>
      <c r="O38" s="828">
        <v>0.5</v>
      </c>
      <c r="Q38" s="848" t="str">
        <f>$B38</f>
        <v>Default:</v>
      </c>
      <c r="R38" s="828">
        <v>0.5</v>
      </c>
      <c r="S38" s="768"/>
      <c r="T38" s="352" t="str">
        <f>Subrates_Table_1</f>
        <v>Subrates Table 1</v>
      </c>
      <c r="U38" s="768"/>
      <c r="V38" s="768"/>
      <c r="W38" s="848" t="str">
        <f t="shared" si="3"/>
        <v>Default:</v>
      </c>
      <c r="X38" s="853"/>
      <c r="Y38" s="828">
        <v>0.5</v>
      </c>
      <c r="Z38" s="768"/>
      <c r="AA38" s="768"/>
      <c r="AB38" s="23"/>
      <c r="AC38" s="768"/>
      <c r="AD38" s="23"/>
      <c r="AE38" s="768"/>
      <c r="AF38" s="23"/>
      <c r="AG38" s="768"/>
      <c r="AH38" s="23"/>
      <c r="AI38" s="768"/>
      <c r="AK38" s="768"/>
      <c r="AM38" s="768"/>
      <c r="AN38" s="848" t="str">
        <f t="shared" si="5"/>
        <v>Default:</v>
      </c>
      <c r="AO38" s="1224"/>
      <c r="AP38" s="768"/>
      <c r="AQ38" s="1224"/>
      <c r="AR38" s="768"/>
      <c r="AS38" s="1224"/>
      <c r="AT38" s="768"/>
      <c r="AU38" s="768"/>
      <c r="AV38" s="1224"/>
      <c r="AW38" s="768"/>
      <c r="AX38" s="1224"/>
      <c r="AY38" s="768"/>
      <c r="AZ38" s="768"/>
      <c r="BA38" s="768"/>
      <c r="BB38" s="768"/>
      <c r="BC38" s="768"/>
      <c r="BD38" s="768"/>
      <c r="BE38" s="768"/>
      <c r="BF38" s="768"/>
      <c r="BG38" s="768"/>
      <c r="BH38" s="768"/>
      <c r="BI38" s="768"/>
      <c r="BJ38" s="768"/>
      <c r="BK38" s="768"/>
      <c r="BL38" s="768"/>
      <c r="BM38" s="768"/>
      <c r="BN38" s="768"/>
      <c r="BO38" s="768"/>
      <c r="BP38" s="768"/>
      <c r="BQ38" s="768"/>
      <c r="BR38" s="768"/>
      <c r="BS38" s="768"/>
      <c r="BT38" s="768"/>
      <c r="BU38" s="768"/>
      <c r="BV38" s="768"/>
      <c r="BW38" s="768"/>
      <c r="BX38" s="768"/>
      <c r="BY38" s="768"/>
      <c r="BZ38" s="824">
        <v>150</v>
      </c>
      <c r="CA38" s="736" t="s">
        <v>1543</v>
      </c>
      <c r="CB38" s="768"/>
      <c r="CC38" s="768"/>
      <c r="CE38" s="768"/>
      <c r="CF38" s="768"/>
      <c r="CG38" s="768"/>
      <c r="CH38" s="768"/>
      <c r="CI38" s="768"/>
      <c r="CJ38" s="768"/>
      <c r="CK38" s="768"/>
      <c r="CL38" s="768"/>
      <c r="CM38" s="768"/>
      <c r="CN38" s="768"/>
      <c r="CO38" s="768"/>
      <c r="CP38" s="768"/>
      <c r="CQ38" s="768"/>
      <c r="CR38" s="768"/>
      <c r="CS38" s="768"/>
      <c r="CT38" s="768"/>
      <c r="CU38" s="768"/>
      <c r="CV38" s="768"/>
      <c r="CX38" s="768"/>
      <c r="CY38" s="768"/>
      <c r="CZ38" s="768"/>
      <c r="DA38" s="848"/>
      <c r="DB38" s="768"/>
      <c r="DC38" s="768"/>
      <c r="DE38" s="768"/>
      <c r="DG38" s="848" t="str">
        <f t="shared" si="6"/>
        <v>Default:</v>
      </c>
      <c r="DH38" s="853"/>
      <c r="DI38" s="853"/>
      <c r="DJ38" s="434"/>
      <c r="DK38" s="768"/>
      <c r="DL38" s="768"/>
      <c r="DM38" s="768"/>
      <c r="DN38" s="475"/>
      <c r="DO38" s="475"/>
      <c r="DP38" s="768"/>
      <c r="DQ38" s="768"/>
      <c r="DR38" s="434"/>
      <c r="DS38" s="434"/>
      <c r="DT38" s="768"/>
      <c r="DU38" s="768"/>
      <c r="DV38" s="768"/>
      <c r="DW38" s="768"/>
    </row>
    <row r="39" spans="1:153" s="520" customFormat="1" ht="18" customHeight="1">
      <c r="B39" s="286" t="s">
        <v>26</v>
      </c>
      <c r="C39" s="991" t="s">
        <v>2344</v>
      </c>
      <c r="D39" s="1225"/>
      <c r="E39" s="855" t="s">
        <v>1784</v>
      </c>
      <c r="F39" s="859"/>
      <c r="G39" s="855" t="s">
        <v>2345</v>
      </c>
      <c r="H39" s="1226"/>
      <c r="I39" s="1226"/>
      <c r="J39" s="1226"/>
      <c r="K39" s="1226"/>
      <c r="L39" s="1226"/>
      <c r="M39" s="1226"/>
      <c r="N39" s="1226"/>
      <c r="O39" s="1226"/>
      <c r="P39" s="1226"/>
      <c r="Q39" s="1226"/>
      <c r="R39" s="1226"/>
      <c r="S39" s="1226"/>
      <c r="T39" s="1226"/>
      <c r="U39" s="858"/>
      <c r="V39" s="859"/>
      <c r="W39" s="855" t="s">
        <v>2346</v>
      </c>
      <c r="X39" s="1226"/>
      <c r="Y39" s="856"/>
      <c r="Z39" s="856"/>
      <c r="AA39" s="855" t="s">
        <v>2347</v>
      </c>
      <c r="AB39" s="1078"/>
      <c r="AC39" s="855" t="s">
        <v>2348</v>
      </c>
      <c r="AD39" s="858"/>
      <c r="AE39" s="1078"/>
      <c r="AF39" s="858"/>
      <c r="AG39" s="1078"/>
      <c r="AH39" s="858"/>
      <c r="AI39" s="1078"/>
      <c r="AJ39" s="858"/>
      <c r="AK39" s="1226"/>
      <c r="AL39" s="858"/>
      <c r="AM39" s="859"/>
      <c r="AN39" s="855" t="s">
        <v>2349</v>
      </c>
      <c r="AO39" s="858"/>
      <c r="AP39" s="1226"/>
      <c r="AQ39" s="858"/>
      <c r="AR39" s="1226"/>
      <c r="AS39" s="858"/>
      <c r="AT39" s="859"/>
      <c r="AU39" s="855" t="s">
        <v>2350</v>
      </c>
      <c r="AV39" s="858"/>
      <c r="AW39" s="856"/>
      <c r="AX39" s="858"/>
      <c r="AY39" s="856"/>
      <c r="AZ39" s="856"/>
      <c r="BA39" s="858"/>
      <c r="BB39" s="858"/>
      <c r="BC39" s="859"/>
      <c r="BD39" s="856"/>
      <c r="BE39" s="856"/>
      <c r="BF39" s="858"/>
      <c r="BG39" s="858"/>
      <c r="BH39" s="859"/>
      <c r="BI39" s="855" t="s">
        <v>2351</v>
      </c>
      <c r="BJ39" s="858"/>
      <c r="BK39" s="858"/>
      <c r="BL39" s="858"/>
      <c r="BM39" s="859"/>
      <c r="BN39" s="855" t="s">
        <v>2352</v>
      </c>
      <c r="BO39" s="858"/>
      <c r="BP39" s="858"/>
      <c r="BQ39" s="858"/>
      <c r="BR39" s="859"/>
      <c r="BS39" s="855" t="s">
        <v>2353</v>
      </c>
      <c r="BT39" s="858"/>
      <c r="BU39" s="858"/>
      <c r="BV39" s="858"/>
      <c r="BW39" s="859"/>
      <c r="BX39" s="855" t="s">
        <v>2354</v>
      </c>
      <c r="BY39" s="859"/>
      <c r="BZ39" s="859"/>
      <c r="CA39" s="859"/>
      <c r="CB39" s="859"/>
      <c r="CC39" s="859"/>
      <c r="CD39" s="859"/>
      <c r="CE39" s="859"/>
      <c r="CF39" s="859"/>
      <c r="CG39" s="858"/>
      <c r="CH39" s="858"/>
      <c r="CI39" s="858"/>
      <c r="CJ39" s="858"/>
      <c r="CK39" s="858"/>
      <c r="CL39" s="858"/>
      <c r="CM39" s="859"/>
      <c r="CN39" s="859"/>
      <c r="CO39" s="859"/>
      <c r="CP39" s="858"/>
      <c r="CQ39" s="858"/>
      <c r="CR39" s="859"/>
      <c r="CS39" s="859"/>
      <c r="CT39" s="859"/>
      <c r="CU39" s="858"/>
      <c r="CV39" s="858"/>
      <c r="CW39" s="859"/>
      <c r="CX39" s="859"/>
      <c r="CY39" s="859"/>
      <c r="CZ39" s="858"/>
      <c r="DA39" s="858"/>
      <c r="DB39" s="910"/>
      <c r="DC39" s="859"/>
      <c r="DD39" s="859"/>
      <c r="DE39" s="859"/>
      <c r="DF39" s="859"/>
      <c r="DG39" s="859"/>
      <c r="DH39" s="858"/>
      <c r="DI39" s="858"/>
      <c r="DJ39" s="910"/>
      <c r="DK39" s="1226" t="s">
        <v>2355</v>
      </c>
      <c r="DL39" s="856"/>
      <c r="DM39" s="857"/>
    </row>
    <row r="40" spans="1:153" s="520" customFormat="1" ht="48">
      <c r="A40" s="748"/>
      <c r="B40" s="774" t="s">
        <v>1517</v>
      </c>
      <c r="C40" s="773" t="s">
        <v>27</v>
      </c>
      <c r="D40" s="774" t="s">
        <v>1583</v>
      </c>
      <c r="E40" s="774" t="s">
        <v>2356</v>
      </c>
      <c r="F40" s="774" t="s">
        <v>2357</v>
      </c>
      <c r="G40" s="774" t="s">
        <v>2358</v>
      </c>
      <c r="H40" s="774" t="s">
        <v>2359</v>
      </c>
      <c r="I40" s="773" t="s">
        <v>2360</v>
      </c>
      <c r="J40" s="774" t="s">
        <v>2361</v>
      </c>
      <c r="K40" s="774" t="s">
        <v>2362</v>
      </c>
      <c r="L40" s="774" t="s">
        <v>2363</v>
      </c>
      <c r="M40" s="773" t="s">
        <v>2364</v>
      </c>
      <c r="N40" s="773" t="s">
        <v>2365</v>
      </c>
      <c r="O40" s="774" t="s">
        <v>2366</v>
      </c>
      <c r="P40" s="774" t="s">
        <v>2367</v>
      </c>
      <c r="Q40" s="774" t="s">
        <v>2368</v>
      </c>
      <c r="R40" s="774" t="s">
        <v>2369</v>
      </c>
      <c r="S40" s="774" t="s">
        <v>2370</v>
      </c>
      <c r="T40" s="812" t="s">
        <v>2371</v>
      </c>
      <c r="U40" s="774" t="s">
        <v>2372</v>
      </c>
      <c r="V40" s="773" t="s">
        <v>2373</v>
      </c>
      <c r="W40" s="774" t="s">
        <v>2374</v>
      </c>
      <c r="X40" s="773" t="s">
        <v>2375</v>
      </c>
      <c r="Y40" s="774" t="s">
        <v>2376</v>
      </c>
      <c r="Z40" s="774" t="s">
        <v>2377</v>
      </c>
      <c r="AA40" s="774" t="s">
        <v>254</v>
      </c>
      <c r="AB40" s="774" t="s">
        <v>2378</v>
      </c>
      <c r="AC40" s="774" t="s">
        <v>2379</v>
      </c>
      <c r="AD40" s="774" t="s">
        <v>2379</v>
      </c>
      <c r="AE40" s="773" t="s">
        <v>2380</v>
      </c>
      <c r="AF40" s="774" t="str">
        <f>AE40</f>
        <v>Land Conveyors</v>
      </c>
      <c r="AG40" s="773" t="s">
        <v>2381</v>
      </c>
      <c r="AH40" s="774" t="str">
        <f>AG40</f>
        <v>Wharf Shiploaders</v>
      </c>
      <c r="AI40" s="773" t="s">
        <v>2382</v>
      </c>
      <c r="AJ40" s="774" t="str">
        <f>AI40</f>
        <v>Jetty Shiploaders</v>
      </c>
      <c r="AK40" s="773" t="s">
        <v>2383</v>
      </c>
      <c r="AL40" s="774" t="str">
        <f>AK40</f>
        <v>Stockpile Loaders</v>
      </c>
      <c r="AM40" s="773" t="s">
        <v>2384</v>
      </c>
      <c r="AN40" s="773" t="str">
        <f>TOV!$E196</f>
        <v>Remove rail loop and spur, ballast etc.</v>
      </c>
      <c r="AO40" s="774" t="str">
        <f>VLOOKUP(AO$34,TOV!$C$196:$G$198,3,FALSE)</f>
        <v>Remove rail loop and spur, ballast etc.</v>
      </c>
      <c r="AP40" s="773" t="str">
        <f>TOV!$E197</f>
        <v>Collapse, cut and remove rail loading bins</v>
      </c>
      <c r="AQ40" s="774" t="str">
        <f>VLOOKUP(AQ$34,TOV!$C$196:$G$198,3,FALSE)</f>
        <v>Collapse, cut and remove rail loading bins</v>
      </c>
      <c r="AR40" s="773" t="str">
        <f>TOV!$E198</f>
        <v>Remove train loading facilities</v>
      </c>
      <c r="AS40" s="774" t="str">
        <f>VLOOKUP(AS$34,TOV!$C$196:$G$198,3,FALSE)</f>
        <v>Remove train loading facilities</v>
      </c>
      <c r="AT40" s="773" t="s">
        <v>2385</v>
      </c>
      <c r="AU40" s="773" t="str">
        <f>TOV!E194</f>
        <v>Substation</v>
      </c>
      <c r="AV40" s="774" t="str">
        <f>VLOOKUP(AV$34,TOV!$C$85:$G$217,3,FALSE)</f>
        <v>Substation</v>
      </c>
      <c r="AW40" s="773" t="str">
        <f>TOV!E195</f>
        <v>Switchyard</v>
      </c>
      <c r="AX40" s="821" t="str">
        <f>VLOOKUP(AX$34,TOV!$C$85:$G$217,3,FALSE)</f>
        <v>Switchyard</v>
      </c>
      <c r="AY40" s="773" t="s">
        <v>137</v>
      </c>
      <c r="AZ40" s="823" t="s">
        <v>77</v>
      </c>
      <c r="BA40" s="774" t="s">
        <v>2386</v>
      </c>
      <c r="BB40" s="774" t="s">
        <v>2387</v>
      </c>
      <c r="BC40" s="812" t="s">
        <v>2388</v>
      </c>
      <c r="BD40" s="773" t="s">
        <v>128</v>
      </c>
      <c r="BE40" s="823" t="s">
        <v>145</v>
      </c>
      <c r="BF40" s="774" t="str">
        <f>BD40</f>
        <v>Camp</v>
      </c>
      <c r="BG40" s="774" t="s">
        <v>2389</v>
      </c>
      <c r="BH40" s="773" t="s">
        <v>2390</v>
      </c>
      <c r="BI40" s="822" t="s">
        <v>111</v>
      </c>
      <c r="BJ40" s="774" t="s">
        <v>2391</v>
      </c>
      <c r="BK40" s="774" t="s">
        <v>2392</v>
      </c>
      <c r="BL40" s="774" t="s">
        <v>2393</v>
      </c>
      <c r="BM40" s="773" t="s">
        <v>2394</v>
      </c>
      <c r="BN40" s="822" t="s">
        <v>111</v>
      </c>
      <c r="BO40" s="774" t="s">
        <v>2395</v>
      </c>
      <c r="BP40" s="774" t="s">
        <v>2396</v>
      </c>
      <c r="BQ40" s="774" t="s">
        <v>2397</v>
      </c>
      <c r="BR40" s="773" t="s">
        <v>2398</v>
      </c>
      <c r="BS40" s="822" t="s">
        <v>111</v>
      </c>
      <c r="BT40" s="774" t="s">
        <v>2399</v>
      </c>
      <c r="BU40" s="774" t="s">
        <v>2400</v>
      </c>
      <c r="BV40" s="774" t="s">
        <v>2401</v>
      </c>
      <c r="BW40" s="773" t="s">
        <v>2402</v>
      </c>
      <c r="BX40" s="773" t="s">
        <v>2403</v>
      </c>
      <c r="BY40" s="773" t="s">
        <v>1696</v>
      </c>
      <c r="BZ40" s="773" t="s">
        <v>1623</v>
      </c>
      <c r="CA40" s="773" t="s">
        <v>1697</v>
      </c>
      <c r="CB40" s="773" t="s">
        <v>1625</v>
      </c>
      <c r="CC40" s="773" t="s">
        <v>1993</v>
      </c>
      <c r="CD40" s="773" t="s">
        <v>1994</v>
      </c>
      <c r="CE40" s="812" t="s">
        <v>1700</v>
      </c>
      <c r="CF40" s="823" t="s">
        <v>1701</v>
      </c>
      <c r="CG40" s="774" t="s">
        <v>2404</v>
      </c>
      <c r="CH40" s="774" t="s">
        <v>1995</v>
      </c>
      <c r="CI40" s="774" t="s">
        <v>1996</v>
      </c>
      <c r="CJ40" s="774" t="s">
        <v>2405</v>
      </c>
      <c r="CK40" s="774" t="s">
        <v>2044</v>
      </c>
      <c r="CL40" s="774" t="s">
        <v>2406</v>
      </c>
      <c r="CM40" s="773" t="s">
        <v>1999</v>
      </c>
      <c r="CN40" s="812" t="s">
        <v>2407</v>
      </c>
      <c r="CO40" s="774" t="s">
        <v>2002</v>
      </c>
      <c r="CP40" s="774" t="s">
        <v>2002</v>
      </c>
      <c r="CQ40" s="774" t="s">
        <v>2003</v>
      </c>
      <c r="CR40" s="773" t="s">
        <v>2004</v>
      </c>
      <c r="CS40" s="812" t="s">
        <v>2408</v>
      </c>
      <c r="CT40" s="774" t="s">
        <v>2006</v>
      </c>
      <c r="CU40" s="774" t="s">
        <v>2006</v>
      </c>
      <c r="CV40" s="774" t="s">
        <v>2007</v>
      </c>
      <c r="CW40" s="773" t="s">
        <v>2008</v>
      </c>
      <c r="CX40" s="812" t="s">
        <v>2409</v>
      </c>
      <c r="CY40" s="774" t="s">
        <v>2010</v>
      </c>
      <c r="CZ40" s="774" t="s">
        <v>2010</v>
      </c>
      <c r="DA40" s="774" t="s">
        <v>2011</v>
      </c>
      <c r="DB40" s="773" t="s">
        <v>2410</v>
      </c>
      <c r="DC40" s="773" t="s">
        <v>1626</v>
      </c>
      <c r="DD40" s="773" t="s">
        <v>1627</v>
      </c>
      <c r="DE40" s="773" t="s">
        <v>1628</v>
      </c>
      <c r="DF40" s="773" t="s">
        <v>1629</v>
      </c>
      <c r="DG40" s="773" t="s">
        <v>1630</v>
      </c>
      <c r="DH40" s="774" t="s">
        <v>2013</v>
      </c>
      <c r="DI40" s="774" t="s">
        <v>2014</v>
      </c>
      <c r="DJ40" s="773" t="s">
        <v>79</v>
      </c>
      <c r="DK40" s="1056" t="s">
        <v>2411</v>
      </c>
      <c r="DL40" s="1056" t="s">
        <v>2411</v>
      </c>
      <c r="DM40" s="1056" t="s">
        <v>2411</v>
      </c>
      <c r="DN40" s="775" t="s">
        <v>1587</v>
      </c>
      <c r="DO40" s="773" t="s">
        <v>2412</v>
      </c>
      <c r="DP40" s="775" t="s">
        <v>35</v>
      </c>
      <c r="DQ40" s="745" t="s">
        <v>1645</v>
      </c>
    </row>
    <row r="41" spans="1:153" s="520" customFormat="1" ht="18" customHeight="1">
      <c r="A41" s="748"/>
      <c r="B41" s="64"/>
      <c r="C41" s="64"/>
      <c r="D41" s="64"/>
      <c r="E41" s="64" t="s">
        <v>95</v>
      </c>
      <c r="F41" s="64" t="s">
        <v>2413</v>
      </c>
      <c r="G41" s="64" t="s">
        <v>95</v>
      </c>
      <c r="H41" s="64" t="s">
        <v>36</v>
      </c>
      <c r="I41" s="64" t="s">
        <v>76</v>
      </c>
      <c r="J41" s="64" t="s">
        <v>11</v>
      </c>
      <c r="K41" s="64" t="s">
        <v>15</v>
      </c>
      <c r="L41" s="64" t="s">
        <v>36</v>
      </c>
      <c r="M41" s="64" t="s">
        <v>30</v>
      </c>
      <c r="N41" s="23"/>
      <c r="O41" s="64" t="s">
        <v>11</v>
      </c>
      <c r="P41" s="64" t="s">
        <v>15</v>
      </c>
      <c r="Q41" s="64" t="s">
        <v>36</v>
      </c>
      <c r="R41" s="64" t="s">
        <v>11</v>
      </c>
      <c r="S41" s="64" t="s">
        <v>15</v>
      </c>
      <c r="T41" s="125" t="s">
        <v>2414</v>
      </c>
      <c r="U41" s="64" t="s">
        <v>29</v>
      </c>
      <c r="V41" s="23"/>
      <c r="W41" s="64" t="s">
        <v>36</v>
      </c>
      <c r="X41" s="64"/>
      <c r="Y41" s="64" t="s">
        <v>11</v>
      </c>
      <c r="Z41" s="64" t="s">
        <v>15</v>
      </c>
      <c r="AA41" s="186" t="s">
        <v>1563</v>
      </c>
      <c r="AB41" s="186"/>
      <c r="AC41" s="64" t="s">
        <v>11</v>
      </c>
      <c r="AE41" s="64" t="s">
        <v>11</v>
      </c>
      <c r="AG41" s="186" t="s">
        <v>1563</v>
      </c>
      <c r="AI41" s="186" t="s">
        <v>1563</v>
      </c>
      <c r="AJ41" s="23" t="s">
        <v>146</v>
      </c>
      <c r="AK41" s="186" t="s">
        <v>1563</v>
      </c>
      <c r="AL41" s="23" t="s">
        <v>146</v>
      </c>
      <c r="AM41" s="23"/>
      <c r="AN41" s="64" t="str">
        <f>TOV!$G196</f>
        <v>m</v>
      </c>
      <c r="AO41" s="23"/>
      <c r="AP41" s="64" t="str">
        <f>TOV!$G197</f>
        <v>Item</v>
      </c>
      <c r="AQ41" s="23"/>
      <c r="AR41" s="64" t="str">
        <f>TOV!$G198</f>
        <v>m2</v>
      </c>
      <c r="AS41" s="23"/>
      <c r="AT41" s="23"/>
      <c r="AU41" s="64" t="str">
        <f>TOV!G194</f>
        <v>m2</v>
      </c>
      <c r="AV41" s="23"/>
      <c r="AW41" s="64" t="str">
        <f>TOV!G195</f>
        <v>m2</v>
      </c>
      <c r="AX41" s="23"/>
      <c r="AY41" s="163" t="s">
        <v>2414</v>
      </c>
      <c r="AZ41" s="64" t="s">
        <v>2415</v>
      </c>
      <c r="BA41" s="64" t="s">
        <v>2415</v>
      </c>
      <c r="BB41" s="23"/>
      <c r="BC41" s="23"/>
      <c r="BD41" s="163" t="s">
        <v>2414</v>
      </c>
      <c r="BE41" s="163" t="s">
        <v>1563</v>
      </c>
      <c r="BF41" s="23"/>
      <c r="BG41" s="23"/>
      <c r="BH41" s="23"/>
      <c r="BI41" s="125" t="s">
        <v>2414</v>
      </c>
      <c r="BJ41" s="23" t="s">
        <v>11</v>
      </c>
      <c r="BK41" s="23"/>
      <c r="BL41" s="23"/>
      <c r="BM41" s="23"/>
      <c r="BN41" s="125" t="s">
        <v>2414</v>
      </c>
      <c r="BO41" s="125" t="s">
        <v>1563</v>
      </c>
      <c r="BP41" s="23"/>
      <c r="BQ41" s="23"/>
      <c r="BR41" s="23"/>
      <c r="BS41" s="125" t="s">
        <v>2414</v>
      </c>
      <c r="BT41" s="125" t="s">
        <v>1563</v>
      </c>
      <c r="BU41" s="23"/>
      <c r="BV41" s="23"/>
      <c r="BW41" s="23"/>
      <c r="BX41" s="64"/>
      <c r="BY41" s="64"/>
      <c r="BZ41" s="64"/>
      <c r="CA41" s="64"/>
      <c r="CB41" s="64"/>
      <c r="CC41" s="125" t="s">
        <v>2414</v>
      </c>
      <c r="CD41" s="125" t="s">
        <v>2414</v>
      </c>
      <c r="CE41" s="125" t="s">
        <v>2414</v>
      </c>
      <c r="CF41" s="125" t="s">
        <v>2414</v>
      </c>
      <c r="CG41" s="349" t="str">
        <f>Subrates_Table_1</f>
        <v>Subrates Table 1</v>
      </c>
      <c r="CH41" s="212" t="str">
        <f>Subrates_Table_9</f>
        <v>Subrates Table 9</v>
      </c>
      <c r="CI41" s="212" t="str">
        <f>Subrates_Table_8</f>
        <v>Subrates Table 8</v>
      </c>
      <c r="CJ41" s="736"/>
      <c r="CK41" s="475"/>
      <c r="CL41" s="475"/>
      <c r="CM41" s="64"/>
      <c r="CN41" s="125" t="s">
        <v>2414</v>
      </c>
      <c r="CO41" s="772"/>
      <c r="CP41" s="475"/>
      <c r="CQ41" s="475"/>
      <c r="CR41" s="64"/>
      <c r="CS41" s="125" t="s">
        <v>2414</v>
      </c>
      <c r="CT41" s="772"/>
      <c r="CU41" s="278"/>
      <c r="CV41" s="475"/>
      <c r="CW41" s="277"/>
      <c r="CX41" s="125" t="s">
        <v>2414</v>
      </c>
      <c r="CY41" s="772"/>
      <c r="CZ41" s="278"/>
      <c r="DA41" s="475"/>
      <c r="DB41" s="23"/>
      <c r="DC41" s="768"/>
      <c r="DG41" s="768"/>
      <c r="DH41" s="475"/>
      <c r="DI41" s="475"/>
      <c r="DJ41" s="23"/>
      <c r="DK41" s="64"/>
      <c r="DL41" s="64"/>
      <c r="DM41" s="64"/>
      <c r="DN41" s="474"/>
      <c r="DO41" s="474"/>
      <c r="DP41" s="474"/>
      <c r="DQ41" s="779"/>
    </row>
    <row r="42" spans="1:153" s="520" customFormat="1">
      <c r="A42" s="748"/>
      <c r="B42" s="310"/>
      <c r="C42" s="824">
        <v>1</v>
      </c>
      <c r="D42" s="350"/>
      <c r="E42" s="316"/>
      <c r="F42" s="318"/>
      <c r="G42" s="318"/>
      <c r="H42" s="316"/>
      <c r="I42" s="354">
        <f t="shared" ref="I42:I51" si="8">H42*IF($I$36="",$I$35,$I$36)</f>
        <v>0</v>
      </c>
      <c r="J42" s="130"/>
      <c r="K42" s="324">
        <f t="shared" ref="K42:K51" si="9">IF(J42="",$J$38,J42)*H42</f>
        <v>0</v>
      </c>
      <c r="L42" s="316"/>
      <c r="M42" s="63">
        <f>TOV!$F$207</f>
        <v>10</v>
      </c>
      <c r="N42" s="356">
        <f>L42*M42</f>
        <v>0</v>
      </c>
      <c r="O42" s="130"/>
      <c r="P42" s="324">
        <f t="shared" ref="P42:P51" si="10">IF(O42="",$O$38,O42)*L42</f>
        <v>0</v>
      </c>
      <c r="Q42" s="316"/>
      <c r="R42" s="130"/>
      <c r="S42" s="324">
        <f t="shared" ref="S42:S51" si="11">IF(R42="",$R$38,R42)*Q42</f>
        <v>0</v>
      </c>
      <c r="T42" s="37" t="s">
        <v>125</v>
      </c>
      <c r="U42" s="63">
        <f>VLOOKUP($T42,Subrates!$B$10:$C$20,Subrates!$C$5,FALSE)</f>
        <v>4.8064250364478198</v>
      </c>
      <c r="V42" s="356">
        <f t="shared" ref="V42:V51" si="12">S42*U42</f>
        <v>0</v>
      </c>
      <c r="W42" s="316"/>
      <c r="X42" s="356">
        <f t="shared" ref="X42:X51" si="13">W42*IF(X$36="",X$35,X$36)</f>
        <v>0</v>
      </c>
      <c r="Y42" s="130"/>
      <c r="Z42" s="324">
        <f t="shared" ref="Z42:Z51" si="14">W42*IF(Y42="",$Y$38,Y42)</f>
        <v>0</v>
      </c>
      <c r="AA42" s="42"/>
      <c r="AB42" s="353">
        <f t="shared" ref="AB42:AB51" si="15">AA42*IF(AB$36="",AB$35,AB$36)</f>
        <v>0</v>
      </c>
      <c r="AC42" s="316"/>
      <c r="AD42" s="353">
        <f t="shared" ref="AD42:AD51" si="16">AC42*IF(AD$36="",AD$35,AD$36)</f>
        <v>0</v>
      </c>
      <c r="AE42" s="316"/>
      <c r="AF42" s="353">
        <f t="shared" ref="AF42:AF51" si="17">AE42*IF(AF$36="",AF$35,AF$36)</f>
        <v>0</v>
      </c>
      <c r="AG42" s="1235"/>
      <c r="AH42" s="353">
        <f t="shared" ref="AH42:AH51" si="18">AG42*IF(AH$36="",AH$35,AH$36)</f>
        <v>0</v>
      </c>
      <c r="AI42" s="1235"/>
      <c r="AJ42" s="353">
        <f t="shared" ref="AJ42:AJ51" si="19">AI42*IF(AJ$36="",AJ$35,AJ$36)</f>
        <v>0</v>
      </c>
      <c r="AK42" s="1235"/>
      <c r="AL42" s="353">
        <f t="shared" ref="AL42:AL51" si="20">AK42*IF(AL$36="",AL$35,AL$36)</f>
        <v>0</v>
      </c>
      <c r="AM42" s="354">
        <f>AD42+AF42+AH42+AJ42+AL42</f>
        <v>0</v>
      </c>
      <c r="AN42" s="316"/>
      <c r="AO42" s="353">
        <f t="shared" ref="AO42:AO51" si="21">AN42*IF(AO$36="",AO$35,AO$36)</f>
        <v>0</v>
      </c>
      <c r="AP42" s="1235"/>
      <c r="AQ42" s="353">
        <f t="shared" ref="AQ42:AQ51" si="22">AP42*IF(AQ$36="",AQ$35,AQ$36)</f>
        <v>0</v>
      </c>
      <c r="AR42" s="316"/>
      <c r="AS42" s="353">
        <f t="shared" ref="AS42:AS51" si="23">AR42*IF(AS$36="",AS$35,AS$36)</f>
        <v>0</v>
      </c>
      <c r="AT42" s="354">
        <f>AO42+AQ42+AS42</f>
        <v>0</v>
      </c>
      <c r="AU42" s="316"/>
      <c r="AV42" s="353">
        <f t="shared" ref="AV42:AV51" si="24">AU42*IF(AV$36="",AV$35,AV$36)</f>
        <v>0</v>
      </c>
      <c r="AW42" s="316"/>
      <c r="AX42" s="355">
        <f t="shared" ref="AX42:AX51" si="25">AW42*IF(AX$36="",AX$35,AX$36)</f>
        <v>0</v>
      </c>
      <c r="AY42" s="1236" t="s">
        <v>141</v>
      </c>
      <c r="AZ42" s="316"/>
      <c r="BA42" s="63">
        <f>VLOOKUP(AY42,TOV!$E$150:$G$155,TOV_Rate_Ref-2,FALSE)</f>
        <v>2190.2566697935945</v>
      </c>
      <c r="BB42" s="27"/>
      <c r="BC42" s="357">
        <f t="shared" ref="BC42:BC51" si="26">AZ42*IF(BB42="",BA42,BB42)+AV42+AX42</f>
        <v>0</v>
      </c>
      <c r="BD42" s="1236" t="s">
        <v>2416</v>
      </c>
      <c r="BE42" s="1235"/>
      <c r="BF42" s="63">
        <f>VLOOKUP(BD42,TOV!$E$156:$F$185,2,FALSE)</f>
        <v>65859.181813206218</v>
      </c>
      <c r="BG42" s="27"/>
      <c r="BH42" s="356">
        <f>BE42*IF(BG42="",BF42,BG42)</f>
        <v>0</v>
      </c>
      <c r="BI42" s="1237" t="s">
        <v>1867</v>
      </c>
      <c r="BJ42" s="316"/>
      <c r="BK42" s="63">
        <f>VLOOKUP(BI42,TOV!$E$142:$F$149,2,FALSE)</f>
        <v>13.095941979156329</v>
      </c>
      <c r="BL42" s="27"/>
      <c r="BM42" s="356">
        <f>BJ42*IF(BL42="",BK42,BL42)</f>
        <v>0</v>
      </c>
      <c r="BN42" s="1237" t="s">
        <v>1873</v>
      </c>
      <c r="BO42" s="74"/>
      <c r="BP42" s="63">
        <f t="shared" ref="BP42:BP51" si="27">VLOOKUP(BN42,Tank_values_TOV,TOV_Rate_Ref-2,FALSE)</f>
        <v>3616.5085494319578</v>
      </c>
      <c r="BQ42" s="27"/>
      <c r="BR42" s="356">
        <f>BO42*IF(BQ42="",BP42,BQ42)</f>
        <v>0</v>
      </c>
      <c r="BS42" s="1237" t="s">
        <v>2417</v>
      </c>
      <c r="BT42" s="74"/>
      <c r="BU42" s="63">
        <f t="shared" ref="BU42:BU51" si="28">VLOOKUP(BS42,Dam_values_TOV,TOV_Rate_Ref-2,FALSE)</f>
        <v>7677.2044859809457</v>
      </c>
      <c r="BV42" s="27"/>
      <c r="BW42" s="356">
        <f>BT42*IF(BV42="",BU42,BV42)</f>
        <v>0</v>
      </c>
      <c r="BX42" s="316">
        <f t="shared" ref="BX42:BX51" si="29">E42</f>
        <v>0</v>
      </c>
      <c r="BY42" s="316">
        <f t="shared" ref="BY42:BY51" si="30">E42</f>
        <v>0</v>
      </c>
      <c r="BZ42" s="74"/>
      <c r="CA42" s="316"/>
      <c r="CB42" s="324">
        <f t="shared" ref="CB42:CB51" si="31">IF(CA42&gt;0,CA42,BY42*10000*IF(BZ42&gt;0,BZ42,$BZ$38)/1000)</f>
        <v>0</v>
      </c>
      <c r="CC42" s="100" t="s">
        <v>2026</v>
      </c>
      <c r="CD42" s="30" t="s">
        <v>485</v>
      </c>
      <c r="CE42" s="75" t="s">
        <v>351</v>
      </c>
      <c r="CF42" s="48" t="s">
        <v>348</v>
      </c>
      <c r="CG42" s="63">
        <f t="shared" ref="CG42:CG51" si="32">INDEX(Load_and_Haul_Values,MATCH(CE42,Load_and_Haul,0),MATCH(CF42,Load_Haul_Fleet_size,0))</f>
        <v>3.0953055046989575</v>
      </c>
      <c r="CH42" s="63">
        <f>VLOOKUP(CD42,Subrates!$B$128:$C$145,Subrates!$C$5,FALSE)</f>
        <v>6.9594322272236026E-2</v>
      </c>
      <c r="CI42" s="63">
        <f>Subrates!$D$122</f>
        <v>10</v>
      </c>
      <c r="CJ42" s="63">
        <f>CI42+CH42*VLOOKUP(CD42,Long_distance_values_subs,Subrates!$H$5,FALSE)</f>
        <v>13.827687724972982</v>
      </c>
      <c r="CK42" s="1240"/>
      <c r="CL42" s="356">
        <f>CB42*IF(CK42="",IF(CC42=Local,CG42,CJ42),CK42)</f>
        <v>0</v>
      </c>
      <c r="CM42" s="316"/>
      <c r="CN42" s="195" t="s">
        <v>48</v>
      </c>
      <c r="CO42" s="1096" t="str">
        <f>IF(CN42=Lists!$B$18,"N/A",VLOOKUP(CN42,Lists!$B$18:$D$26,Lists!$C$3,FALSE))</f>
        <v>N/A</v>
      </c>
      <c r="CP42" s="63">
        <f>IF(CN42=Lists!$B$18,0,VLOOKUP(CO42,Amend_TOV,TOV!$F$1,FALSE))</f>
        <v>0</v>
      </c>
      <c r="CQ42" s="27"/>
      <c r="CR42" s="316"/>
      <c r="CS42" s="195" t="s">
        <v>48</v>
      </c>
      <c r="CT42" s="1096" t="str">
        <f>IF(CS42=Lists!$B$18,"N/A",VLOOKUP(CS42,Lists!$B$18:$D$26,Lists!$C$3,FALSE))</f>
        <v>N/A</v>
      </c>
      <c r="CU42" s="63">
        <f>IF(CS42=Lists!$B$18,0,VLOOKUP(CT42,Amend_TOV,TOV!$F$1,FALSE))</f>
        <v>0</v>
      </c>
      <c r="CV42" s="27"/>
      <c r="CW42" s="316"/>
      <c r="CX42" s="195" t="s">
        <v>48</v>
      </c>
      <c r="CY42" s="1096" t="str">
        <f>IF(CX42=Lists!$B$18,"N/A",VLOOKUP(CX42,Lists!$B$18:$D$26,Lists!$C$3,FALSE))</f>
        <v>N/A</v>
      </c>
      <c r="CZ42" s="63">
        <f>IF(CX42=Lists!$B$18,0,VLOOKUP(CY42,Amend_TOV,TOV!$F$1,FALSE))</f>
        <v>0</v>
      </c>
      <c r="DA42" s="27"/>
      <c r="DB42" s="356">
        <f t="shared" ref="DB42:DB51" si="33">CM42*IF(CQ42="",CP42,CQ42)+CR42*IF(CV42="",CU42,CV42)+CW42*IF(DA42="",CZ42,DA42)</f>
        <v>0</v>
      </c>
      <c r="DC42" s="316">
        <f t="shared" ref="DC42:DC51" si="34">E42</f>
        <v>0</v>
      </c>
      <c r="DD42" s="66">
        <v>1</v>
      </c>
      <c r="DE42" s="66">
        <v>0</v>
      </c>
      <c r="DF42" s="67">
        <f t="shared" ref="DF42:DF51" si="35">100%-DE42-DD42</f>
        <v>0</v>
      </c>
      <c r="DG42" s="16" t="str">
        <f>IF(DF42&lt;0%,"Error","No Alert")</f>
        <v>No Alert</v>
      </c>
      <c r="DH42" s="358">
        <f t="shared" ref="DH42:DH51" si="36">$DC42*DD42*IF(DH$36&lt;&gt;"",DH$36,DH$35)</f>
        <v>0</v>
      </c>
      <c r="DI42" s="358">
        <f t="shared" ref="DI42:DI51" si="37">$DC42*DE42*IF(DI$36&lt;&gt;"",DI$36,DI$35)</f>
        <v>0</v>
      </c>
      <c r="DJ42" s="356">
        <f t="shared" ref="DJ42:DJ51" si="38">SUM(DH42:DI42)</f>
        <v>0</v>
      </c>
      <c r="DK42" s="1238"/>
      <c r="DL42" s="1238"/>
      <c r="DM42" s="1238"/>
      <c r="DN42" s="1227">
        <f t="shared" ref="DN42:DN51" si="39">SUM(I42,N42,V42,X42,AB42,AM42,AT42,BC42,BH42,BM42,BR42,BW42,CL42,DB42,DJ42,DK42,DL42,DM42)</f>
        <v>0</v>
      </c>
      <c r="DO42" s="291"/>
      <c r="DP42" s="116">
        <f>IF(DO42="",DN42,DO42)</f>
        <v>0</v>
      </c>
      <c r="DQ42" s="216"/>
      <c r="DX42" s="874"/>
    </row>
    <row r="43" spans="1:153" s="520" customFormat="1">
      <c r="B43" s="310"/>
      <c r="C43" s="824">
        <f>C42+1</f>
        <v>2</v>
      </c>
      <c r="D43" s="350"/>
      <c r="E43" s="316"/>
      <c r="F43" s="318"/>
      <c r="G43" s="318"/>
      <c r="H43" s="316"/>
      <c r="I43" s="354">
        <f t="shared" si="8"/>
        <v>0</v>
      </c>
      <c r="J43" s="130"/>
      <c r="K43" s="324">
        <f t="shared" si="9"/>
        <v>0</v>
      </c>
      <c r="L43" s="316"/>
      <c r="M43" s="63">
        <f>TOV!$F$207</f>
        <v>10</v>
      </c>
      <c r="N43" s="356">
        <f>L43*M43</f>
        <v>0</v>
      </c>
      <c r="O43" s="130"/>
      <c r="P43" s="324">
        <f t="shared" si="10"/>
        <v>0</v>
      </c>
      <c r="Q43" s="316"/>
      <c r="R43" s="130"/>
      <c r="S43" s="324">
        <f t="shared" si="11"/>
        <v>0</v>
      </c>
      <c r="T43" s="37" t="s">
        <v>125</v>
      </c>
      <c r="U43" s="63">
        <f>VLOOKUP($T43,Subrates!$B$10:$C$20,Subrates!$C$5,FALSE)</f>
        <v>4.8064250364478198</v>
      </c>
      <c r="V43" s="356">
        <f t="shared" si="12"/>
        <v>0</v>
      </c>
      <c r="W43" s="316"/>
      <c r="X43" s="356">
        <f t="shared" si="13"/>
        <v>0</v>
      </c>
      <c r="Y43" s="130"/>
      <c r="Z43" s="324">
        <f t="shared" si="14"/>
        <v>0</v>
      </c>
      <c r="AA43" s="42"/>
      <c r="AB43" s="353">
        <f t="shared" si="15"/>
        <v>0</v>
      </c>
      <c r="AC43" s="316"/>
      <c r="AD43" s="353">
        <f t="shared" si="16"/>
        <v>0</v>
      </c>
      <c r="AE43" s="316"/>
      <c r="AF43" s="353">
        <f t="shared" si="17"/>
        <v>0</v>
      </c>
      <c r="AG43" s="1235"/>
      <c r="AH43" s="353">
        <f t="shared" si="18"/>
        <v>0</v>
      </c>
      <c r="AI43" s="1235"/>
      <c r="AJ43" s="353">
        <f t="shared" si="19"/>
        <v>0</v>
      </c>
      <c r="AK43" s="1235"/>
      <c r="AL43" s="353">
        <f t="shared" si="20"/>
        <v>0</v>
      </c>
      <c r="AM43" s="354">
        <f t="shared" ref="AM43:AM51" si="40">AD43+AF43+AH43+AJ43+AL43</f>
        <v>0</v>
      </c>
      <c r="AN43" s="316"/>
      <c r="AO43" s="353">
        <f t="shared" si="21"/>
        <v>0</v>
      </c>
      <c r="AP43" s="1235"/>
      <c r="AQ43" s="353">
        <f t="shared" si="22"/>
        <v>0</v>
      </c>
      <c r="AR43" s="316"/>
      <c r="AS43" s="353">
        <f t="shared" si="23"/>
        <v>0</v>
      </c>
      <c r="AT43" s="354">
        <f t="shared" ref="AT43:AT51" si="41">AO43+AQ43+AS43</f>
        <v>0</v>
      </c>
      <c r="AU43" s="316"/>
      <c r="AV43" s="353">
        <f t="shared" si="24"/>
        <v>0</v>
      </c>
      <c r="AW43" s="316"/>
      <c r="AX43" s="355">
        <f t="shared" si="25"/>
        <v>0</v>
      </c>
      <c r="AY43" s="1236" t="s">
        <v>2418</v>
      </c>
      <c r="AZ43" s="316"/>
      <c r="BA43" s="63">
        <f>VLOOKUP(AY43,TOV!$E$150:$G$155,TOV_Rate_Ref-2,FALSE)</f>
        <v>121.23121089594002</v>
      </c>
      <c r="BB43" s="27"/>
      <c r="BC43" s="357">
        <f t="shared" si="26"/>
        <v>0</v>
      </c>
      <c r="BD43" s="1236" t="s">
        <v>2419</v>
      </c>
      <c r="BE43" s="1235"/>
      <c r="BF43" s="63">
        <f>VLOOKUP(BD43,TOV!$E$156:$F$185,2,FALSE)</f>
        <v>3803889.6234773444</v>
      </c>
      <c r="BG43" s="27"/>
      <c r="BH43" s="356">
        <f t="shared" ref="BH43:BH51" si="42">BE43*IF(BG43="",BF43,BG43)</f>
        <v>0</v>
      </c>
      <c r="BI43" s="1237" t="s">
        <v>1870</v>
      </c>
      <c r="BJ43" s="316"/>
      <c r="BK43" s="63">
        <f>VLOOKUP(BI43,TOV!$E$142:$F$149,2,FALSE)</f>
        <v>14.229147370575033</v>
      </c>
      <c r="BL43" s="27"/>
      <c r="BM43" s="356">
        <f>BJ43*IF(BL43="",BK43,BL43)</f>
        <v>0</v>
      </c>
      <c r="BN43" s="1237" t="s">
        <v>2420</v>
      </c>
      <c r="BO43" s="74"/>
      <c r="BP43" s="63">
        <f t="shared" si="27"/>
        <v>44197.130488219977</v>
      </c>
      <c r="BQ43" s="27"/>
      <c r="BR43" s="356">
        <f>BO43*IF(BQ43="",BP43,BQ43)</f>
        <v>0</v>
      </c>
      <c r="BS43" s="1237" t="s">
        <v>2421</v>
      </c>
      <c r="BT43" s="74"/>
      <c r="BU43" s="63">
        <f t="shared" si="28"/>
        <v>2803157.3515085224</v>
      </c>
      <c r="BV43" s="27"/>
      <c r="BW43" s="356">
        <f>BT43*IF(BV43="",BU43,BV43)</f>
        <v>0</v>
      </c>
      <c r="BX43" s="316">
        <f t="shared" si="29"/>
        <v>0</v>
      </c>
      <c r="BY43" s="316">
        <f t="shared" si="30"/>
        <v>0</v>
      </c>
      <c r="BZ43" s="74"/>
      <c r="CA43" s="316"/>
      <c r="CB43" s="324">
        <f t="shared" si="31"/>
        <v>0</v>
      </c>
      <c r="CC43" s="100" t="s">
        <v>2026</v>
      </c>
      <c r="CD43" s="30" t="s">
        <v>485</v>
      </c>
      <c r="CE43" s="75" t="s">
        <v>351</v>
      </c>
      <c r="CF43" s="48" t="s">
        <v>348</v>
      </c>
      <c r="CG43" s="63">
        <f t="shared" si="32"/>
        <v>3.0953055046989575</v>
      </c>
      <c r="CH43" s="63">
        <f>VLOOKUP(CD43,Subrates!$B$128:$C$145,Subrates!$C$5,FALSE)</f>
        <v>6.9594322272236026E-2</v>
      </c>
      <c r="CI43" s="63">
        <f>Subrates!$D$122</f>
        <v>10</v>
      </c>
      <c r="CJ43" s="63">
        <f>CI43+CH43*VLOOKUP(CD43,Long_distance_values_subs,Subrates!$H$5,FALSE)</f>
        <v>13.827687724972982</v>
      </c>
      <c r="CK43" s="1240"/>
      <c r="CL43" s="356">
        <f t="shared" ref="CL43:CL51" si="43">IF(CK43="",IF(CC43=Local,CG43*CB43,CB43*CJ43),CK43)</f>
        <v>0</v>
      </c>
      <c r="CM43" s="316"/>
      <c r="CN43" s="195" t="s">
        <v>48</v>
      </c>
      <c r="CO43" s="1096" t="str">
        <f>IF(CN43=Lists!$B$18,"N/A",VLOOKUP(CN43,Lists!$B$18:$D$26,Lists!$C$3,FALSE))</f>
        <v>N/A</v>
      </c>
      <c r="CP43" s="63">
        <f>IF(CN43=Lists!$B$18,0,VLOOKUP(CO43,Amend_TOV,TOV!$F$1,FALSE))</f>
        <v>0</v>
      </c>
      <c r="CQ43" s="27"/>
      <c r="CR43" s="316"/>
      <c r="CS43" s="195" t="s">
        <v>48</v>
      </c>
      <c r="CT43" s="1096" t="str">
        <f>IF(CS43=Lists!$B$18,"N/A",VLOOKUP(CS43,Lists!$B$18:$D$26,Lists!$C$3,FALSE))</f>
        <v>N/A</v>
      </c>
      <c r="CU43" s="63">
        <f>IF(CS43=Lists!$B$18,0,VLOOKUP(CT43,Amend_TOV,TOV!$F$1,FALSE))</f>
        <v>0</v>
      </c>
      <c r="CV43" s="27"/>
      <c r="CW43" s="316"/>
      <c r="CX43" s="195" t="s">
        <v>48</v>
      </c>
      <c r="CY43" s="1096" t="str">
        <f>IF(CX43=Lists!$B$18,"N/A",VLOOKUP(CX43,Lists!$B$18:$D$26,Lists!$C$3,FALSE))</f>
        <v>N/A</v>
      </c>
      <c r="CZ43" s="63">
        <f>IF(CX43=Lists!$B$18,0,VLOOKUP(CY43,Amend_TOV,TOV!$F$1,FALSE))</f>
        <v>0</v>
      </c>
      <c r="DA43" s="27"/>
      <c r="DB43" s="356">
        <f t="shared" si="33"/>
        <v>0</v>
      </c>
      <c r="DC43" s="316">
        <f t="shared" si="34"/>
        <v>0</v>
      </c>
      <c r="DD43" s="66">
        <v>1</v>
      </c>
      <c r="DE43" s="66">
        <v>0</v>
      </c>
      <c r="DF43" s="67">
        <f t="shared" si="35"/>
        <v>0</v>
      </c>
      <c r="DG43" s="16" t="str">
        <f t="shared" ref="DG43:DG51" si="44">IF(DF43&lt;0%,"Error","No Alert")</f>
        <v>No Alert</v>
      </c>
      <c r="DH43" s="358">
        <f t="shared" si="36"/>
        <v>0</v>
      </c>
      <c r="DI43" s="358">
        <f t="shared" si="37"/>
        <v>0</v>
      </c>
      <c r="DJ43" s="356">
        <f t="shared" si="38"/>
        <v>0</v>
      </c>
      <c r="DK43" s="1238"/>
      <c r="DL43" s="1238"/>
      <c r="DM43" s="1238"/>
      <c r="DN43" s="1227">
        <f t="shared" si="39"/>
        <v>0</v>
      </c>
      <c r="DO43" s="291"/>
      <c r="DP43" s="116">
        <f t="shared" ref="DP43:DP51" si="45">IF(DO43="",DN43,DO43)</f>
        <v>0</v>
      </c>
      <c r="DQ43" s="216"/>
      <c r="DX43" s="874"/>
    </row>
    <row r="44" spans="1:153" s="520" customFormat="1">
      <c r="B44" s="310"/>
      <c r="C44" s="824">
        <f t="shared" ref="C44:C51" si="46">C43+1</f>
        <v>3</v>
      </c>
      <c r="D44" s="350"/>
      <c r="E44" s="316"/>
      <c r="F44" s="318"/>
      <c r="G44" s="318"/>
      <c r="H44" s="316"/>
      <c r="I44" s="354">
        <f t="shared" si="8"/>
        <v>0</v>
      </c>
      <c r="J44" s="130"/>
      <c r="K44" s="324">
        <f t="shared" si="9"/>
        <v>0</v>
      </c>
      <c r="L44" s="316"/>
      <c r="M44" s="63">
        <f>TOV!$F$207</f>
        <v>10</v>
      </c>
      <c r="N44" s="356">
        <f>L44*M44</f>
        <v>0</v>
      </c>
      <c r="O44" s="130"/>
      <c r="P44" s="324">
        <f t="shared" si="10"/>
        <v>0</v>
      </c>
      <c r="Q44" s="316"/>
      <c r="R44" s="130"/>
      <c r="S44" s="324">
        <f t="shared" si="11"/>
        <v>0</v>
      </c>
      <c r="T44" s="37" t="s">
        <v>125</v>
      </c>
      <c r="U44" s="63">
        <f>VLOOKUP($T44,Subrates!$B$10:$C$20,Subrates!$C$5,FALSE)</f>
        <v>4.8064250364478198</v>
      </c>
      <c r="V44" s="356">
        <f t="shared" si="12"/>
        <v>0</v>
      </c>
      <c r="W44" s="316"/>
      <c r="X44" s="356">
        <f t="shared" si="13"/>
        <v>0</v>
      </c>
      <c r="Y44" s="130"/>
      <c r="Z44" s="324">
        <f t="shared" si="14"/>
        <v>0</v>
      </c>
      <c r="AA44" s="42"/>
      <c r="AB44" s="353">
        <f t="shared" si="15"/>
        <v>0</v>
      </c>
      <c r="AC44" s="316"/>
      <c r="AD44" s="353">
        <f t="shared" si="16"/>
        <v>0</v>
      </c>
      <c r="AE44" s="316"/>
      <c r="AF44" s="353">
        <f t="shared" si="17"/>
        <v>0</v>
      </c>
      <c r="AG44" s="1235"/>
      <c r="AH44" s="353">
        <f t="shared" si="18"/>
        <v>0</v>
      </c>
      <c r="AI44" s="1235"/>
      <c r="AJ44" s="353">
        <f t="shared" si="19"/>
        <v>0</v>
      </c>
      <c r="AK44" s="1235"/>
      <c r="AL44" s="353">
        <f t="shared" si="20"/>
        <v>0</v>
      </c>
      <c r="AM44" s="354">
        <f t="shared" si="40"/>
        <v>0</v>
      </c>
      <c r="AN44" s="316"/>
      <c r="AO44" s="353">
        <f t="shared" si="21"/>
        <v>0</v>
      </c>
      <c r="AP44" s="1235"/>
      <c r="AQ44" s="353">
        <f t="shared" si="22"/>
        <v>0</v>
      </c>
      <c r="AR44" s="316"/>
      <c r="AS44" s="353">
        <f t="shared" si="23"/>
        <v>0</v>
      </c>
      <c r="AT44" s="354">
        <f t="shared" si="41"/>
        <v>0</v>
      </c>
      <c r="AU44" s="316"/>
      <c r="AV44" s="353">
        <f t="shared" si="24"/>
        <v>0</v>
      </c>
      <c r="AW44" s="316"/>
      <c r="AX44" s="355">
        <f t="shared" si="25"/>
        <v>0</v>
      </c>
      <c r="AY44" s="1236" t="s">
        <v>2422</v>
      </c>
      <c r="AZ44" s="316"/>
      <c r="BA44" s="63">
        <f>VLOOKUP(AY44,TOV!$E$150:$G$155,TOV_Rate_Ref-2,FALSE)</f>
        <v>72.832105464525398</v>
      </c>
      <c r="BB44" s="27"/>
      <c r="BC44" s="357">
        <f t="shared" si="26"/>
        <v>0</v>
      </c>
      <c r="BD44" s="1236" t="s">
        <v>2423</v>
      </c>
      <c r="BE44" s="1235"/>
      <c r="BF44" s="63">
        <f>VLOOKUP(BD44,TOV!$E$156:$F$185,2,FALSE)</f>
        <v>65961.998860905558</v>
      </c>
      <c r="BG44" s="27"/>
      <c r="BH44" s="356">
        <f t="shared" si="42"/>
        <v>0</v>
      </c>
      <c r="BI44" s="1237" t="s">
        <v>1872</v>
      </c>
      <c r="BJ44" s="316"/>
      <c r="BK44" s="63">
        <f>VLOOKUP(BI44,TOV!$E$142:$F$149,2,FALSE)</f>
        <v>15.78157451065594</v>
      </c>
      <c r="BL44" s="27"/>
      <c r="BM44" s="356">
        <f>BJ44*IF(BL44="",BK44,BL44)</f>
        <v>0</v>
      </c>
      <c r="BN44" s="1237" t="s">
        <v>2424</v>
      </c>
      <c r="BO44" s="74"/>
      <c r="BP44" s="63">
        <f t="shared" si="27"/>
        <v>15559.756341241293</v>
      </c>
      <c r="BQ44" s="27"/>
      <c r="BR44" s="356">
        <f>BO44*IF(BQ44="",BP44,BQ44)</f>
        <v>0</v>
      </c>
      <c r="BS44" s="1237" t="s">
        <v>2425</v>
      </c>
      <c r="BT44" s="74"/>
      <c r="BU44" s="63">
        <f t="shared" si="28"/>
        <v>7931.3044859809452</v>
      </c>
      <c r="BV44" s="27"/>
      <c r="BW44" s="356">
        <f>BT44*IF(BV44="",BU44,BV44)</f>
        <v>0</v>
      </c>
      <c r="BX44" s="316">
        <f t="shared" si="29"/>
        <v>0</v>
      </c>
      <c r="BY44" s="316">
        <f t="shared" si="30"/>
        <v>0</v>
      </c>
      <c r="BZ44" s="74"/>
      <c r="CA44" s="316"/>
      <c r="CB44" s="324">
        <f t="shared" si="31"/>
        <v>0</v>
      </c>
      <c r="CC44" s="100" t="s">
        <v>2026</v>
      </c>
      <c r="CD44" s="30" t="s">
        <v>485</v>
      </c>
      <c r="CE44" s="75" t="s">
        <v>351</v>
      </c>
      <c r="CF44" s="48" t="s">
        <v>348</v>
      </c>
      <c r="CG44" s="63">
        <f t="shared" si="32"/>
        <v>3.0953055046989575</v>
      </c>
      <c r="CH44" s="63">
        <f>VLOOKUP(CD44,Subrates!$B$128:$C$145,Subrates!$C$5,FALSE)</f>
        <v>6.9594322272236026E-2</v>
      </c>
      <c r="CI44" s="63">
        <f>Subrates!$D$122</f>
        <v>10</v>
      </c>
      <c r="CJ44" s="63">
        <f>CI44+CH44*VLOOKUP(CD44,Long_distance_values_subs,Subrates!$H$5,FALSE)</f>
        <v>13.827687724972982</v>
      </c>
      <c r="CK44" s="1240"/>
      <c r="CL44" s="356">
        <f t="shared" si="43"/>
        <v>0</v>
      </c>
      <c r="CM44" s="316"/>
      <c r="CN44" s="195" t="s">
        <v>48</v>
      </c>
      <c r="CO44" s="1096" t="str">
        <f>IF(CN44=Lists!$B$18,"N/A",VLOOKUP(CN44,Lists!$B$18:$D$26,Lists!$C$3,FALSE))</f>
        <v>N/A</v>
      </c>
      <c r="CP44" s="63">
        <f>IF(CN44=Lists!$B$18,0,VLOOKUP(CO44,Amend_TOV,TOV!$F$1,FALSE))</f>
        <v>0</v>
      </c>
      <c r="CQ44" s="27"/>
      <c r="CR44" s="316"/>
      <c r="CS44" s="195" t="s">
        <v>48</v>
      </c>
      <c r="CT44" s="1096" t="str">
        <f>IF(CS44=Lists!$B$18,"N/A",VLOOKUP(CS44,Lists!$B$18:$D$26,Lists!$C$3,FALSE))</f>
        <v>N/A</v>
      </c>
      <c r="CU44" s="63">
        <f>IF(CS44=Lists!$B$18,0,VLOOKUP(CT44,Amend_TOV,TOV!$F$1,FALSE))</f>
        <v>0</v>
      </c>
      <c r="CV44" s="27"/>
      <c r="CW44" s="316"/>
      <c r="CX44" s="195" t="s">
        <v>48</v>
      </c>
      <c r="CY44" s="1096" t="str">
        <f>IF(CX44=Lists!$B$18,"N/A",VLOOKUP(CX44,Lists!$B$18:$D$26,Lists!$C$3,FALSE))</f>
        <v>N/A</v>
      </c>
      <c r="CZ44" s="63">
        <f>IF(CX44=Lists!$B$18,0,VLOOKUP(CY44,Amend_TOV,TOV!$F$1,FALSE))</f>
        <v>0</v>
      </c>
      <c r="DA44" s="27"/>
      <c r="DB44" s="356">
        <f t="shared" si="33"/>
        <v>0</v>
      </c>
      <c r="DC44" s="316">
        <f t="shared" si="34"/>
        <v>0</v>
      </c>
      <c r="DD44" s="66">
        <v>1</v>
      </c>
      <c r="DE44" s="66">
        <v>0</v>
      </c>
      <c r="DF44" s="67">
        <f t="shared" si="35"/>
        <v>0</v>
      </c>
      <c r="DG44" s="16" t="str">
        <f t="shared" si="44"/>
        <v>No Alert</v>
      </c>
      <c r="DH44" s="358">
        <f t="shared" si="36"/>
        <v>0</v>
      </c>
      <c r="DI44" s="358">
        <f t="shared" si="37"/>
        <v>0</v>
      </c>
      <c r="DJ44" s="356">
        <f t="shared" si="38"/>
        <v>0</v>
      </c>
      <c r="DK44" s="1238"/>
      <c r="DL44" s="1238"/>
      <c r="DM44" s="1238"/>
      <c r="DN44" s="1227">
        <f t="shared" si="39"/>
        <v>0</v>
      </c>
      <c r="DO44" s="291"/>
      <c r="DP44" s="116">
        <f t="shared" si="45"/>
        <v>0</v>
      </c>
      <c r="DQ44" s="216"/>
      <c r="DX44" s="874"/>
    </row>
    <row r="45" spans="1:153" s="520" customFormat="1">
      <c r="B45" s="310"/>
      <c r="C45" s="824">
        <f t="shared" si="46"/>
        <v>4</v>
      </c>
      <c r="D45" s="350"/>
      <c r="E45" s="316"/>
      <c r="F45" s="318"/>
      <c r="G45" s="318"/>
      <c r="H45" s="316"/>
      <c r="I45" s="354">
        <f t="shared" si="8"/>
        <v>0</v>
      </c>
      <c r="J45" s="130"/>
      <c r="K45" s="324">
        <f t="shared" si="9"/>
        <v>0</v>
      </c>
      <c r="L45" s="316"/>
      <c r="M45" s="63">
        <f>TOV!$F$207</f>
        <v>10</v>
      </c>
      <c r="N45" s="356">
        <f t="shared" ref="N45:N50" si="47">L45*M45</f>
        <v>0</v>
      </c>
      <c r="O45" s="130"/>
      <c r="P45" s="324">
        <f t="shared" si="10"/>
        <v>0</v>
      </c>
      <c r="Q45" s="316"/>
      <c r="R45" s="130"/>
      <c r="S45" s="324">
        <f t="shared" si="11"/>
        <v>0</v>
      </c>
      <c r="T45" s="37" t="s">
        <v>125</v>
      </c>
      <c r="U45" s="63">
        <f>VLOOKUP($T45,Subrates!$B$10:$C$20,Subrates!$C$5,FALSE)</f>
        <v>4.8064250364478198</v>
      </c>
      <c r="V45" s="356">
        <f t="shared" si="12"/>
        <v>0</v>
      </c>
      <c r="W45" s="316"/>
      <c r="X45" s="356">
        <f t="shared" si="13"/>
        <v>0</v>
      </c>
      <c r="Y45" s="130"/>
      <c r="Z45" s="324">
        <f t="shared" si="14"/>
        <v>0</v>
      </c>
      <c r="AA45" s="42"/>
      <c r="AB45" s="353">
        <f t="shared" si="15"/>
        <v>0</v>
      </c>
      <c r="AC45" s="316"/>
      <c r="AD45" s="353">
        <f t="shared" si="16"/>
        <v>0</v>
      </c>
      <c r="AE45" s="316"/>
      <c r="AF45" s="353">
        <f t="shared" si="17"/>
        <v>0</v>
      </c>
      <c r="AG45" s="1235"/>
      <c r="AH45" s="353">
        <f t="shared" si="18"/>
        <v>0</v>
      </c>
      <c r="AI45" s="1235"/>
      <c r="AJ45" s="353">
        <f t="shared" si="19"/>
        <v>0</v>
      </c>
      <c r="AK45" s="1235"/>
      <c r="AL45" s="353">
        <f t="shared" si="20"/>
        <v>0</v>
      </c>
      <c r="AM45" s="354">
        <f t="shared" si="40"/>
        <v>0</v>
      </c>
      <c r="AN45" s="316"/>
      <c r="AO45" s="353">
        <f t="shared" si="21"/>
        <v>0</v>
      </c>
      <c r="AP45" s="1235"/>
      <c r="AQ45" s="353">
        <f t="shared" si="22"/>
        <v>0</v>
      </c>
      <c r="AR45" s="316"/>
      <c r="AS45" s="353">
        <f t="shared" si="23"/>
        <v>0</v>
      </c>
      <c r="AT45" s="354">
        <f t="shared" si="41"/>
        <v>0</v>
      </c>
      <c r="AU45" s="316"/>
      <c r="AV45" s="353">
        <f t="shared" si="24"/>
        <v>0</v>
      </c>
      <c r="AW45" s="316"/>
      <c r="AX45" s="355">
        <f t="shared" si="25"/>
        <v>0</v>
      </c>
      <c r="AY45" s="1236" t="s">
        <v>2426</v>
      </c>
      <c r="AZ45" s="316"/>
      <c r="BA45" s="63">
        <f>VLOOKUP(AY45,TOV!$E$150:$G$155,TOV_Rate_Ref-2,FALSE)</f>
        <v>87.175165675294593</v>
      </c>
      <c r="BB45" s="27"/>
      <c r="BC45" s="357">
        <f t="shared" si="26"/>
        <v>0</v>
      </c>
      <c r="BD45" s="1236" t="s">
        <v>2427</v>
      </c>
      <c r="BE45" s="1235"/>
      <c r="BF45" s="63">
        <f>VLOOKUP(BD45,TOV!$E$156:$F$185,2,FALSE)</f>
        <v>5726506.8871532148</v>
      </c>
      <c r="BG45" s="27"/>
      <c r="BH45" s="356">
        <f t="shared" si="42"/>
        <v>0</v>
      </c>
      <c r="BI45" s="1237" t="s">
        <v>1874</v>
      </c>
      <c r="BJ45" s="316"/>
      <c r="BK45" s="63">
        <f>VLOOKUP(BI45,TOV!$E$142:$F$149,2,FALSE)</f>
        <v>18.900982582929032</v>
      </c>
      <c r="BL45" s="27"/>
      <c r="BM45" s="356">
        <f t="shared" ref="BM45:BM50" si="48">BJ45*IF(BL45="",BK45,BL45)</f>
        <v>0</v>
      </c>
      <c r="BN45" s="1237" t="s">
        <v>2428</v>
      </c>
      <c r="BO45" s="74"/>
      <c r="BP45" s="63">
        <f t="shared" si="27"/>
        <v>29025.07297832983</v>
      </c>
      <c r="BQ45" s="27"/>
      <c r="BR45" s="356">
        <f t="shared" ref="BR45:BR50" si="49">BO45*IF(BQ45="",BP45,BQ45)</f>
        <v>0</v>
      </c>
      <c r="BS45" s="1237" t="s">
        <v>2429</v>
      </c>
      <c r="BT45" s="74"/>
      <c r="BU45" s="63">
        <f t="shared" si="28"/>
        <v>2955617.3515085224</v>
      </c>
      <c r="BV45" s="27"/>
      <c r="BW45" s="356">
        <f t="shared" ref="BW45:BW50" si="50">BT45*IF(BV45="",BU45,BV45)</f>
        <v>0</v>
      </c>
      <c r="BX45" s="316">
        <f t="shared" si="29"/>
        <v>0</v>
      </c>
      <c r="BY45" s="316">
        <f t="shared" si="30"/>
        <v>0</v>
      </c>
      <c r="BZ45" s="74"/>
      <c r="CA45" s="316"/>
      <c r="CB45" s="324">
        <f t="shared" si="31"/>
        <v>0</v>
      </c>
      <c r="CC45" s="100" t="s">
        <v>2026</v>
      </c>
      <c r="CD45" s="30" t="s">
        <v>485</v>
      </c>
      <c r="CE45" s="75" t="s">
        <v>351</v>
      </c>
      <c r="CF45" s="48" t="s">
        <v>348</v>
      </c>
      <c r="CG45" s="63">
        <f t="shared" si="32"/>
        <v>3.0953055046989575</v>
      </c>
      <c r="CH45" s="63">
        <f>VLOOKUP(CD45,Subrates!$B$128:$C$145,Subrates!$C$5,FALSE)</f>
        <v>6.9594322272236026E-2</v>
      </c>
      <c r="CI45" s="63">
        <f>Subrates!$D$122</f>
        <v>10</v>
      </c>
      <c r="CJ45" s="63">
        <f>CI45+CH45*VLOOKUP(CD45,Long_distance_values_subs,Subrates!$H$5,FALSE)</f>
        <v>13.827687724972982</v>
      </c>
      <c r="CK45" s="1240"/>
      <c r="CL45" s="356">
        <f t="shared" si="43"/>
        <v>0</v>
      </c>
      <c r="CM45" s="316"/>
      <c r="CN45" s="195" t="s">
        <v>48</v>
      </c>
      <c r="CO45" s="1096" t="str">
        <f>IF(CN45=Lists!$B$18,"N/A",VLOOKUP(CN45,Lists!$B$18:$D$26,Lists!$C$3,FALSE))</f>
        <v>N/A</v>
      </c>
      <c r="CP45" s="63">
        <f>IF(CN45=Lists!$B$18,0,VLOOKUP(CO45,Amend_TOV,TOV!$F$1,FALSE))</f>
        <v>0</v>
      </c>
      <c r="CQ45" s="27"/>
      <c r="CR45" s="316"/>
      <c r="CS45" s="195" t="s">
        <v>48</v>
      </c>
      <c r="CT45" s="1096" t="str">
        <f>IF(CS45=Lists!$B$18,"N/A",VLOOKUP(CS45,Lists!$B$18:$D$26,Lists!$C$3,FALSE))</f>
        <v>N/A</v>
      </c>
      <c r="CU45" s="63">
        <f>IF(CS45=Lists!$B$18,0,VLOOKUP(CT45,Amend_TOV,TOV!$F$1,FALSE))</f>
        <v>0</v>
      </c>
      <c r="CV45" s="27"/>
      <c r="CW45" s="316"/>
      <c r="CX45" s="195" t="s">
        <v>48</v>
      </c>
      <c r="CY45" s="1096" t="str">
        <f>IF(CX45=Lists!$B$18,"N/A",VLOOKUP(CX45,Lists!$B$18:$D$26,Lists!$C$3,FALSE))</f>
        <v>N/A</v>
      </c>
      <c r="CZ45" s="63">
        <f>IF(CX45=Lists!$B$18,0,VLOOKUP(CY45,Amend_TOV,TOV!$F$1,FALSE))</f>
        <v>0</v>
      </c>
      <c r="DA45" s="27"/>
      <c r="DB45" s="356">
        <f t="shared" si="33"/>
        <v>0</v>
      </c>
      <c r="DC45" s="316">
        <f t="shared" si="34"/>
        <v>0</v>
      </c>
      <c r="DD45" s="66">
        <v>1</v>
      </c>
      <c r="DE45" s="66">
        <v>0</v>
      </c>
      <c r="DF45" s="67">
        <f t="shared" si="35"/>
        <v>0</v>
      </c>
      <c r="DG45" s="16" t="str">
        <f t="shared" si="44"/>
        <v>No Alert</v>
      </c>
      <c r="DH45" s="358">
        <f t="shared" si="36"/>
        <v>0</v>
      </c>
      <c r="DI45" s="358">
        <f t="shared" si="37"/>
        <v>0</v>
      </c>
      <c r="DJ45" s="356">
        <f t="shared" si="38"/>
        <v>0</v>
      </c>
      <c r="DK45" s="1238"/>
      <c r="DL45" s="1238"/>
      <c r="DM45" s="1238"/>
      <c r="DN45" s="1227">
        <f t="shared" si="39"/>
        <v>0</v>
      </c>
      <c r="DO45" s="291"/>
      <c r="DP45" s="116">
        <f t="shared" si="45"/>
        <v>0</v>
      </c>
      <c r="DQ45" s="216"/>
      <c r="DX45" s="874"/>
    </row>
    <row r="46" spans="1:153" s="520" customFormat="1">
      <c r="B46" s="310"/>
      <c r="C46" s="824">
        <f t="shared" si="46"/>
        <v>5</v>
      </c>
      <c r="D46" s="350"/>
      <c r="E46" s="316"/>
      <c r="F46" s="318"/>
      <c r="G46" s="318"/>
      <c r="H46" s="316"/>
      <c r="I46" s="354">
        <f t="shared" si="8"/>
        <v>0</v>
      </c>
      <c r="J46" s="130"/>
      <c r="K46" s="324">
        <f t="shared" si="9"/>
        <v>0</v>
      </c>
      <c r="L46" s="316"/>
      <c r="M46" s="63">
        <f>TOV!$F$207</f>
        <v>10</v>
      </c>
      <c r="N46" s="356">
        <f t="shared" si="47"/>
        <v>0</v>
      </c>
      <c r="O46" s="130"/>
      <c r="P46" s="324">
        <f t="shared" si="10"/>
        <v>0</v>
      </c>
      <c r="Q46" s="316"/>
      <c r="R46" s="130"/>
      <c r="S46" s="324">
        <f t="shared" si="11"/>
        <v>0</v>
      </c>
      <c r="T46" s="37" t="s">
        <v>125</v>
      </c>
      <c r="U46" s="63">
        <f>VLOOKUP($T46,Subrates!$B$10:$C$20,Subrates!$C$5,FALSE)</f>
        <v>4.8064250364478198</v>
      </c>
      <c r="V46" s="356">
        <f t="shared" si="12"/>
        <v>0</v>
      </c>
      <c r="W46" s="316"/>
      <c r="X46" s="356">
        <f t="shared" si="13"/>
        <v>0</v>
      </c>
      <c r="Y46" s="130"/>
      <c r="Z46" s="324">
        <f t="shared" si="14"/>
        <v>0</v>
      </c>
      <c r="AA46" s="42"/>
      <c r="AB46" s="353">
        <f t="shared" si="15"/>
        <v>0</v>
      </c>
      <c r="AC46" s="316"/>
      <c r="AD46" s="353">
        <f t="shared" si="16"/>
        <v>0</v>
      </c>
      <c r="AE46" s="316"/>
      <c r="AF46" s="353">
        <f t="shared" si="17"/>
        <v>0</v>
      </c>
      <c r="AG46" s="1235"/>
      <c r="AH46" s="353">
        <f t="shared" si="18"/>
        <v>0</v>
      </c>
      <c r="AI46" s="1235"/>
      <c r="AJ46" s="353">
        <f t="shared" si="19"/>
        <v>0</v>
      </c>
      <c r="AK46" s="1235"/>
      <c r="AL46" s="353">
        <f t="shared" si="20"/>
        <v>0</v>
      </c>
      <c r="AM46" s="354">
        <f t="shared" si="40"/>
        <v>0</v>
      </c>
      <c r="AN46" s="316"/>
      <c r="AO46" s="353">
        <f t="shared" si="21"/>
        <v>0</v>
      </c>
      <c r="AP46" s="1235"/>
      <c r="AQ46" s="353">
        <f t="shared" si="22"/>
        <v>0</v>
      </c>
      <c r="AR46" s="316"/>
      <c r="AS46" s="353">
        <f t="shared" si="23"/>
        <v>0</v>
      </c>
      <c r="AT46" s="354">
        <f t="shared" si="41"/>
        <v>0</v>
      </c>
      <c r="AU46" s="316"/>
      <c r="AV46" s="353">
        <f t="shared" si="24"/>
        <v>0</v>
      </c>
      <c r="AW46" s="316"/>
      <c r="AX46" s="355">
        <f t="shared" si="25"/>
        <v>0</v>
      </c>
      <c r="AY46" s="1236" t="s">
        <v>2430</v>
      </c>
      <c r="AZ46" s="316"/>
      <c r="BA46" s="63">
        <f>VLOOKUP(AY46,TOV!$E$150:$G$155,TOV_Rate_Ref-2,FALSE)</f>
        <v>129.68674164884723</v>
      </c>
      <c r="BB46" s="27"/>
      <c r="BC46" s="357">
        <f t="shared" si="26"/>
        <v>0</v>
      </c>
      <c r="BD46" s="1236" t="s">
        <v>2431</v>
      </c>
      <c r="BE46" s="1235"/>
      <c r="BF46" s="63">
        <f>VLOOKUP(BD46,TOV!$E$156:$F$185,2,FALSE)</f>
        <v>47392.200162606387</v>
      </c>
      <c r="BG46" s="27"/>
      <c r="BH46" s="356">
        <f t="shared" si="42"/>
        <v>0</v>
      </c>
      <c r="BI46" s="1237" t="s">
        <v>1867</v>
      </c>
      <c r="BJ46" s="316"/>
      <c r="BK46" s="63">
        <f>VLOOKUP(BI46,TOV!$E$142:$F$149,2,FALSE)</f>
        <v>13.095941979156329</v>
      </c>
      <c r="BL46" s="27"/>
      <c r="BM46" s="356">
        <f t="shared" si="48"/>
        <v>0</v>
      </c>
      <c r="BN46" s="1237" t="s">
        <v>2432</v>
      </c>
      <c r="BO46" s="74"/>
      <c r="BP46" s="63">
        <f t="shared" si="27"/>
        <v>1370.4146400743798</v>
      </c>
      <c r="BQ46" s="27"/>
      <c r="BR46" s="356">
        <f t="shared" si="49"/>
        <v>0</v>
      </c>
      <c r="BS46" s="1237" t="s">
        <v>2433</v>
      </c>
      <c r="BT46" s="74"/>
      <c r="BU46" s="63">
        <f t="shared" si="28"/>
        <v>7511.6544859809455</v>
      </c>
      <c r="BV46" s="27"/>
      <c r="BW46" s="356">
        <f t="shared" si="50"/>
        <v>0</v>
      </c>
      <c r="BX46" s="316">
        <f t="shared" si="29"/>
        <v>0</v>
      </c>
      <c r="BY46" s="316">
        <f t="shared" si="30"/>
        <v>0</v>
      </c>
      <c r="BZ46" s="74"/>
      <c r="CA46" s="316"/>
      <c r="CB46" s="324">
        <f t="shared" si="31"/>
        <v>0</v>
      </c>
      <c r="CC46" s="100" t="s">
        <v>2026</v>
      </c>
      <c r="CD46" s="30" t="s">
        <v>485</v>
      </c>
      <c r="CE46" s="75" t="s">
        <v>351</v>
      </c>
      <c r="CF46" s="48" t="s">
        <v>348</v>
      </c>
      <c r="CG46" s="63">
        <f t="shared" si="32"/>
        <v>3.0953055046989575</v>
      </c>
      <c r="CH46" s="63">
        <f>VLOOKUP(CD46,Subrates!$B$128:$C$145,Subrates!$C$5,FALSE)</f>
        <v>6.9594322272236026E-2</v>
      </c>
      <c r="CI46" s="63">
        <f>Subrates!$D$122</f>
        <v>10</v>
      </c>
      <c r="CJ46" s="63">
        <f>CI46+CH46*VLOOKUP(CD46,Long_distance_values_subs,Subrates!$H$5,FALSE)</f>
        <v>13.827687724972982</v>
      </c>
      <c r="CK46" s="1240"/>
      <c r="CL46" s="356">
        <f t="shared" si="43"/>
        <v>0</v>
      </c>
      <c r="CM46" s="316"/>
      <c r="CN46" s="195" t="s">
        <v>48</v>
      </c>
      <c r="CO46" s="1096" t="str">
        <f>IF(CN46=Lists!$B$18,"N/A",VLOOKUP(CN46,Lists!$B$18:$D$26,Lists!$C$3,FALSE))</f>
        <v>N/A</v>
      </c>
      <c r="CP46" s="63">
        <f>IF(CN46=Lists!$B$18,0,VLOOKUP(CO46,Amend_TOV,TOV!$F$1,FALSE))</f>
        <v>0</v>
      </c>
      <c r="CQ46" s="27"/>
      <c r="CR46" s="316"/>
      <c r="CS46" s="195" t="s">
        <v>48</v>
      </c>
      <c r="CT46" s="1096" t="str">
        <f>IF(CS46=Lists!$B$18,"N/A",VLOOKUP(CS46,Lists!$B$18:$D$26,Lists!$C$3,FALSE))</f>
        <v>N/A</v>
      </c>
      <c r="CU46" s="63">
        <f>IF(CS46=Lists!$B$18,0,VLOOKUP(CT46,Amend_TOV,TOV!$F$1,FALSE))</f>
        <v>0</v>
      </c>
      <c r="CV46" s="27"/>
      <c r="CW46" s="316"/>
      <c r="CX46" s="195" t="s">
        <v>48</v>
      </c>
      <c r="CY46" s="1096" t="str">
        <f>IF(CX46=Lists!$B$18,"N/A",VLOOKUP(CX46,Lists!$B$18:$D$26,Lists!$C$3,FALSE))</f>
        <v>N/A</v>
      </c>
      <c r="CZ46" s="63">
        <f>IF(CX46=Lists!$B$18,0,VLOOKUP(CY46,Amend_TOV,TOV!$F$1,FALSE))</f>
        <v>0</v>
      </c>
      <c r="DA46" s="27"/>
      <c r="DB46" s="356">
        <f t="shared" si="33"/>
        <v>0</v>
      </c>
      <c r="DC46" s="316">
        <f t="shared" si="34"/>
        <v>0</v>
      </c>
      <c r="DD46" s="66">
        <v>1</v>
      </c>
      <c r="DE46" s="66">
        <v>0</v>
      </c>
      <c r="DF46" s="67">
        <f t="shared" si="35"/>
        <v>0</v>
      </c>
      <c r="DG46" s="16" t="str">
        <f t="shared" si="44"/>
        <v>No Alert</v>
      </c>
      <c r="DH46" s="358">
        <f t="shared" si="36"/>
        <v>0</v>
      </c>
      <c r="DI46" s="358">
        <f t="shared" si="37"/>
        <v>0</v>
      </c>
      <c r="DJ46" s="356">
        <f t="shared" si="38"/>
        <v>0</v>
      </c>
      <c r="DK46" s="1238"/>
      <c r="DL46" s="1238"/>
      <c r="DM46" s="1238"/>
      <c r="DN46" s="1227">
        <f t="shared" si="39"/>
        <v>0</v>
      </c>
      <c r="DO46" s="291"/>
      <c r="DP46" s="116">
        <f t="shared" si="45"/>
        <v>0</v>
      </c>
      <c r="DQ46" s="216"/>
      <c r="DX46" s="874"/>
    </row>
    <row r="47" spans="1:153" s="520" customFormat="1">
      <c r="B47" s="310"/>
      <c r="C47" s="824">
        <f t="shared" si="46"/>
        <v>6</v>
      </c>
      <c r="D47" s="350"/>
      <c r="E47" s="316"/>
      <c r="F47" s="318"/>
      <c r="G47" s="318"/>
      <c r="H47" s="316"/>
      <c r="I47" s="354">
        <f t="shared" si="8"/>
        <v>0</v>
      </c>
      <c r="J47" s="130"/>
      <c r="K47" s="324">
        <f t="shared" si="9"/>
        <v>0</v>
      </c>
      <c r="L47" s="316"/>
      <c r="M47" s="63">
        <f>TOV!$F$207</f>
        <v>10</v>
      </c>
      <c r="N47" s="356">
        <f t="shared" si="47"/>
        <v>0</v>
      </c>
      <c r="O47" s="130"/>
      <c r="P47" s="324">
        <f t="shared" si="10"/>
        <v>0</v>
      </c>
      <c r="Q47" s="316"/>
      <c r="R47" s="130"/>
      <c r="S47" s="324">
        <f t="shared" si="11"/>
        <v>0</v>
      </c>
      <c r="T47" s="37" t="s">
        <v>125</v>
      </c>
      <c r="U47" s="63">
        <f>VLOOKUP($T47,Subrates!$B$10:$C$20,Subrates!$C$5,FALSE)</f>
        <v>4.8064250364478198</v>
      </c>
      <c r="V47" s="356">
        <f t="shared" si="12"/>
        <v>0</v>
      </c>
      <c r="W47" s="316"/>
      <c r="X47" s="356">
        <f t="shared" si="13"/>
        <v>0</v>
      </c>
      <c r="Y47" s="130"/>
      <c r="Z47" s="324">
        <f t="shared" si="14"/>
        <v>0</v>
      </c>
      <c r="AA47" s="42"/>
      <c r="AB47" s="353">
        <f t="shared" si="15"/>
        <v>0</v>
      </c>
      <c r="AC47" s="316"/>
      <c r="AD47" s="353">
        <f t="shared" si="16"/>
        <v>0</v>
      </c>
      <c r="AE47" s="316"/>
      <c r="AF47" s="353">
        <f t="shared" si="17"/>
        <v>0</v>
      </c>
      <c r="AG47" s="1235"/>
      <c r="AH47" s="353">
        <f t="shared" si="18"/>
        <v>0</v>
      </c>
      <c r="AI47" s="1235"/>
      <c r="AJ47" s="353">
        <f t="shared" si="19"/>
        <v>0</v>
      </c>
      <c r="AK47" s="1235"/>
      <c r="AL47" s="353">
        <f t="shared" si="20"/>
        <v>0</v>
      </c>
      <c r="AM47" s="354">
        <f t="shared" si="40"/>
        <v>0</v>
      </c>
      <c r="AN47" s="316"/>
      <c r="AO47" s="353">
        <f t="shared" si="21"/>
        <v>0</v>
      </c>
      <c r="AP47" s="1235"/>
      <c r="AQ47" s="353">
        <f t="shared" si="22"/>
        <v>0</v>
      </c>
      <c r="AR47" s="316"/>
      <c r="AS47" s="353">
        <f t="shared" si="23"/>
        <v>0</v>
      </c>
      <c r="AT47" s="354">
        <f t="shared" si="41"/>
        <v>0</v>
      </c>
      <c r="AU47" s="316"/>
      <c r="AV47" s="353">
        <f t="shared" si="24"/>
        <v>0</v>
      </c>
      <c r="AW47" s="316"/>
      <c r="AX47" s="355">
        <f t="shared" si="25"/>
        <v>0</v>
      </c>
      <c r="AY47" s="1236" t="s">
        <v>2434</v>
      </c>
      <c r="AZ47" s="316"/>
      <c r="BA47" s="63">
        <f>VLOOKUP(AY47,TOV!$E$150:$G$155,TOV_Rate_Ref-2,FALSE)</f>
        <v>138.9720843131789</v>
      </c>
      <c r="BB47" s="27"/>
      <c r="BC47" s="357">
        <f t="shared" si="26"/>
        <v>0</v>
      </c>
      <c r="BD47" s="1236" t="s">
        <v>2431</v>
      </c>
      <c r="BE47" s="1235"/>
      <c r="BF47" s="63">
        <f>VLOOKUP(BD47,TOV!$E$156:$F$185,2,FALSE)</f>
        <v>47392.200162606387</v>
      </c>
      <c r="BG47" s="27"/>
      <c r="BH47" s="356">
        <f t="shared" si="42"/>
        <v>0</v>
      </c>
      <c r="BI47" s="1237" t="s">
        <v>1867</v>
      </c>
      <c r="BJ47" s="316"/>
      <c r="BK47" s="63">
        <f>VLOOKUP(BI47,TOV!$E$142:$F$149,2,FALSE)</f>
        <v>13.095941979156329</v>
      </c>
      <c r="BL47" s="27"/>
      <c r="BM47" s="356">
        <f t="shared" si="48"/>
        <v>0</v>
      </c>
      <c r="BN47" s="1237" t="s">
        <v>2435</v>
      </c>
      <c r="BO47" s="74"/>
      <c r="BP47" s="63">
        <f t="shared" si="27"/>
        <v>3383.1465679625685</v>
      </c>
      <c r="BQ47" s="27"/>
      <c r="BR47" s="356">
        <f t="shared" si="49"/>
        <v>0</v>
      </c>
      <c r="BS47" s="1237" t="s">
        <v>2436</v>
      </c>
      <c r="BT47" s="74"/>
      <c r="BU47" s="63">
        <f t="shared" si="28"/>
        <v>2425249.8560856162</v>
      </c>
      <c r="BV47" s="27"/>
      <c r="BW47" s="356">
        <f t="shared" si="50"/>
        <v>0</v>
      </c>
      <c r="BX47" s="316">
        <f t="shared" si="29"/>
        <v>0</v>
      </c>
      <c r="BY47" s="316">
        <f t="shared" si="30"/>
        <v>0</v>
      </c>
      <c r="BZ47" s="74"/>
      <c r="CA47" s="316"/>
      <c r="CB47" s="324">
        <f t="shared" si="31"/>
        <v>0</v>
      </c>
      <c r="CC47" s="100" t="s">
        <v>2026</v>
      </c>
      <c r="CD47" s="30" t="s">
        <v>485</v>
      </c>
      <c r="CE47" s="75" t="s">
        <v>351</v>
      </c>
      <c r="CF47" s="48" t="s">
        <v>348</v>
      </c>
      <c r="CG47" s="63">
        <f t="shared" si="32"/>
        <v>3.0953055046989575</v>
      </c>
      <c r="CH47" s="63">
        <f>VLOOKUP(CD47,Subrates!$B$128:$C$145,Subrates!$C$5,FALSE)</f>
        <v>6.9594322272236026E-2</v>
      </c>
      <c r="CI47" s="63">
        <f>Subrates!$D$122</f>
        <v>10</v>
      </c>
      <c r="CJ47" s="63">
        <f>CI47+CH47*VLOOKUP(CD47,Long_distance_values_subs,Subrates!$H$5,FALSE)</f>
        <v>13.827687724972982</v>
      </c>
      <c r="CK47" s="1240"/>
      <c r="CL47" s="356">
        <f t="shared" si="43"/>
        <v>0</v>
      </c>
      <c r="CM47" s="316"/>
      <c r="CN47" s="195" t="s">
        <v>48</v>
      </c>
      <c r="CO47" s="1096" t="str">
        <f>IF(CN47=Lists!$B$18,"N/A",VLOOKUP(CN47,Lists!$B$18:$D$26,Lists!$C$3,FALSE))</f>
        <v>N/A</v>
      </c>
      <c r="CP47" s="63">
        <f>IF(CN47=Lists!$B$18,0,VLOOKUP(CO47,Amend_TOV,TOV!$F$1,FALSE))</f>
        <v>0</v>
      </c>
      <c r="CQ47" s="27"/>
      <c r="CR47" s="316"/>
      <c r="CS47" s="195" t="s">
        <v>48</v>
      </c>
      <c r="CT47" s="1096" t="str">
        <f>IF(CS47=Lists!$B$18,"N/A",VLOOKUP(CS47,Lists!$B$18:$D$26,Lists!$C$3,FALSE))</f>
        <v>N/A</v>
      </c>
      <c r="CU47" s="63">
        <f>IF(CS47=Lists!$B$18,0,VLOOKUP(CT47,Amend_TOV,TOV!$F$1,FALSE))</f>
        <v>0</v>
      </c>
      <c r="CV47" s="27"/>
      <c r="CW47" s="316"/>
      <c r="CX47" s="195" t="s">
        <v>48</v>
      </c>
      <c r="CY47" s="1096" t="str">
        <f>IF(CX47=Lists!$B$18,"N/A",VLOOKUP(CX47,Lists!$B$18:$D$26,Lists!$C$3,FALSE))</f>
        <v>N/A</v>
      </c>
      <c r="CZ47" s="63">
        <f>IF(CX47=Lists!$B$18,0,VLOOKUP(CY47,Amend_TOV,TOV!$F$1,FALSE))</f>
        <v>0</v>
      </c>
      <c r="DA47" s="27"/>
      <c r="DB47" s="356">
        <f t="shared" si="33"/>
        <v>0</v>
      </c>
      <c r="DC47" s="316">
        <f t="shared" si="34"/>
        <v>0</v>
      </c>
      <c r="DD47" s="66">
        <v>1</v>
      </c>
      <c r="DE47" s="66">
        <v>0</v>
      </c>
      <c r="DF47" s="67">
        <f t="shared" si="35"/>
        <v>0</v>
      </c>
      <c r="DG47" s="16" t="str">
        <f t="shared" si="44"/>
        <v>No Alert</v>
      </c>
      <c r="DH47" s="358">
        <f t="shared" si="36"/>
        <v>0</v>
      </c>
      <c r="DI47" s="358">
        <f t="shared" si="37"/>
        <v>0</v>
      </c>
      <c r="DJ47" s="356">
        <f t="shared" si="38"/>
        <v>0</v>
      </c>
      <c r="DK47" s="1238"/>
      <c r="DL47" s="1238"/>
      <c r="DM47" s="1238"/>
      <c r="DN47" s="1227">
        <f t="shared" si="39"/>
        <v>0</v>
      </c>
      <c r="DO47" s="291"/>
      <c r="DP47" s="116">
        <f t="shared" si="45"/>
        <v>0</v>
      </c>
      <c r="DQ47" s="216"/>
      <c r="DX47" s="874"/>
    </row>
    <row r="48" spans="1:153" s="520" customFormat="1">
      <c r="B48" s="310"/>
      <c r="C48" s="824">
        <f t="shared" si="46"/>
        <v>7</v>
      </c>
      <c r="D48" s="350"/>
      <c r="E48" s="316"/>
      <c r="F48" s="318"/>
      <c r="G48" s="318"/>
      <c r="H48" s="316"/>
      <c r="I48" s="354">
        <f t="shared" si="8"/>
        <v>0</v>
      </c>
      <c r="J48" s="130"/>
      <c r="K48" s="324">
        <f t="shared" si="9"/>
        <v>0</v>
      </c>
      <c r="L48" s="316"/>
      <c r="M48" s="63">
        <f>TOV!$F$207</f>
        <v>10</v>
      </c>
      <c r="N48" s="356">
        <f t="shared" si="47"/>
        <v>0</v>
      </c>
      <c r="O48" s="130"/>
      <c r="P48" s="324">
        <f t="shared" si="10"/>
        <v>0</v>
      </c>
      <c r="Q48" s="316"/>
      <c r="R48" s="130"/>
      <c r="S48" s="324">
        <f t="shared" si="11"/>
        <v>0</v>
      </c>
      <c r="T48" s="37" t="s">
        <v>125</v>
      </c>
      <c r="U48" s="63">
        <f>VLOOKUP($T48,Subrates!$B$10:$C$20,Subrates!$C$5,FALSE)</f>
        <v>4.8064250364478198</v>
      </c>
      <c r="V48" s="356">
        <f t="shared" si="12"/>
        <v>0</v>
      </c>
      <c r="W48" s="316"/>
      <c r="X48" s="356">
        <f t="shared" si="13"/>
        <v>0</v>
      </c>
      <c r="Y48" s="130"/>
      <c r="Z48" s="324">
        <f t="shared" si="14"/>
        <v>0</v>
      </c>
      <c r="AA48" s="42"/>
      <c r="AB48" s="353">
        <f t="shared" si="15"/>
        <v>0</v>
      </c>
      <c r="AC48" s="316"/>
      <c r="AD48" s="353">
        <f t="shared" si="16"/>
        <v>0</v>
      </c>
      <c r="AE48" s="316"/>
      <c r="AF48" s="353">
        <f t="shared" si="17"/>
        <v>0</v>
      </c>
      <c r="AG48" s="1235"/>
      <c r="AH48" s="353">
        <f t="shared" si="18"/>
        <v>0</v>
      </c>
      <c r="AI48" s="1235"/>
      <c r="AJ48" s="353">
        <f t="shared" si="19"/>
        <v>0</v>
      </c>
      <c r="AK48" s="1235"/>
      <c r="AL48" s="353">
        <f t="shared" si="20"/>
        <v>0</v>
      </c>
      <c r="AM48" s="354">
        <f t="shared" si="40"/>
        <v>0</v>
      </c>
      <c r="AN48" s="316"/>
      <c r="AO48" s="353">
        <f t="shared" si="21"/>
        <v>0</v>
      </c>
      <c r="AP48" s="1235"/>
      <c r="AQ48" s="353">
        <f t="shared" si="22"/>
        <v>0</v>
      </c>
      <c r="AR48" s="316"/>
      <c r="AS48" s="353">
        <f t="shared" si="23"/>
        <v>0</v>
      </c>
      <c r="AT48" s="354">
        <f t="shared" si="41"/>
        <v>0</v>
      </c>
      <c r="AU48" s="316"/>
      <c r="AV48" s="353">
        <f t="shared" si="24"/>
        <v>0</v>
      </c>
      <c r="AW48" s="316"/>
      <c r="AX48" s="355">
        <f t="shared" si="25"/>
        <v>0</v>
      </c>
      <c r="AY48" s="1236" t="s">
        <v>141</v>
      </c>
      <c r="AZ48" s="316"/>
      <c r="BA48" s="63">
        <f>VLOOKUP(AY48,TOV!$E$150:$G$155,TOV_Rate_Ref-2,FALSE)</f>
        <v>2190.2566697935945</v>
      </c>
      <c r="BB48" s="27"/>
      <c r="BC48" s="357">
        <f t="shared" si="26"/>
        <v>0</v>
      </c>
      <c r="BD48" s="1236" t="s">
        <v>2431</v>
      </c>
      <c r="BE48" s="1235"/>
      <c r="BF48" s="63">
        <f>VLOOKUP(BD48,TOV!$E$156:$F$185,2,FALSE)</f>
        <v>47392.200162606387</v>
      </c>
      <c r="BG48" s="27"/>
      <c r="BH48" s="356">
        <f t="shared" si="42"/>
        <v>0</v>
      </c>
      <c r="BI48" s="1237" t="s">
        <v>1867</v>
      </c>
      <c r="BJ48" s="316"/>
      <c r="BK48" s="63">
        <f>VLOOKUP(BI48,TOV!$E$142:$F$149,2,FALSE)</f>
        <v>13.095941979156329</v>
      </c>
      <c r="BL48" s="27"/>
      <c r="BM48" s="356">
        <f t="shared" si="48"/>
        <v>0</v>
      </c>
      <c r="BN48" s="1237" t="s">
        <v>2437</v>
      </c>
      <c r="BO48" s="74"/>
      <c r="BP48" s="63">
        <f t="shared" si="27"/>
        <v>4565.7622203920992</v>
      </c>
      <c r="BQ48" s="27"/>
      <c r="BR48" s="356">
        <f t="shared" si="49"/>
        <v>0</v>
      </c>
      <c r="BS48" s="1237" t="s">
        <v>2438</v>
      </c>
      <c r="BT48" s="74"/>
      <c r="BU48" s="63">
        <f t="shared" si="28"/>
        <v>6664.7927116848359</v>
      </c>
      <c r="BV48" s="27"/>
      <c r="BW48" s="356">
        <f t="shared" si="50"/>
        <v>0</v>
      </c>
      <c r="BX48" s="316">
        <f t="shared" si="29"/>
        <v>0</v>
      </c>
      <c r="BY48" s="316">
        <f t="shared" si="30"/>
        <v>0</v>
      </c>
      <c r="BZ48" s="74"/>
      <c r="CA48" s="316"/>
      <c r="CB48" s="324">
        <f t="shared" si="31"/>
        <v>0</v>
      </c>
      <c r="CC48" s="100" t="s">
        <v>2026</v>
      </c>
      <c r="CD48" s="30" t="s">
        <v>485</v>
      </c>
      <c r="CE48" s="75" t="s">
        <v>351</v>
      </c>
      <c r="CF48" s="48" t="s">
        <v>348</v>
      </c>
      <c r="CG48" s="63">
        <f t="shared" si="32"/>
        <v>3.0953055046989575</v>
      </c>
      <c r="CH48" s="63">
        <f>VLOOKUP(CD48,Subrates!$B$128:$C$145,Subrates!$C$5,FALSE)</f>
        <v>6.9594322272236026E-2</v>
      </c>
      <c r="CI48" s="63">
        <f>Subrates!$D$122</f>
        <v>10</v>
      </c>
      <c r="CJ48" s="63">
        <f>CI48+CH48*VLOOKUP(CD48,Long_distance_values_subs,Subrates!$H$5,FALSE)</f>
        <v>13.827687724972982</v>
      </c>
      <c r="CK48" s="1240"/>
      <c r="CL48" s="356">
        <f t="shared" si="43"/>
        <v>0</v>
      </c>
      <c r="CM48" s="316"/>
      <c r="CN48" s="195" t="s">
        <v>48</v>
      </c>
      <c r="CO48" s="1096" t="str">
        <f>IF(CN48=Lists!$B$18,"N/A",VLOOKUP(CN48,Lists!$B$18:$D$26,Lists!$C$3,FALSE))</f>
        <v>N/A</v>
      </c>
      <c r="CP48" s="63">
        <f>IF(CN48=Lists!$B$18,0,VLOOKUP(CO48,Amend_TOV,TOV!$F$1,FALSE))</f>
        <v>0</v>
      </c>
      <c r="CQ48" s="27"/>
      <c r="CR48" s="316"/>
      <c r="CS48" s="195" t="s">
        <v>48</v>
      </c>
      <c r="CT48" s="1096" t="str">
        <f>IF(CS48=Lists!$B$18,"N/A",VLOOKUP(CS48,Lists!$B$18:$D$26,Lists!$C$3,FALSE))</f>
        <v>N/A</v>
      </c>
      <c r="CU48" s="63">
        <f>IF(CS48=Lists!$B$18,0,VLOOKUP(CT48,Amend_TOV,TOV!$F$1,FALSE))</f>
        <v>0</v>
      </c>
      <c r="CV48" s="27"/>
      <c r="CW48" s="316"/>
      <c r="CX48" s="195" t="s">
        <v>48</v>
      </c>
      <c r="CY48" s="1096" t="str">
        <f>IF(CX48=Lists!$B$18,"N/A",VLOOKUP(CX48,Lists!$B$18:$D$26,Lists!$C$3,FALSE))</f>
        <v>N/A</v>
      </c>
      <c r="CZ48" s="63">
        <f>IF(CX48=Lists!$B$18,0,VLOOKUP(CY48,Amend_TOV,TOV!$F$1,FALSE))</f>
        <v>0</v>
      </c>
      <c r="DA48" s="27"/>
      <c r="DB48" s="356">
        <f t="shared" si="33"/>
        <v>0</v>
      </c>
      <c r="DC48" s="316">
        <f t="shared" si="34"/>
        <v>0</v>
      </c>
      <c r="DD48" s="66">
        <v>1</v>
      </c>
      <c r="DE48" s="66">
        <v>0</v>
      </c>
      <c r="DF48" s="67">
        <f t="shared" si="35"/>
        <v>0</v>
      </c>
      <c r="DG48" s="16" t="str">
        <f t="shared" si="44"/>
        <v>No Alert</v>
      </c>
      <c r="DH48" s="358">
        <f t="shared" si="36"/>
        <v>0</v>
      </c>
      <c r="DI48" s="358">
        <f t="shared" si="37"/>
        <v>0</v>
      </c>
      <c r="DJ48" s="356">
        <f t="shared" si="38"/>
        <v>0</v>
      </c>
      <c r="DK48" s="1238"/>
      <c r="DL48" s="1238"/>
      <c r="DM48" s="1238"/>
      <c r="DN48" s="1227">
        <f t="shared" si="39"/>
        <v>0</v>
      </c>
      <c r="DO48" s="291"/>
      <c r="DP48" s="116">
        <f t="shared" si="45"/>
        <v>0</v>
      </c>
      <c r="DQ48" s="216"/>
      <c r="DX48" s="874"/>
    </row>
    <row r="49" spans="1:135" s="520" customFormat="1">
      <c r="B49" s="310"/>
      <c r="C49" s="824">
        <f t="shared" si="46"/>
        <v>8</v>
      </c>
      <c r="D49" s="350"/>
      <c r="E49" s="316"/>
      <c r="F49" s="318"/>
      <c r="G49" s="318"/>
      <c r="H49" s="316"/>
      <c r="I49" s="354">
        <f t="shared" si="8"/>
        <v>0</v>
      </c>
      <c r="J49" s="130"/>
      <c r="K49" s="324">
        <f t="shared" si="9"/>
        <v>0</v>
      </c>
      <c r="L49" s="316"/>
      <c r="M49" s="63">
        <f>TOV!$F$207</f>
        <v>10</v>
      </c>
      <c r="N49" s="356">
        <f t="shared" si="47"/>
        <v>0</v>
      </c>
      <c r="O49" s="130"/>
      <c r="P49" s="324">
        <f t="shared" si="10"/>
        <v>0</v>
      </c>
      <c r="Q49" s="316"/>
      <c r="R49" s="130"/>
      <c r="S49" s="324">
        <f t="shared" si="11"/>
        <v>0</v>
      </c>
      <c r="T49" s="37" t="s">
        <v>125</v>
      </c>
      <c r="U49" s="63">
        <f>VLOOKUP($T49,Subrates!$B$10:$C$20,Subrates!$C$5,FALSE)</f>
        <v>4.8064250364478198</v>
      </c>
      <c r="V49" s="356">
        <f t="shared" si="12"/>
        <v>0</v>
      </c>
      <c r="W49" s="316"/>
      <c r="X49" s="356">
        <f t="shared" si="13"/>
        <v>0</v>
      </c>
      <c r="Y49" s="130"/>
      <c r="Z49" s="324">
        <f t="shared" si="14"/>
        <v>0</v>
      </c>
      <c r="AA49" s="42"/>
      <c r="AB49" s="353">
        <f t="shared" si="15"/>
        <v>0</v>
      </c>
      <c r="AC49" s="316"/>
      <c r="AD49" s="353">
        <f t="shared" si="16"/>
        <v>0</v>
      </c>
      <c r="AE49" s="316"/>
      <c r="AF49" s="353">
        <f t="shared" si="17"/>
        <v>0</v>
      </c>
      <c r="AG49" s="1235"/>
      <c r="AH49" s="353">
        <f t="shared" si="18"/>
        <v>0</v>
      </c>
      <c r="AI49" s="1235"/>
      <c r="AJ49" s="353">
        <f t="shared" si="19"/>
        <v>0</v>
      </c>
      <c r="AK49" s="1235"/>
      <c r="AL49" s="353">
        <f t="shared" si="20"/>
        <v>0</v>
      </c>
      <c r="AM49" s="354">
        <f t="shared" si="40"/>
        <v>0</v>
      </c>
      <c r="AN49" s="316"/>
      <c r="AO49" s="353">
        <f t="shared" si="21"/>
        <v>0</v>
      </c>
      <c r="AP49" s="1235"/>
      <c r="AQ49" s="353">
        <f t="shared" si="22"/>
        <v>0</v>
      </c>
      <c r="AR49" s="316"/>
      <c r="AS49" s="353">
        <f t="shared" si="23"/>
        <v>0</v>
      </c>
      <c r="AT49" s="354">
        <f t="shared" si="41"/>
        <v>0</v>
      </c>
      <c r="AU49" s="316"/>
      <c r="AV49" s="353">
        <f t="shared" si="24"/>
        <v>0</v>
      </c>
      <c r="AW49" s="316"/>
      <c r="AX49" s="355">
        <f t="shared" si="25"/>
        <v>0</v>
      </c>
      <c r="AY49" s="1236" t="s">
        <v>141</v>
      </c>
      <c r="AZ49" s="316"/>
      <c r="BA49" s="63">
        <f>VLOOKUP(AY49,TOV!$E$150:$G$155,TOV_Rate_Ref-2,FALSE)</f>
        <v>2190.2566697935945</v>
      </c>
      <c r="BB49" s="27"/>
      <c r="BC49" s="357">
        <f t="shared" si="26"/>
        <v>0</v>
      </c>
      <c r="BD49" s="1236" t="s">
        <v>2431</v>
      </c>
      <c r="BE49" s="1235"/>
      <c r="BF49" s="63">
        <f>VLOOKUP(BD49,TOV!$E$156:$F$185,2,FALSE)</f>
        <v>47392.200162606387</v>
      </c>
      <c r="BG49" s="27"/>
      <c r="BH49" s="356">
        <f t="shared" si="42"/>
        <v>0</v>
      </c>
      <c r="BI49" s="1237" t="s">
        <v>1867</v>
      </c>
      <c r="BJ49" s="316"/>
      <c r="BK49" s="63">
        <f>VLOOKUP(BI49,TOV!$E$142:$F$149,2,FALSE)</f>
        <v>13.095941979156329</v>
      </c>
      <c r="BL49" s="27"/>
      <c r="BM49" s="356">
        <f t="shared" si="48"/>
        <v>0</v>
      </c>
      <c r="BN49" s="1237" t="s">
        <v>2439</v>
      </c>
      <c r="BO49" s="74"/>
      <c r="BP49" s="63">
        <f t="shared" si="27"/>
        <v>7449.6797324002691</v>
      </c>
      <c r="BQ49" s="27"/>
      <c r="BR49" s="356">
        <f t="shared" si="49"/>
        <v>0</v>
      </c>
      <c r="BS49" s="1237" t="s">
        <v>2440</v>
      </c>
      <c r="BT49" s="74"/>
      <c r="BU49" s="63">
        <f t="shared" si="28"/>
        <v>2437038.7978495578</v>
      </c>
      <c r="BV49" s="27"/>
      <c r="BW49" s="356">
        <f t="shared" si="50"/>
        <v>0</v>
      </c>
      <c r="BX49" s="316">
        <f t="shared" si="29"/>
        <v>0</v>
      </c>
      <c r="BY49" s="316">
        <f t="shared" si="30"/>
        <v>0</v>
      </c>
      <c r="BZ49" s="74"/>
      <c r="CA49" s="316"/>
      <c r="CB49" s="324">
        <f t="shared" si="31"/>
        <v>0</v>
      </c>
      <c r="CC49" s="100" t="s">
        <v>2026</v>
      </c>
      <c r="CD49" s="30" t="s">
        <v>485</v>
      </c>
      <c r="CE49" s="75" t="s">
        <v>351</v>
      </c>
      <c r="CF49" s="48" t="s">
        <v>348</v>
      </c>
      <c r="CG49" s="63">
        <f t="shared" si="32"/>
        <v>3.0953055046989575</v>
      </c>
      <c r="CH49" s="63">
        <f>VLOOKUP(CD49,Subrates!$B$128:$C$145,Subrates!$C$5,FALSE)</f>
        <v>6.9594322272236026E-2</v>
      </c>
      <c r="CI49" s="63">
        <f>Subrates!$D$122</f>
        <v>10</v>
      </c>
      <c r="CJ49" s="63">
        <f>CI49+CH49*VLOOKUP(CD49,Long_distance_values_subs,Subrates!$H$5,FALSE)</f>
        <v>13.827687724972982</v>
      </c>
      <c r="CK49" s="1240"/>
      <c r="CL49" s="356">
        <f t="shared" si="43"/>
        <v>0</v>
      </c>
      <c r="CM49" s="316"/>
      <c r="CN49" s="195" t="s">
        <v>48</v>
      </c>
      <c r="CO49" s="1096" t="str">
        <f>IF(CN49=Lists!$B$18,"N/A",VLOOKUP(CN49,Lists!$B$18:$D$26,Lists!$C$3,FALSE))</f>
        <v>N/A</v>
      </c>
      <c r="CP49" s="63">
        <f>IF(CN49=Lists!$B$18,0,VLOOKUP(CO49,Amend_TOV,TOV!$F$1,FALSE))</f>
        <v>0</v>
      </c>
      <c r="CQ49" s="27"/>
      <c r="CR49" s="316"/>
      <c r="CS49" s="195" t="s">
        <v>48</v>
      </c>
      <c r="CT49" s="1096" t="str">
        <f>IF(CS49=Lists!$B$18,"N/A",VLOOKUP(CS49,Lists!$B$18:$D$26,Lists!$C$3,FALSE))</f>
        <v>N/A</v>
      </c>
      <c r="CU49" s="63">
        <f>IF(CS49=Lists!$B$18,0,VLOOKUP(CT49,Amend_TOV,TOV!$F$1,FALSE))</f>
        <v>0</v>
      </c>
      <c r="CV49" s="27"/>
      <c r="CW49" s="316"/>
      <c r="CX49" s="195" t="s">
        <v>48</v>
      </c>
      <c r="CY49" s="1096" t="str">
        <f>IF(CX49=Lists!$B$18,"N/A",VLOOKUP(CX49,Lists!$B$18:$D$26,Lists!$C$3,FALSE))</f>
        <v>N/A</v>
      </c>
      <c r="CZ49" s="63">
        <f>IF(CX49=Lists!$B$18,0,VLOOKUP(CY49,Amend_TOV,TOV!$F$1,FALSE))</f>
        <v>0</v>
      </c>
      <c r="DA49" s="27"/>
      <c r="DB49" s="356">
        <f t="shared" si="33"/>
        <v>0</v>
      </c>
      <c r="DC49" s="316">
        <f t="shared" si="34"/>
        <v>0</v>
      </c>
      <c r="DD49" s="66">
        <v>1</v>
      </c>
      <c r="DE49" s="66">
        <v>0</v>
      </c>
      <c r="DF49" s="67">
        <f t="shared" si="35"/>
        <v>0</v>
      </c>
      <c r="DG49" s="16" t="str">
        <f t="shared" si="44"/>
        <v>No Alert</v>
      </c>
      <c r="DH49" s="358">
        <f t="shared" si="36"/>
        <v>0</v>
      </c>
      <c r="DI49" s="358">
        <f t="shared" si="37"/>
        <v>0</v>
      </c>
      <c r="DJ49" s="356">
        <f t="shared" si="38"/>
        <v>0</v>
      </c>
      <c r="DK49" s="1238"/>
      <c r="DL49" s="1238"/>
      <c r="DM49" s="1238"/>
      <c r="DN49" s="1227">
        <f t="shared" si="39"/>
        <v>0</v>
      </c>
      <c r="DO49" s="291"/>
      <c r="DP49" s="116">
        <f t="shared" si="45"/>
        <v>0</v>
      </c>
      <c r="DQ49" s="216"/>
      <c r="DX49" s="874"/>
    </row>
    <row r="50" spans="1:135" s="520" customFormat="1">
      <c r="B50" s="310"/>
      <c r="C50" s="824">
        <f t="shared" si="46"/>
        <v>9</v>
      </c>
      <c r="D50" s="350"/>
      <c r="E50" s="316"/>
      <c r="F50" s="318"/>
      <c r="G50" s="318"/>
      <c r="H50" s="316"/>
      <c r="I50" s="354">
        <f t="shared" si="8"/>
        <v>0</v>
      </c>
      <c r="J50" s="130"/>
      <c r="K50" s="324">
        <f t="shared" si="9"/>
        <v>0</v>
      </c>
      <c r="L50" s="316"/>
      <c r="M50" s="63">
        <f>TOV!$F$207</f>
        <v>10</v>
      </c>
      <c r="N50" s="356">
        <f t="shared" si="47"/>
        <v>0</v>
      </c>
      <c r="O50" s="130"/>
      <c r="P50" s="324">
        <f t="shared" si="10"/>
        <v>0</v>
      </c>
      <c r="Q50" s="316"/>
      <c r="R50" s="130"/>
      <c r="S50" s="324">
        <f t="shared" si="11"/>
        <v>0</v>
      </c>
      <c r="T50" s="37" t="s">
        <v>125</v>
      </c>
      <c r="U50" s="63">
        <f>VLOOKUP($T50,Subrates!$B$10:$C$20,Subrates!$C$5,FALSE)</f>
        <v>4.8064250364478198</v>
      </c>
      <c r="V50" s="356">
        <f t="shared" si="12"/>
        <v>0</v>
      </c>
      <c r="W50" s="316"/>
      <c r="X50" s="356">
        <f t="shared" si="13"/>
        <v>0</v>
      </c>
      <c r="Y50" s="130"/>
      <c r="Z50" s="324">
        <f t="shared" si="14"/>
        <v>0</v>
      </c>
      <c r="AA50" s="42"/>
      <c r="AB50" s="353">
        <f t="shared" si="15"/>
        <v>0</v>
      </c>
      <c r="AC50" s="316"/>
      <c r="AD50" s="353">
        <f t="shared" si="16"/>
        <v>0</v>
      </c>
      <c r="AE50" s="316"/>
      <c r="AF50" s="353">
        <f t="shared" si="17"/>
        <v>0</v>
      </c>
      <c r="AG50" s="1235"/>
      <c r="AH50" s="353">
        <f t="shared" si="18"/>
        <v>0</v>
      </c>
      <c r="AI50" s="1235"/>
      <c r="AJ50" s="353">
        <f t="shared" si="19"/>
        <v>0</v>
      </c>
      <c r="AK50" s="1235"/>
      <c r="AL50" s="353">
        <f t="shared" si="20"/>
        <v>0</v>
      </c>
      <c r="AM50" s="354">
        <f t="shared" si="40"/>
        <v>0</v>
      </c>
      <c r="AN50" s="316"/>
      <c r="AO50" s="353">
        <f t="shared" si="21"/>
        <v>0</v>
      </c>
      <c r="AP50" s="1235"/>
      <c r="AQ50" s="353">
        <f t="shared" si="22"/>
        <v>0</v>
      </c>
      <c r="AR50" s="316"/>
      <c r="AS50" s="353">
        <f t="shared" si="23"/>
        <v>0</v>
      </c>
      <c r="AT50" s="354">
        <f t="shared" si="41"/>
        <v>0</v>
      </c>
      <c r="AU50" s="316"/>
      <c r="AV50" s="353">
        <f t="shared" si="24"/>
        <v>0</v>
      </c>
      <c r="AW50" s="316"/>
      <c r="AX50" s="355">
        <f t="shared" si="25"/>
        <v>0</v>
      </c>
      <c r="AY50" s="1236" t="s">
        <v>141</v>
      </c>
      <c r="AZ50" s="316"/>
      <c r="BA50" s="63">
        <f>VLOOKUP(AY50,TOV!$E$150:$G$155,TOV_Rate_Ref-2,FALSE)</f>
        <v>2190.2566697935945</v>
      </c>
      <c r="BB50" s="27"/>
      <c r="BC50" s="357">
        <f t="shared" si="26"/>
        <v>0</v>
      </c>
      <c r="BD50" s="1236" t="s">
        <v>2431</v>
      </c>
      <c r="BE50" s="1235"/>
      <c r="BF50" s="63">
        <f>VLOOKUP(BD50,TOV!$E$156:$F$185,2,FALSE)</f>
        <v>47392.200162606387</v>
      </c>
      <c r="BG50" s="27"/>
      <c r="BH50" s="356">
        <f t="shared" si="42"/>
        <v>0</v>
      </c>
      <c r="BI50" s="1237" t="s">
        <v>1867</v>
      </c>
      <c r="BJ50" s="316"/>
      <c r="BK50" s="63">
        <f>VLOOKUP(BI50,TOV!$E$142:$F$149,2,FALSE)</f>
        <v>13.095941979156329</v>
      </c>
      <c r="BL50" s="27"/>
      <c r="BM50" s="356">
        <f t="shared" si="48"/>
        <v>0</v>
      </c>
      <c r="BN50" s="1237" t="s">
        <v>2441</v>
      </c>
      <c r="BO50" s="74"/>
      <c r="BP50" s="63">
        <f t="shared" si="27"/>
        <v>18426.03951355871</v>
      </c>
      <c r="BQ50" s="27"/>
      <c r="BR50" s="356">
        <f t="shared" si="49"/>
        <v>0</v>
      </c>
      <c r="BS50" s="1237" t="s">
        <v>2442</v>
      </c>
      <c r="BT50" s="74"/>
      <c r="BU50" s="63">
        <f t="shared" si="28"/>
        <v>4592.41978336375</v>
      </c>
      <c r="BV50" s="27"/>
      <c r="BW50" s="356">
        <f t="shared" si="50"/>
        <v>0</v>
      </c>
      <c r="BX50" s="316">
        <f t="shared" si="29"/>
        <v>0</v>
      </c>
      <c r="BY50" s="316">
        <f t="shared" si="30"/>
        <v>0</v>
      </c>
      <c r="BZ50" s="74"/>
      <c r="CA50" s="316"/>
      <c r="CB50" s="324">
        <f t="shared" si="31"/>
        <v>0</v>
      </c>
      <c r="CC50" s="100" t="s">
        <v>2026</v>
      </c>
      <c r="CD50" s="30" t="s">
        <v>485</v>
      </c>
      <c r="CE50" s="75" t="s">
        <v>351</v>
      </c>
      <c r="CF50" s="48" t="s">
        <v>348</v>
      </c>
      <c r="CG50" s="63">
        <f t="shared" si="32"/>
        <v>3.0953055046989575</v>
      </c>
      <c r="CH50" s="63">
        <f>VLOOKUP(CD50,Subrates!$B$128:$C$145,Subrates!$C$5,FALSE)</f>
        <v>6.9594322272236026E-2</v>
      </c>
      <c r="CI50" s="63">
        <f>Subrates!$D$122</f>
        <v>10</v>
      </c>
      <c r="CJ50" s="63">
        <f>CI50+CH50*VLOOKUP(CD50,Long_distance_values_subs,Subrates!$H$5,FALSE)</f>
        <v>13.827687724972982</v>
      </c>
      <c r="CK50" s="1240"/>
      <c r="CL50" s="356">
        <f t="shared" si="43"/>
        <v>0</v>
      </c>
      <c r="CM50" s="316"/>
      <c r="CN50" s="195" t="s">
        <v>48</v>
      </c>
      <c r="CO50" s="1096" t="str">
        <f>IF(CN50=Lists!$B$18,"N/A",VLOOKUP(CN50,Lists!$B$18:$D$26,Lists!$C$3,FALSE))</f>
        <v>N/A</v>
      </c>
      <c r="CP50" s="63">
        <f>IF(CN50=Lists!$B$18,0,VLOOKUP(CO50,Amend_TOV,TOV!$F$1,FALSE))</f>
        <v>0</v>
      </c>
      <c r="CQ50" s="27"/>
      <c r="CR50" s="316"/>
      <c r="CS50" s="195" t="s">
        <v>48</v>
      </c>
      <c r="CT50" s="1096" t="str">
        <f>IF(CS50=Lists!$B$18,"N/A",VLOOKUP(CS50,Lists!$B$18:$D$26,Lists!$C$3,FALSE))</f>
        <v>N/A</v>
      </c>
      <c r="CU50" s="63">
        <f>IF(CS50=Lists!$B$18,0,VLOOKUP(CT50,Amend_TOV,TOV!$F$1,FALSE))</f>
        <v>0</v>
      </c>
      <c r="CV50" s="27"/>
      <c r="CW50" s="316"/>
      <c r="CX50" s="195" t="s">
        <v>48</v>
      </c>
      <c r="CY50" s="1096" t="str">
        <f>IF(CX50=Lists!$B$18,"N/A",VLOOKUP(CX50,Lists!$B$18:$D$26,Lists!$C$3,FALSE))</f>
        <v>N/A</v>
      </c>
      <c r="CZ50" s="63">
        <f>IF(CX50=Lists!$B$18,0,VLOOKUP(CY50,Amend_TOV,TOV!$F$1,FALSE))</f>
        <v>0</v>
      </c>
      <c r="DA50" s="27"/>
      <c r="DB50" s="356">
        <f t="shared" si="33"/>
        <v>0</v>
      </c>
      <c r="DC50" s="316">
        <f t="shared" si="34"/>
        <v>0</v>
      </c>
      <c r="DD50" s="66">
        <v>1</v>
      </c>
      <c r="DE50" s="66">
        <v>0</v>
      </c>
      <c r="DF50" s="67">
        <f t="shared" si="35"/>
        <v>0</v>
      </c>
      <c r="DG50" s="16" t="str">
        <f t="shared" si="44"/>
        <v>No Alert</v>
      </c>
      <c r="DH50" s="358">
        <f t="shared" si="36"/>
        <v>0</v>
      </c>
      <c r="DI50" s="358">
        <f t="shared" si="37"/>
        <v>0</v>
      </c>
      <c r="DJ50" s="356">
        <f t="shared" si="38"/>
        <v>0</v>
      </c>
      <c r="DK50" s="1238"/>
      <c r="DL50" s="1238"/>
      <c r="DM50" s="1238"/>
      <c r="DN50" s="1227">
        <f t="shared" si="39"/>
        <v>0</v>
      </c>
      <c r="DO50" s="291"/>
      <c r="DP50" s="116">
        <f t="shared" si="45"/>
        <v>0</v>
      </c>
      <c r="DQ50" s="216"/>
      <c r="DX50" s="874"/>
    </row>
    <row r="51" spans="1:135" s="520" customFormat="1">
      <c r="B51" s="310"/>
      <c r="C51" s="824">
        <f t="shared" si="46"/>
        <v>10</v>
      </c>
      <c r="D51" s="350"/>
      <c r="E51" s="316"/>
      <c r="F51" s="318"/>
      <c r="G51" s="318"/>
      <c r="H51" s="316"/>
      <c r="I51" s="354">
        <f t="shared" si="8"/>
        <v>0</v>
      </c>
      <c r="J51" s="130"/>
      <c r="K51" s="324">
        <f t="shared" si="9"/>
        <v>0</v>
      </c>
      <c r="L51" s="316"/>
      <c r="M51" s="63">
        <f>TOV!$F$207</f>
        <v>10</v>
      </c>
      <c r="N51" s="356">
        <f>L51*M51</f>
        <v>0</v>
      </c>
      <c r="O51" s="130"/>
      <c r="P51" s="324">
        <f t="shared" si="10"/>
        <v>0</v>
      </c>
      <c r="Q51" s="316"/>
      <c r="R51" s="130"/>
      <c r="S51" s="324">
        <f t="shared" si="11"/>
        <v>0</v>
      </c>
      <c r="T51" s="37" t="s">
        <v>125</v>
      </c>
      <c r="U51" s="63">
        <f>VLOOKUP($T51,Subrates!$B$10:$C$20,Subrates!$C$5,FALSE)</f>
        <v>4.8064250364478198</v>
      </c>
      <c r="V51" s="356">
        <f t="shared" si="12"/>
        <v>0</v>
      </c>
      <c r="W51" s="316"/>
      <c r="X51" s="356">
        <f t="shared" si="13"/>
        <v>0</v>
      </c>
      <c r="Y51" s="130"/>
      <c r="Z51" s="324">
        <f t="shared" si="14"/>
        <v>0</v>
      </c>
      <c r="AA51" s="42"/>
      <c r="AB51" s="353">
        <f t="shared" si="15"/>
        <v>0</v>
      </c>
      <c r="AC51" s="316"/>
      <c r="AD51" s="353">
        <f t="shared" si="16"/>
        <v>0</v>
      </c>
      <c r="AE51" s="316"/>
      <c r="AF51" s="353">
        <f t="shared" si="17"/>
        <v>0</v>
      </c>
      <c r="AG51" s="1235"/>
      <c r="AH51" s="353">
        <f t="shared" si="18"/>
        <v>0</v>
      </c>
      <c r="AI51" s="1235"/>
      <c r="AJ51" s="353">
        <f t="shared" si="19"/>
        <v>0</v>
      </c>
      <c r="AK51" s="1235"/>
      <c r="AL51" s="353">
        <f t="shared" si="20"/>
        <v>0</v>
      </c>
      <c r="AM51" s="354">
        <f t="shared" si="40"/>
        <v>0</v>
      </c>
      <c r="AN51" s="316"/>
      <c r="AO51" s="353">
        <f t="shared" si="21"/>
        <v>0</v>
      </c>
      <c r="AP51" s="1235"/>
      <c r="AQ51" s="353">
        <f t="shared" si="22"/>
        <v>0</v>
      </c>
      <c r="AR51" s="316"/>
      <c r="AS51" s="353">
        <f t="shared" si="23"/>
        <v>0</v>
      </c>
      <c r="AT51" s="354">
        <f t="shared" si="41"/>
        <v>0</v>
      </c>
      <c r="AU51" s="316"/>
      <c r="AV51" s="353">
        <f t="shared" si="24"/>
        <v>0</v>
      </c>
      <c r="AW51" s="316"/>
      <c r="AX51" s="355">
        <f t="shared" si="25"/>
        <v>0</v>
      </c>
      <c r="AY51" s="1236" t="s">
        <v>141</v>
      </c>
      <c r="AZ51" s="316"/>
      <c r="BA51" s="63">
        <f>VLOOKUP(AY51,TOV!$E$150:$G$155,TOV_Rate_Ref-2,FALSE)</f>
        <v>2190.2566697935945</v>
      </c>
      <c r="BB51" s="27"/>
      <c r="BC51" s="357">
        <f t="shared" si="26"/>
        <v>0</v>
      </c>
      <c r="BD51" s="1236" t="s">
        <v>2431</v>
      </c>
      <c r="BE51" s="1235"/>
      <c r="BF51" s="63">
        <f>VLOOKUP(BD51,TOV!$E$156:$F$185,2,FALSE)</f>
        <v>47392.200162606387</v>
      </c>
      <c r="BG51" s="27"/>
      <c r="BH51" s="356">
        <f t="shared" si="42"/>
        <v>0</v>
      </c>
      <c r="BI51" s="1237" t="s">
        <v>1867</v>
      </c>
      <c r="BJ51" s="316"/>
      <c r="BK51" s="63">
        <f>VLOOKUP(BI51,TOV!$E$142:$F$149,2,FALSE)</f>
        <v>13.095941979156329</v>
      </c>
      <c r="BL51" s="27"/>
      <c r="BM51" s="356">
        <f>BJ51*IF(BL51="",BK51,BL51)</f>
        <v>0</v>
      </c>
      <c r="BN51" s="1237" t="s">
        <v>2443</v>
      </c>
      <c r="BO51" s="74"/>
      <c r="BP51" s="63">
        <f t="shared" si="27"/>
        <v>204470.22330721276</v>
      </c>
      <c r="BQ51" s="27"/>
      <c r="BR51" s="356">
        <f>BO51*IF(BQ51="",BP51,BQ51)</f>
        <v>0</v>
      </c>
      <c r="BS51" s="1237" t="s">
        <v>1875</v>
      </c>
      <c r="BT51" s="74"/>
      <c r="BU51" s="63">
        <f t="shared" si="28"/>
        <v>1156366.0563527015</v>
      </c>
      <c r="BV51" s="27"/>
      <c r="BW51" s="356">
        <f>BT51*IF(BV51="",BU51,BV51)</f>
        <v>0</v>
      </c>
      <c r="BX51" s="316">
        <f t="shared" si="29"/>
        <v>0</v>
      </c>
      <c r="BY51" s="316">
        <f t="shared" si="30"/>
        <v>0</v>
      </c>
      <c r="BZ51" s="74"/>
      <c r="CA51" s="316"/>
      <c r="CB51" s="324">
        <f t="shared" si="31"/>
        <v>0</v>
      </c>
      <c r="CC51" s="100" t="s">
        <v>2026</v>
      </c>
      <c r="CD51" s="30" t="s">
        <v>485</v>
      </c>
      <c r="CE51" s="75" t="s">
        <v>351</v>
      </c>
      <c r="CF51" s="48" t="s">
        <v>348</v>
      </c>
      <c r="CG51" s="63">
        <f t="shared" si="32"/>
        <v>3.0953055046989575</v>
      </c>
      <c r="CH51" s="63">
        <f>VLOOKUP(CD51,Subrates!$B$128:$C$145,Subrates!$C$5,FALSE)</f>
        <v>6.9594322272236026E-2</v>
      </c>
      <c r="CI51" s="63">
        <f>Subrates!$D$122</f>
        <v>10</v>
      </c>
      <c r="CJ51" s="63">
        <f>CI51+CH51*VLOOKUP(CD51,Long_distance_values_subs,Subrates!$H$5,FALSE)</f>
        <v>13.827687724972982</v>
      </c>
      <c r="CK51" s="1240"/>
      <c r="CL51" s="356">
        <f t="shared" si="43"/>
        <v>0</v>
      </c>
      <c r="CM51" s="316"/>
      <c r="CN51" s="195" t="s">
        <v>48</v>
      </c>
      <c r="CO51" s="1096" t="str">
        <f>IF(CN51=Lists!$B$18,"N/A",VLOOKUP(CN51,Lists!$B$18:$D$26,Lists!$C$3,FALSE))</f>
        <v>N/A</v>
      </c>
      <c r="CP51" s="63">
        <f>IF(CN51=Lists!$B$18,0,VLOOKUP(CO51,Amend_TOV,TOV!$F$1,FALSE))</f>
        <v>0</v>
      </c>
      <c r="CQ51" s="27"/>
      <c r="CR51" s="316"/>
      <c r="CS51" s="195" t="s">
        <v>48</v>
      </c>
      <c r="CT51" s="1096" t="str">
        <f>IF(CS51=Lists!$B$18,"N/A",VLOOKUP(CS51,Lists!$B$18:$D$26,Lists!$C$3,FALSE))</f>
        <v>N/A</v>
      </c>
      <c r="CU51" s="63">
        <f>IF(CS51=Lists!$B$18,0,VLOOKUP(CT51,Amend_TOV,TOV!$F$1,FALSE))</f>
        <v>0</v>
      </c>
      <c r="CV51" s="27"/>
      <c r="CW51" s="316"/>
      <c r="CX51" s="195" t="s">
        <v>48</v>
      </c>
      <c r="CY51" s="1096" t="str">
        <f>IF(CX51=Lists!$B$18,"N/A",VLOOKUP(CX51,Lists!$B$18:$D$26,Lists!$C$3,FALSE))</f>
        <v>N/A</v>
      </c>
      <c r="CZ51" s="63">
        <f>IF(CX51=Lists!$B$18,0,VLOOKUP(CY51,Amend_TOV,TOV!$F$1,FALSE))</f>
        <v>0</v>
      </c>
      <c r="DA51" s="27"/>
      <c r="DB51" s="356">
        <f t="shared" si="33"/>
        <v>0</v>
      </c>
      <c r="DC51" s="316">
        <f t="shared" si="34"/>
        <v>0</v>
      </c>
      <c r="DD51" s="66">
        <v>1</v>
      </c>
      <c r="DE51" s="66">
        <v>0</v>
      </c>
      <c r="DF51" s="67">
        <f t="shared" si="35"/>
        <v>0</v>
      </c>
      <c r="DG51" s="16" t="str">
        <f t="shared" si="44"/>
        <v>No Alert</v>
      </c>
      <c r="DH51" s="358">
        <f t="shared" si="36"/>
        <v>0</v>
      </c>
      <c r="DI51" s="358">
        <f t="shared" si="37"/>
        <v>0</v>
      </c>
      <c r="DJ51" s="356">
        <f t="shared" si="38"/>
        <v>0</v>
      </c>
      <c r="DK51" s="1238"/>
      <c r="DL51" s="1238"/>
      <c r="DM51" s="1238"/>
      <c r="DN51" s="1227">
        <f t="shared" si="39"/>
        <v>0</v>
      </c>
      <c r="DO51" s="291"/>
      <c r="DP51" s="116">
        <f t="shared" si="45"/>
        <v>0</v>
      </c>
      <c r="DQ51" s="216"/>
      <c r="DX51" s="874"/>
    </row>
    <row r="52" spans="1:135" s="520" customFormat="1" ht="18" customHeight="1">
      <c r="B52" s="913"/>
      <c r="C52" s="912"/>
      <c r="E52" s="868"/>
      <c r="F52" s="868"/>
      <c r="G52" s="868"/>
      <c r="H52" s="1153"/>
      <c r="I52" s="54"/>
      <c r="J52" s="768"/>
      <c r="K52" s="868"/>
      <c r="L52" s="1153"/>
      <c r="M52" s="54"/>
      <c r="N52" s="54"/>
      <c r="O52" s="54"/>
      <c r="P52" s="868"/>
      <c r="Q52" s="1228"/>
      <c r="R52" s="898"/>
      <c r="S52" s="898"/>
      <c r="T52" s="898"/>
      <c r="U52" s="898"/>
      <c r="V52" s="791"/>
      <c r="W52" s="898"/>
      <c r="X52" s="54"/>
      <c r="Y52" s="768"/>
      <c r="Z52" s="868"/>
      <c r="AA52" s="898"/>
      <c r="AB52" s="768"/>
      <c r="AC52" s="868"/>
      <c r="AD52" s="54"/>
      <c r="AE52" s="868"/>
      <c r="AF52" s="54"/>
      <c r="AG52" s="768"/>
      <c r="AH52" s="54"/>
      <c r="AI52" s="768"/>
      <c r="AJ52" s="54"/>
      <c r="AK52" s="768"/>
      <c r="AL52" s="54"/>
      <c r="AM52" s="54"/>
      <c r="AN52" s="868"/>
      <c r="AO52" s="54"/>
      <c r="AP52" s="768"/>
      <c r="AQ52" s="54"/>
      <c r="AR52" s="868"/>
      <c r="AS52" s="54"/>
      <c r="AT52" s="54"/>
      <c r="AU52" s="868"/>
      <c r="AV52" s="54"/>
      <c r="AW52" s="868"/>
      <c r="AX52" s="54"/>
      <c r="AY52" s="768"/>
      <c r="AZ52" s="868"/>
      <c r="BA52" s="54"/>
      <c r="BB52" s="54"/>
      <c r="BC52" s="54"/>
      <c r="BD52" s="768"/>
      <c r="BE52" s="768"/>
      <c r="BF52" s="54"/>
      <c r="BG52" s="54"/>
      <c r="BH52" s="54"/>
      <c r="BI52" s="768"/>
      <c r="BJ52" s="323"/>
      <c r="BK52" s="54"/>
      <c r="BL52" s="54"/>
      <c r="BM52" s="54"/>
      <c r="BN52" s="768"/>
      <c r="BO52" s="54"/>
      <c r="BP52" s="54"/>
      <c r="BQ52" s="54"/>
      <c r="BR52" s="54"/>
      <c r="BS52" s="768"/>
      <c r="BT52" s="54"/>
      <c r="BU52" s="54"/>
      <c r="BV52" s="54"/>
      <c r="BW52" s="54"/>
      <c r="BX52" s="323"/>
      <c r="BY52" s="323"/>
      <c r="BZ52" s="54"/>
      <c r="CA52" s="323"/>
      <c r="CB52" s="323"/>
      <c r="CC52" s="54"/>
      <c r="CD52" s="54"/>
      <c r="CL52" s="872"/>
      <c r="CM52" s="323"/>
      <c r="CN52" s="54"/>
      <c r="CO52" s="54"/>
      <c r="CP52" s="54"/>
      <c r="CQ52" s="54"/>
      <c r="CR52" s="323"/>
      <c r="CS52" s="54"/>
      <c r="CT52" s="54"/>
      <c r="CU52" s="54"/>
      <c r="CV52" s="54"/>
      <c r="CW52" s="323"/>
      <c r="CX52" s="54"/>
      <c r="CY52" s="54"/>
      <c r="CZ52" s="54"/>
      <c r="DA52" s="54"/>
      <c r="DB52" s="54"/>
      <c r="DC52" s="868"/>
      <c r="DD52" s="768"/>
      <c r="DF52" s="768"/>
      <c r="DG52" s="768"/>
      <c r="DH52" s="54"/>
      <c r="DJ52" s="54"/>
      <c r="DK52" s="768"/>
      <c r="DL52" s="768"/>
      <c r="DM52" s="768"/>
      <c r="DN52" s="54"/>
      <c r="DO52" s="791"/>
      <c r="DP52" s="791"/>
      <c r="DQ52" s="768"/>
      <c r="DV52" s="23"/>
      <c r="DW52" s="58"/>
      <c r="DZ52" s="874"/>
      <c r="EA52" s="768"/>
      <c r="EB52" s="768"/>
      <c r="EC52" s="768"/>
      <c r="ED52" s="768"/>
      <c r="EE52" s="768"/>
    </row>
    <row r="53" spans="1:135" s="520" customFormat="1" ht="16.149999999999999" customHeight="1">
      <c r="A53" s="793"/>
      <c r="C53" s="793"/>
      <c r="E53" s="1229">
        <f t="shared" ref="E53:G53" si="51">SUM(E42:E52)</f>
        <v>0</v>
      </c>
      <c r="F53" s="1229">
        <f t="shared" si="51"/>
        <v>0</v>
      </c>
      <c r="G53" s="1229">
        <f t="shared" si="51"/>
        <v>0</v>
      </c>
      <c r="H53" s="1229">
        <f>SUM(H42:H52)</f>
        <v>0</v>
      </c>
      <c r="I53" s="354">
        <f>SUM(I41:I52)</f>
        <v>0</v>
      </c>
      <c r="J53" s="734"/>
      <c r="K53" s="1229">
        <f>SUM(K42:K52)</f>
        <v>0</v>
      </c>
      <c r="L53" s="1229">
        <f>SUM(L42:L52)</f>
        <v>0</v>
      </c>
      <c r="N53" s="356">
        <f>SUM(N41:N52)</f>
        <v>0</v>
      </c>
      <c r="O53" s="734"/>
      <c r="P53" s="1229">
        <f>SUM(P42:P52)</f>
        <v>0</v>
      </c>
      <c r="Q53" s="1229">
        <f>SUM(Q42:Q52)</f>
        <v>0</v>
      </c>
      <c r="R53" s="898"/>
      <c r="S53" s="1229">
        <f t="shared" ref="S53" si="52">SUM(S42:S52)</f>
        <v>0</v>
      </c>
      <c r="U53" s="1100"/>
      <c r="V53" s="356">
        <f>SUM(V41:V52)</f>
        <v>0</v>
      </c>
      <c r="W53" s="1229">
        <f>SUM(W42:W52)</f>
        <v>0</v>
      </c>
      <c r="X53" s="356">
        <f>SUM(X41:X52)</f>
        <v>0</v>
      </c>
      <c r="Y53" s="734"/>
      <c r="Z53" s="1229">
        <f>SUM(Z42:Z52)</f>
        <v>0</v>
      </c>
      <c r="AA53" s="1230">
        <f t="shared" ref="AA53:AW53" si="53">SUM(AA42:AA52)</f>
        <v>0</v>
      </c>
      <c r="AB53" s="356">
        <f t="shared" si="53"/>
        <v>0</v>
      </c>
      <c r="AC53" s="1229">
        <f t="shared" si="53"/>
        <v>0</v>
      </c>
      <c r="AE53" s="1231">
        <f t="shared" si="53"/>
        <v>0</v>
      </c>
      <c r="AG53" s="1230">
        <f t="shared" si="53"/>
        <v>0</v>
      </c>
      <c r="AI53" s="1230">
        <f t="shared" si="53"/>
        <v>0</v>
      </c>
      <c r="AK53" s="1230">
        <f t="shared" si="53"/>
        <v>0</v>
      </c>
      <c r="AM53" s="354">
        <f>SUM(AM41:AM52)</f>
        <v>0</v>
      </c>
      <c r="AN53" s="1231">
        <f t="shared" si="53"/>
        <v>0</v>
      </c>
      <c r="AP53" s="1230">
        <f t="shared" si="53"/>
        <v>0</v>
      </c>
      <c r="AR53" s="1231">
        <f t="shared" si="53"/>
        <v>0</v>
      </c>
      <c r="AT53" s="354">
        <f>SUM(AT41:AT52)</f>
        <v>0</v>
      </c>
      <c r="AU53" s="1231">
        <f t="shared" si="53"/>
        <v>0</v>
      </c>
      <c r="AW53" s="1231">
        <f t="shared" si="53"/>
        <v>0</v>
      </c>
      <c r="AY53" s="768"/>
      <c r="AZ53" s="1231">
        <f>SUM(AZ41:AZ52)</f>
        <v>0</v>
      </c>
      <c r="BC53" s="354">
        <f>SUM(BC41:BC52)</f>
        <v>0</v>
      </c>
      <c r="BD53" s="768"/>
      <c r="BE53" s="1232">
        <f>SUM(BE41:BE52)</f>
        <v>0</v>
      </c>
      <c r="BH53" s="356">
        <f>SUM(BH41:BH52)</f>
        <v>0</v>
      </c>
      <c r="BI53" s="768"/>
      <c r="BJ53" s="1231">
        <f>SUM(BJ41:BJ52)</f>
        <v>0</v>
      </c>
      <c r="BM53" s="354">
        <f>SUM(BM41:BM52)</f>
        <v>0</v>
      </c>
      <c r="BN53" s="768"/>
      <c r="BO53" s="1232">
        <f>SUM(BO41:BO52)</f>
        <v>0</v>
      </c>
      <c r="BR53" s="356">
        <f>SUM(BR41:BR52)</f>
        <v>0</v>
      </c>
      <c r="BS53" s="768"/>
      <c r="BT53" s="1232">
        <f>SUM(BT41:BT52)</f>
        <v>0</v>
      </c>
      <c r="BW53" s="356">
        <f>SUM(BW41:BW52)</f>
        <v>0</v>
      </c>
      <c r="BX53" s="1231">
        <f>SUM(BX42:BX52)</f>
        <v>0</v>
      </c>
      <c r="BY53" s="1231">
        <f>SUM(BY42:BY52)</f>
        <v>0</v>
      </c>
      <c r="BZ53" s="54"/>
      <c r="CA53" s="1231">
        <f>SUM(CA42:CA52)</f>
        <v>0</v>
      </c>
      <c r="CL53" s="1233">
        <f>SUM(CL42:CL52)</f>
        <v>0</v>
      </c>
      <c r="CM53" s="1231">
        <f>SUM(CM42:CM52)</f>
        <v>0</v>
      </c>
      <c r="CN53" s="54"/>
      <c r="CO53" s="54"/>
      <c r="CR53" s="1231">
        <f>SUM(CR42:CR52)</f>
        <v>0</v>
      </c>
      <c r="CS53" s="54"/>
      <c r="CT53" s="54"/>
      <c r="CW53" s="1231">
        <f>SUM(CW42:CW52)</f>
        <v>0</v>
      </c>
      <c r="CX53" s="54"/>
      <c r="CY53" s="54"/>
      <c r="DB53" s="356">
        <f t="shared" ref="DB53" si="54">SUM(DB41:DB52)</f>
        <v>0</v>
      </c>
      <c r="DC53" s="1231">
        <f>SUM(DC42:DC52)</f>
        <v>0</v>
      </c>
      <c r="DD53" s="768"/>
      <c r="DF53" s="768"/>
      <c r="DG53" s="768"/>
      <c r="DJ53" s="356">
        <f t="shared" ref="DJ53:DM53" si="55">SUM(DJ41:DJ52)</f>
        <v>0</v>
      </c>
      <c r="DK53" s="356">
        <f t="shared" si="55"/>
        <v>0</v>
      </c>
      <c r="DL53" s="356">
        <f t="shared" si="55"/>
        <v>0</v>
      </c>
      <c r="DM53" s="356">
        <f t="shared" si="55"/>
        <v>0</v>
      </c>
      <c r="DN53" s="110">
        <f>SUM(DN40:DN52)</f>
        <v>0</v>
      </c>
      <c r="DO53" s="872"/>
      <c r="DP53" s="110">
        <f>SUM(DP40:DP52)</f>
        <v>0</v>
      </c>
      <c r="DQ53" s="798">
        <f>IF(E53=0,0,DP53/E53)</f>
        <v>0</v>
      </c>
      <c r="DV53" s="61"/>
      <c r="DW53" s="61"/>
    </row>
    <row r="54" spans="1:135" s="520" customFormat="1" ht="16.149999999999999" customHeight="1">
      <c r="E54" s="768"/>
      <c r="F54" s="768"/>
      <c r="G54" s="768"/>
      <c r="H54" s="768"/>
      <c r="I54" s="768"/>
      <c r="J54" s="789" t="s">
        <v>2444</v>
      </c>
      <c r="K54" s="1229">
        <f>K53*2.4</f>
        <v>0</v>
      </c>
      <c r="L54" s="768"/>
      <c r="M54" s="768"/>
      <c r="N54" s="768"/>
      <c r="O54" s="768"/>
      <c r="P54" s="898"/>
      <c r="Q54" s="768"/>
      <c r="R54" s="768"/>
      <c r="U54" s="1234"/>
      <c r="Y54" s="789" t="s">
        <v>2445</v>
      </c>
      <c r="Z54" s="1229">
        <f>Z53*Subrates!C208</f>
        <v>0</v>
      </c>
      <c r="AA54" s="768"/>
      <c r="AB54" s="768"/>
      <c r="AC54" s="768"/>
      <c r="AD54" s="768"/>
      <c r="AE54" s="768"/>
      <c r="AF54" s="768"/>
      <c r="AG54" s="768"/>
      <c r="AH54" s="768"/>
      <c r="AI54" s="768"/>
      <c r="AJ54" s="768"/>
      <c r="AK54" s="768"/>
      <c r="AL54" s="768"/>
      <c r="AN54" s="768"/>
      <c r="AO54" s="768"/>
      <c r="AP54" s="768"/>
      <c r="AQ54" s="768"/>
      <c r="AR54" s="768"/>
      <c r="AS54" s="768"/>
      <c r="AU54" s="768"/>
      <c r="AV54" s="768"/>
      <c r="AW54" s="768"/>
      <c r="AX54" s="768"/>
      <c r="AY54" s="768"/>
      <c r="AZ54" s="768"/>
      <c r="BA54" s="768"/>
      <c r="BB54" s="768"/>
      <c r="BD54" s="768"/>
      <c r="BE54" s="768"/>
      <c r="BF54" s="768"/>
      <c r="BG54" s="768"/>
      <c r="BI54" s="768"/>
      <c r="BJ54" s="768"/>
      <c r="BK54" s="768"/>
      <c r="BL54" s="768"/>
      <c r="BN54" s="768"/>
      <c r="BO54" s="768"/>
      <c r="BP54" s="768"/>
      <c r="BQ54" s="768"/>
      <c r="BS54" s="768"/>
      <c r="BT54" s="768"/>
      <c r="BU54" s="768"/>
      <c r="BV54" s="768"/>
      <c r="BX54" s="768"/>
      <c r="BY54" s="768"/>
      <c r="BZ54" s="54"/>
      <c r="CA54" s="768"/>
      <c r="CB54" s="768"/>
      <c r="CC54" s="768"/>
      <c r="CD54" s="768"/>
      <c r="CE54" s="768"/>
      <c r="CF54" s="54"/>
      <c r="CG54" s="54"/>
      <c r="CH54" s="54"/>
      <c r="CI54" s="768"/>
      <c r="CJ54" s="768"/>
      <c r="CK54" s="768"/>
      <c r="CL54" s="768"/>
      <c r="CM54" s="768"/>
      <c r="CO54" s="54"/>
      <c r="CP54" s="54"/>
      <c r="CQ54" s="768"/>
      <c r="CR54" s="768"/>
      <c r="CT54" s="54"/>
      <c r="CU54" s="54"/>
      <c r="CV54" s="768"/>
      <c r="CW54" s="768"/>
      <c r="CY54" s="768"/>
      <c r="CZ54" s="768"/>
      <c r="DA54" s="768"/>
      <c r="DB54" s="768"/>
      <c r="DC54" s="768"/>
      <c r="DD54" s="768"/>
      <c r="DE54" s="768"/>
      <c r="DF54" s="768"/>
      <c r="DH54" s="768"/>
      <c r="DK54" s="768"/>
      <c r="DL54" s="768"/>
      <c r="DM54" s="768"/>
      <c r="DP54" s="768"/>
      <c r="DQ54" s="768"/>
    </row>
    <row r="55" spans="1:135" s="520" customFormat="1" ht="16.149999999999999" customHeight="1">
      <c r="F55" s="768"/>
      <c r="G55" s="768"/>
      <c r="H55" s="768"/>
      <c r="I55" s="768"/>
      <c r="J55" s="768"/>
      <c r="K55" s="768"/>
      <c r="L55" s="768"/>
      <c r="M55" s="768"/>
      <c r="N55" s="768"/>
      <c r="O55" s="768"/>
      <c r="P55" s="768"/>
      <c r="Q55" s="768"/>
      <c r="R55" s="768"/>
      <c r="S55" s="768"/>
      <c r="U55" s="768"/>
      <c r="V55" s="768"/>
      <c r="W55" s="768"/>
      <c r="X55" s="768"/>
      <c r="Y55" s="768"/>
      <c r="Z55" s="768"/>
      <c r="AA55" s="768"/>
      <c r="AC55" s="768"/>
      <c r="AE55" s="768"/>
      <c r="AF55" s="768"/>
      <c r="AG55" s="768"/>
      <c r="AH55" s="768"/>
      <c r="AI55" s="768"/>
      <c r="AJ55" s="768"/>
      <c r="AK55" s="768"/>
      <c r="AL55" s="768"/>
      <c r="AN55" s="768"/>
      <c r="AO55" s="768"/>
      <c r="AP55" s="768"/>
      <c r="AQ55" s="768"/>
      <c r="AR55" s="768"/>
      <c r="AS55" s="768"/>
      <c r="AU55" s="768"/>
      <c r="AV55" s="768"/>
      <c r="AW55" s="768"/>
      <c r="AX55" s="768"/>
      <c r="AY55" s="768"/>
      <c r="AZ55" s="768"/>
      <c r="BA55" s="768"/>
      <c r="BB55" s="768"/>
      <c r="BC55" s="768"/>
      <c r="BD55" s="768"/>
      <c r="BE55" s="768"/>
      <c r="BF55" s="768"/>
      <c r="BG55" s="768"/>
      <c r="BH55" s="768"/>
      <c r="BI55" s="768"/>
      <c r="BJ55" s="768"/>
      <c r="BK55" s="768"/>
      <c r="BL55" s="54"/>
      <c r="BM55" s="54"/>
      <c r="BN55" s="54"/>
      <c r="BO55" s="768"/>
      <c r="BP55" s="768"/>
      <c r="BQ55" s="54"/>
      <c r="BR55" s="54"/>
      <c r="BS55" s="54"/>
      <c r="BT55" s="768"/>
      <c r="BU55" s="768"/>
      <c r="BV55" s="54"/>
      <c r="BW55" s="54"/>
      <c r="BX55" s="54"/>
      <c r="BY55" s="768"/>
      <c r="BZ55" s="768"/>
      <c r="CA55" s="768"/>
      <c r="CB55" s="768"/>
      <c r="CC55" s="768"/>
      <c r="CD55" s="768"/>
      <c r="CE55" s="768"/>
      <c r="CF55" s="54"/>
      <c r="CG55" s="54"/>
      <c r="CH55" s="54"/>
      <c r="CI55" s="768"/>
      <c r="CJ55" s="768"/>
      <c r="CQ55" s="768"/>
      <c r="CR55" s="768"/>
      <c r="CT55" s="54"/>
      <c r="CU55" s="54"/>
      <c r="CV55" s="768"/>
      <c r="CW55" s="768"/>
      <c r="CY55" s="768"/>
      <c r="CZ55" s="768"/>
      <c r="DA55" s="768"/>
      <c r="DB55" s="768"/>
      <c r="DC55" s="768"/>
      <c r="DD55" s="768"/>
      <c r="DE55" s="768"/>
      <c r="DF55" s="768"/>
      <c r="DH55" s="768"/>
      <c r="DI55" s="768"/>
      <c r="DJ55" s="768"/>
      <c r="DN55" s="768"/>
      <c r="DO55" s="768"/>
      <c r="DQ55" s="768"/>
    </row>
    <row r="56" spans="1:135" s="520" customFormat="1" ht="16.149999999999999" customHeight="1">
      <c r="B56" s="434"/>
      <c r="C56" s="1196" t="s">
        <v>2446</v>
      </c>
      <c r="E56" s="434"/>
      <c r="F56" s="434"/>
      <c r="G56" s="434"/>
      <c r="H56" s="434"/>
      <c r="I56" s="434"/>
      <c r="J56" s="434"/>
      <c r="K56" s="434"/>
      <c r="L56" s="434"/>
      <c r="M56" s="434"/>
      <c r="N56" s="768"/>
      <c r="O56" s="768"/>
      <c r="P56" s="768"/>
      <c r="Q56" s="768"/>
      <c r="R56" s="768"/>
      <c r="S56" s="768"/>
      <c r="T56" s="768"/>
      <c r="U56" s="768"/>
      <c r="V56" s="768"/>
      <c r="W56" s="768"/>
      <c r="X56" s="768"/>
      <c r="AA56" s="768"/>
      <c r="AC56" s="768"/>
      <c r="AE56" s="768"/>
      <c r="AF56" s="768"/>
      <c r="AJ56" s="768"/>
      <c r="AK56" s="768"/>
      <c r="AM56" s="768"/>
      <c r="AO56" s="768"/>
      <c r="AR56" s="768"/>
      <c r="AT56" s="768"/>
      <c r="AV56" s="768"/>
      <c r="AX56" s="768"/>
      <c r="AZ56" s="768"/>
      <c r="BB56" s="768"/>
      <c r="BH56" s="54"/>
      <c r="BL56" s="54"/>
      <c r="BQ56" s="54"/>
      <c r="BV56" s="54"/>
      <c r="CC56" s="54"/>
      <c r="CD56" s="54"/>
      <c r="CE56" s="54"/>
      <c r="CI56" s="54"/>
      <c r="CJ56" s="54"/>
      <c r="CK56" s="54"/>
      <c r="CN56" s="54"/>
      <c r="CR56" s="768"/>
      <c r="CS56" s="54"/>
      <c r="CU56" s="768"/>
      <c r="CV56" s="768"/>
      <c r="CW56" s="768"/>
      <c r="CX56" s="54"/>
      <c r="CY56" s="768"/>
      <c r="CZ56" s="768"/>
      <c r="DA56" s="768"/>
      <c r="DC56" s="768"/>
      <c r="DD56" s="768"/>
      <c r="DE56" s="768"/>
    </row>
    <row r="57" spans="1:135" s="475" customFormat="1" ht="16.149999999999999" customHeight="1">
      <c r="B57" s="286" t="s">
        <v>26</v>
      </c>
      <c r="C57" s="991" t="s">
        <v>2447</v>
      </c>
      <c r="D57" s="1225"/>
      <c r="E57" s="555" t="s">
        <v>59</v>
      </c>
      <c r="F57" s="1054">
        <f t="shared" ref="F57:L57" si="56">SUM(F59:F158)</f>
        <v>0</v>
      </c>
      <c r="G57" s="1054">
        <f t="shared" si="56"/>
        <v>0</v>
      </c>
      <c r="H57" s="1054">
        <f t="shared" si="56"/>
        <v>0</v>
      </c>
      <c r="I57" s="372">
        <f t="shared" si="56"/>
        <v>0</v>
      </c>
      <c r="J57" s="372">
        <f t="shared" si="56"/>
        <v>0</v>
      </c>
      <c r="K57" s="372">
        <f t="shared" si="56"/>
        <v>0</v>
      </c>
      <c r="L57" s="1054">
        <f t="shared" si="56"/>
        <v>0</v>
      </c>
      <c r="M57" s="1054">
        <f>SUM(M59:M158)</f>
        <v>0</v>
      </c>
      <c r="N57" s="1054">
        <f>SUM(N59:N158)</f>
        <v>0</v>
      </c>
      <c r="O57" s="1054">
        <f>SUM(O59:O158)</f>
        <v>0</v>
      </c>
      <c r="P57" s="372">
        <f t="shared" ref="P57:Q57" si="57">SUM(P59:P158)</f>
        <v>0</v>
      </c>
      <c r="Q57" s="372">
        <f t="shared" si="57"/>
        <v>0</v>
      </c>
      <c r="R57" s="474"/>
      <c r="S57" s="474"/>
      <c r="T57" s="474"/>
      <c r="U57" s="474"/>
      <c r="V57" s="474"/>
      <c r="W57" s="474"/>
      <c r="X57" s="474"/>
      <c r="AE57" s="474"/>
      <c r="AF57" s="474"/>
      <c r="AK57" s="474"/>
      <c r="AM57" s="474"/>
      <c r="AO57" s="474"/>
      <c r="AR57" s="474"/>
      <c r="AT57" s="474"/>
      <c r="AV57" s="474"/>
      <c r="AX57" s="474"/>
      <c r="AZ57" s="474"/>
      <c r="BD57" s="520"/>
      <c r="BF57" s="474"/>
      <c r="BG57" s="474"/>
      <c r="BH57" s="474"/>
      <c r="BJ57" s="474"/>
      <c r="BK57" s="474"/>
      <c r="BL57" s="474"/>
      <c r="BO57" s="474"/>
      <c r="BP57" s="474"/>
      <c r="BQ57" s="474"/>
      <c r="BT57" s="474"/>
      <c r="BU57" s="474"/>
      <c r="BV57" s="474"/>
      <c r="BZ57" s="474"/>
      <c r="CA57" s="474"/>
      <c r="CB57" s="474"/>
      <c r="CC57" s="474"/>
      <c r="CD57" s="474"/>
      <c r="CE57" s="474"/>
      <c r="CH57" s="474"/>
      <c r="CI57" s="474"/>
      <c r="CJ57" s="474"/>
      <c r="CK57" s="474"/>
      <c r="CN57" s="474"/>
      <c r="CS57" s="474"/>
      <c r="CV57" s="474"/>
      <c r="CX57" s="474"/>
      <c r="DO57" s="1105"/>
    </row>
    <row r="58" spans="1:135" s="475" customFormat="1" ht="16.149999999999999" customHeight="1">
      <c r="B58" s="774" t="s">
        <v>1517</v>
      </c>
      <c r="C58" s="773" t="s">
        <v>27</v>
      </c>
      <c r="D58" s="773" t="s">
        <v>2448</v>
      </c>
      <c r="E58" s="773" t="s">
        <v>77</v>
      </c>
      <c r="F58" s="1056" t="s">
        <v>2449</v>
      </c>
      <c r="G58" s="1056" t="s">
        <v>255</v>
      </c>
      <c r="H58" s="1056" t="s">
        <v>2383</v>
      </c>
      <c r="I58" s="1056" t="s">
        <v>2450</v>
      </c>
      <c r="J58" s="1056" t="s">
        <v>2451</v>
      </c>
      <c r="K58" s="1056" t="s">
        <v>2452</v>
      </c>
      <c r="L58" s="1056" t="s">
        <v>137</v>
      </c>
      <c r="M58" s="1056" t="s">
        <v>127</v>
      </c>
      <c r="N58" s="1056" t="s">
        <v>251</v>
      </c>
      <c r="O58" s="1056" t="s">
        <v>177</v>
      </c>
      <c r="P58" s="1056" t="s">
        <v>252</v>
      </c>
      <c r="Q58" s="1056"/>
      <c r="R58" s="474"/>
      <c r="S58" s="474"/>
      <c r="T58" s="474"/>
      <c r="U58" s="474"/>
      <c r="V58" s="474"/>
      <c r="W58" s="474"/>
      <c r="AF58" s="474"/>
      <c r="AX58" s="474"/>
      <c r="AZ58" s="474"/>
      <c r="BB58" s="474"/>
      <c r="BC58" s="474"/>
      <c r="BI58" s="474"/>
    </row>
    <row r="59" spans="1:135" s="475" customFormat="1">
      <c r="B59" s="434"/>
      <c r="C59" s="434"/>
      <c r="E59" s="434"/>
      <c r="F59" s="434"/>
      <c r="G59" s="434"/>
      <c r="H59" s="434"/>
      <c r="I59" s="434"/>
      <c r="J59" s="434"/>
      <c r="K59" s="434"/>
      <c r="L59" s="434"/>
      <c r="M59" s="434"/>
      <c r="N59" s="434"/>
      <c r="O59" s="434"/>
      <c r="P59" s="434"/>
      <c r="Q59" s="434"/>
      <c r="R59" s="474"/>
      <c r="S59" s="474"/>
      <c r="T59" s="474"/>
      <c r="U59" s="474"/>
      <c r="V59" s="474"/>
      <c r="X59" s="474"/>
      <c r="AE59" s="474"/>
      <c r="AM59" s="474"/>
      <c r="AO59" s="474"/>
      <c r="AR59" s="474"/>
      <c r="AT59" s="474"/>
      <c r="AV59" s="474"/>
      <c r="AX59" s="474"/>
      <c r="AZ59" s="474"/>
      <c r="BB59" s="474"/>
    </row>
    <row r="60" spans="1:135" s="475" customFormat="1">
      <c r="B60" s="306"/>
      <c r="C60" s="950">
        <v>1</v>
      </c>
      <c r="D60" s="172"/>
      <c r="E60" s="1239"/>
      <c r="F60" s="28"/>
      <c r="G60" s="28"/>
      <c r="H60" s="28"/>
      <c r="I60" s="359"/>
      <c r="J60" s="359"/>
      <c r="K60" s="359"/>
      <c r="L60" s="28"/>
      <c r="M60" s="360"/>
      <c r="N60" s="360"/>
      <c r="O60" s="360"/>
      <c r="P60" s="94"/>
      <c r="Q60" s="94"/>
      <c r="R60" s="474"/>
      <c r="S60" s="474"/>
      <c r="T60" s="474"/>
      <c r="U60" s="474"/>
      <c r="V60" s="474"/>
      <c r="W60" s="474"/>
      <c r="AK60" s="474"/>
      <c r="AM60" s="474"/>
      <c r="AO60" s="474"/>
      <c r="AR60" s="474"/>
      <c r="AT60" s="474"/>
      <c r="AV60" s="474"/>
      <c r="AX60" s="474"/>
      <c r="AZ60" s="474"/>
      <c r="BB60" s="474"/>
    </row>
    <row r="61" spans="1:135" s="475" customFormat="1">
      <c r="B61" s="306"/>
      <c r="C61" s="950">
        <f t="shared" ref="C61:C92" si="58">C60+1</f>
        <v>2</v>
      </c>
      <c r="D61" s="172"/>
      <c r="E61" s="1239"/>
      <c r="F61" s="28"/>
      <c r="G61" s="28"/>
      <c r="H61" s="28"/>
      <c r="I61" s="359"/>
      <c r="J61" s="359"/>
      <c r="K61" s="359"/>
      <c r="L61" s="28"/>
      <c r="M61" s="360"/>
      <c r="N61" s="360"/>
      <c r="O61" s="360"/>
      <c r="P61" s="94"/>
      <c r="Q61" s="94"/>
      <c r="R61" s="474"/>
      <c r="S61" s="474"/>
      <c r="T61" s="474"/>
      <c r="U61" s="474"/>
      <c r="V61" s="474"/>
      <c r="W61" s="474"/>
      <c r="AK61" s="474"/>
      <c r="AM61" s="474"/>
      <c r="AO61" s="474"/>
      <c r="AR61" s="474"/>
      <c r="AT61" s="474"/>
      <c r="AV61" s="474"/>
      <c r="AX61" s="474"/>
      <c r="AZ61" s="474"/>
      <c r="BB61" s="474"/>
    </row>
    <row r="62" spans="1:135" s="475" customFormat="1">
      <c r="B62" s="306"/>
      <c r="C62" s="950">
        <f t="shared" si="58"/>
        <v>3</v>
      </c>
      <c r="D62" s="172"/>
      <c r="E62" s="1239"/>
      <c r="F62" s="28"/>
      <c r="G62" s="28"/>
      <c r="H62" s="28"/>
      <c r="I62" s="359"/>
      <c r="J62" s="359"/>
      <c r="K62" s="359"/>
      <c r="L62" s="28"/>
      <c r="M62" s="360"/>
      <c r="N62" s="360"/>
      <c r="O62" s="360"/>
      <c r="P62" s="94"/>
      <c r="Q62" s="94"/>
      <c r="R62" s="474"/>
      <c r="S62" s="474"/>
      <c r="T62" s="474"/>
      <c r="U62" s="474"/>
      <c r="V62" s="768"/>
      <c r="W62" s="474"/>
      <c r="AK62" s="474"/>
      <c r="AM62" s="474"/>
      <c r="AO62" s="474"/>
      <c r="AR62" s="474"/>
      <c r="AT62" s="474"/>
      <c r="AV62" s="474"/>
      <c r="AX62" s="474"/>
      <c r="AZ62" s="474"/>
    </row>
    <row r="63" spans="1:135" s="475" customFormat="1">
      <c r="B63" s="306"/>
      <c r="C63" s="950">
        <f t="shared" si="58"/>
        <v>4</v>
      </c>
      <c r="D63" s="172"/>
      <c r="E63" s="1239"/>
      <c r="F63" s="28"/>
      <c r="G63" s="28"/>
      <c r="H63" s="28"/>
      <c r="I63" s="359"/>
      <c r="J63" s="359"/>
      <c r="K63" s="359"/>
      <c r="L63" s="28"/>
      <c r="M63" s="360"/>
      <c r="N63" s="360"/>
      <c r="O63" s="360"/>
      <c r="P63" s="94"/>
      <c r="Q63" s="94"/>
      <c r="R63" s="474"/>
      <c r="S63" s="474"/>
      <c r="T63" s="474"/>
      <c r="U63" s="474"/>
      <c r="V63" s="768"/>
      <c r="W63" s="474"/>
      <c r="AK63" s="474"/>
      <c r="AM63" s="474"/>
      <c r="AO63" s="474"/>
      <c r="AR63" s="474"/>
      <c r="AT63" s="474"/>
      <c r="AV63" s="474"/>
      <c r="AX63" s="474"/>
      <c r="AZ63" s="474"/>
    </row>
    <row r="64" spans="1:135" s="475" customFormat="1">
      <c r="B64" s="306"/>
      <c r="C64" s="950">
        <f t="shared" si="58"/>
        <v>5</v>
      </c>
      <c r="D64" s="172"/>
      <c r="E64" s="1239"/>
      <c r="F64" s="28"/>
      <c r="G64" s="28"/>
      <c r="H64" s="28"/>
      <c r="I64" s="359"/>
      <c r="J64" s="359"/>
      <c r="K64" s="359"/>
      <c r="L64" s="28"/>
      <c r="M64" s="360"/>
      <c r="N64" s="360"/>
      <c r="O64" s="360"/>
      <c r="P64" s="94"/>
      <c r="Q64" s="94"/>
      <c r="R64" s="474"/>
      <c r="S64" s="474"/>
      <c r="T64" s="474"/>
      <c r="U64" s="474"/>
      <c r="V64" s="768"/>
      <c r="W64" s="474"/>
      <c r="AK64" s="474"/>
      <c r="AM64" s="474"/>
      <c r="AO64" s="474"/>
      <c r="AR64" s="474"/>
      <c r="AT64" s="474"/>
      <c r="AV64" s="474"/>
      <c r="AX64" s="474"/>
      <c r="AZ64" s="474"/>
    </row>
    <row r="65" spans="2:52" s="475" customFormat="1">
      <c r="B65" s="306"/>
      <c r="C65" s="950">
        <f t="shared" si="58"/>
        <v>6</v>
      </c>
      <c r="D65" s="172"/>
      <c r="E65" s="1239"/>
      <c r="F65" s="28"/>
      <c r="G65" s="28"/>
      <c r="H65" s="28"/>
      <c r="I65" s="359"/>
      <c r="J65" s="359"/>
      <c r="K65" s="359"/>
      <c r="L65" s="28"/>
      <c r="M65" s="360"/>
      <c r="N65" s="360"/>
      <c r="O65" s="360"/>
      <c r="P65" s="94"/>
      <c r="Q65" s="94"/>
      <c r="R65" s="474"/>
      <c r="S65" s="474"/>
      <c r="T65" s="474"/>
      <c r="U65" s="474"/>
      <c r="W65" s="474"/>
      <c r="AK65" s="474"/>
      <c r="AM65" s="474"/>
      <c r="AO65" s="474"/>
      <c r="AR65" s="474"/>
      <c r="AT65" s="474"/>
      <c r="AV65" s="474"/>
      <c r="AX65" s="474"/>
      <c r="AZ65" s="474"/>
    </row>
    <row r="66" spans="2:52" s="475" customFormat="1">
      <c r="B66" s="306"/>
      <c r="C66" s="950">
        <f t="shared" si="58"/>
        <v>7</v>
      </c>
      <c r="D66" s="172"/>
      <c r="E66" s="1239"/>
      <c r="F66" s="28"/>
      <c r="G66" s="28"/>
      <c r="H66" s="28"/>
      <c r="I66" s="359"/>
      <c r="J66" s="359"/>
      <c r="K66" s="359"/>
      <c r="L66" s="28"/>
      <c r="M66" s="360"/>
      <c r="N66" s="360"/>
      <c r="O66" s="360"/>
      <c r="P66" s="94"/>
      <c r="Q66" s="94"/>
      <c r="R66" s="474"/>
      <c r="S66" s="474"/>
      <c r="T66" s="474"/>
      <c r="U66" s="474"/>
      <c r="W66" s="474"/>
      <c r="AK66" s="474"/>
      <c r="AM66" s="474"/>
      <c r="AO66" s="474"/>
      <c r="AR66" s="474"/>
      <c r="AT66" s="474"/>
      <c r="AV66" s="474"/>
      <c r="AX66" s="474"/>
      <c r="AZ66" s="474"/>
    </row>
    <row r="67" spans="2:52" s="475" customFormat="1">
      <c r="B67" s="306"/>
      <c r="C67" s="950">
        <f t="shared" si="58"/>
        <v>8</v>
      </c>
      <c r="D67" s="172"/>
      <c r="E67" s="1239"/>
      <c r="F67" s="28"/>
      <c r="G67" s="28"/>
      <c r="H67" s="28"/>
      <c r="I67" s="359"/>
      <c r="J67" s="359"/>
      <c r="K67" s="359"/>
      <c r="L67" s="28"/>
      <c r="M67" s="360"/>
      <c r="N67" s="360"/>
      <c r="O67" s="360"/>
      <c r="P67" s="94"/>
      <c r="Q67" s="94"/>
      <c r="R67" s="474"/>
      <c r="S67" s="474"/>
      <c r="T67" s="474"/>
      <c r="U67" s="474"/>
      <c r="W67" s="474"/>
      <c r="AK67" s="474"/>
      <c r="AM67" s="474"/>
      <c r="AO67" s="474"/>
      <c r="AR67" s="474"/>
      <c r="AT67" s="474"/>
      <c r="AV67" s="474"/>
      <c r="AX67" s="474"/>
      <c r="AZ67" s="474"/>
    </row>
    <row r="68" spans="2:52" s="475" customFormat="1">
      <c r="B68" s="306"/>
      <c r="C68" s="950">
        <f t="shared" si="58"/>
        <v>9</v>
      </c>
      <c r="D68" s="172"/>
      <c r="E68" s="1239"/>
      <c r="F68" s="28"/>
      <c r="G68" s="28"/>
      <c r="H68" s="28"/>
      <c r="I68" s="359"/>
      <c r="J68" s="359"/>
      <c r="K68" s="359"/>
      <c r="L68" s="28"/>
      <c r="M68" s="360"/>
      <c r="N68" s="360"/>
      <c r="O68" s="360"/>
      <c r="P68" s="94"/>
      <c r="Q68" s="94"/>
      <c r="R68" s="474"/>
      <c r="S68" s="474"/>
      <c r="T68" s="474"/>
      <c r="U68" s="474"/>
      <c r="W68" s="474"/>
      <c r="AK68" s="474"/>
      <c r="AM68" s="474"/>
      <c r="AO68" s="474"/>
      <c r="AR68" s="474"/>
      <c r="AT68" s="474"/>
      <c r="AV68" s="474"/>
      <c r="AX68" s="474"/>
      <c r="AZ68" s="474"/>
    </row>
    <row r="69" spans="2:52" s="475" customFormat="1">
      <c r="B69" s="306"/>
      <c r="C69" s="950">
        <f t="shared" si="58"/>
        <v>10</v>
      </c>
      <c r="D69" s="172"/>
      <c r="E69" s="1239"/>
      <c r="F69" s="28"/>
      <c r="G69" s="28"/>
      <c r="H69" s="28"/>
      <c r="I69" s="359"/>
      <c r="J69" s="359"/>
      <c r="K69" s="359"/>
      <c r="L69" s="28"/>
      <c r="M69" s="360"/>
      <c r="N69" s="360"/>
      <c r="O69" s="360"/>
      <c r="P69" s="94"/>
      <c r="Q69" s="94"/>
      <c r="R69" s="474"/>
      <c r="S69" s="474"/>
      <c r="T69" s="474"/>
      <c r="U69" s="474"/>
      <c r="W69" s="474"/>
      <c r="AK69" s="474"/>
      <c r="AM69" s="474"/>
      <c r="AO69" s="474"/>
      <c r="AR69" s="474"/>
      <c r="AT69" s="474"/>
      <c r="AV69" s="474"/>
      <c r="AX69" s="474"/>
      <c r="AZ69" s="474"/>
    </row>
    <row r="70" spans="2:52" s="475" customFormat="1">
      <c r="B70" s="306"/>
      <c r="C70" s="950">
        <f t="shared" si="58"/>
        <v>11</v>
      </c>
      <c r="D70" s="172"/>
      <c r="E70" s="1239"/>
      <c r="F70" s="28"/>
      <c r="G70" s="28"/>
      <c r="H70" s="28"/>
      <c r="I70" s="359"/>
      <c r="J70" s="359"/>
      <c r="K70" s="359"/>
      <c r="L70" s="28"/>
      <c r="M70" s="360"/>
      <c r="N70" s="360"/>
      <c r="O70" s="360"/>
      <c r="P70" s="94"/>
      <c r="Q70" s="94"/>
      <c r="R70" s="474"/>
      <c r="S70" s="474"/>
      <c r="T70" s="474"/>
      <c r="U70" s="474"/>
      <c r="W70" s="474"/>
      <c r="AK70" s="474"/>
      <c r="AM70" s="474"/>
      <c r="AO70" s="474"/>
      <c r="AR70" s="474"/>
      <c r="AT70" s="474"/>
      <c r="AV70" s="474"/>
      <c r="AX70" s="474"/>
      <c r="AZ70" s="474"/>
    </row>
    <row r="71" spans="2:52" s="475" customFormat="1">
      <c r="B71" s="306"/>
      <c r="C71" s="950">
        <f t="shared" si="58"/>
        <v>12</v>
      </c>
      <c r="D71" s="172"/>
      <c r="E71" s="1239"/>
      <c r="F71" s="28"/>
      <c r="G71" s="28"/>
      <c r="H71" s="28"/>
      <c r="I71" s="359"/>
      <c r="J71" s="359"/>
      <c r="K71" s="359"/>
      <c r="L71" s="28"/>
      <c r="M71" s="360"/>
      <c r="N71" s="360"/>
      <c r="O71" s="360"/>
      <c r="P71" s="94"/>
      <c r="Q71" s="94"/>
      <c r="R71" s="474"/>
      <c r="S71" s="474"/>
      <c r="T71" s="474"/>
      <c r="U71" s="474"/>
      <c r="W71" s="474"/>
      <c r="AK71" s="474"/>
      <c r="AM71" s="474"/>
      <c r="AO71" s="474"/>
      <c r="AR71" s="474"/>
      <c r="AT71" s="474"/>
      <c r="AV71" s="474"/>
      <c r="AX71" s="474"/>
      <c r="AZ71" s="474"/>
    </row>
    <row r="72" spans="2:52" s="475" customFormat="1">
      <c r="B72" s="306"/>
      <c r="C72" s="950">
        <f t="shared" si="58"/>
        <v>13</v>
      </c>
      <c r="D72" s="172"/>
      <c r="E72" s="1239"/>
      <c r="F72" s="28"/>
      <c r="G72" s="28"/>
      <c r="H72" s="28"/>
      <c r="I72" s="359"/>
      <c r="J72" s="359"/>
      <c r="K72" s="359"/>
      <c r="L72" s="28"/>
      <c r="M72" s="360"/>
      <c r="N72" s="360"/>
      <c r="O72" s="360"/>
      <c r="P72" s="94"/>
      <c r="Q72" s="94"/>
      <c r="R72" s="474"/>
      <c r="S72" s="474"/>
      <c r="T72" s="474"/>
      <c r="U72" s="474"/>
      <c r="W72" s="474"/>
      <c r="AK72" s="474"/>
      <c r="AM72" s="474"/>
      <c r="AO72" s="474"/>
      <c r="AR72" s="474"/>
      <c r="AT72" s="474"/>
      <c r="AV72" s="474"/>
      <c r="AX72" s="474"/>
      <c r="AZ72" s="474"/>
    </row>
    <row r="73" spans="2:52" s="475" customFormat="1">
      <c r="B73" s="306"/>
      <c r="C73" s="950">
        <f t="shared" si="58"/>
        <v>14</v>
      </c>
      <c r="D73" s="172"/>
      <c r="E73" s="1239"/>
      <c r="F73" s="28"/>
      <c r="G73" s="28"/>
      <c r="H73" s="28"/>
      <c r="I73" s="359"/>
      <c r="J73" s="359"/>
      <c r="K73" s="359"/>
      <c r="L73" s="28"/>
      <c r="M73" s="360"/>
      <c r="N73" s="360"/>
      <c r="O73" s="360"/>
      <c r="P73" s="94"/>
      <c r="Q73" s="94"/>
      <c r="R73" s="474"/>
      <c r="S73" s="474"/>
      <c r="T73" s="474"/>
      <c r="U73" s="474"/>
      <c r="W73" s="474"/>
      <c r="AK73" s="474"/>
      <c r="AM73" s="474"/>
      <c r="AO73" s="474"/>
      <c r="AR73" s="474"/>
      <c r="AT73" s="474"/>
      <c r="AV73" s="474"/>
      <c r="AX73" s="474"/>
      <c r="AZ73" s="474"/>
    </row>
    <row r="74" spans="2:52" s="475" customFormat="1">
      <c r="B74" s="306"/>
      <c r="C74" s="950">
        <f t="shared" si="58"/>
        <v>15</v>
      </c>
      <c r="D74" s="172"/>
      <c r="E74" s="1239"/>
      <c r="F74" s="28"/>
      <c r="G74" s="28"/>
      <c r="H74" s="28"/>
      <c r="I74" s="359"/>
      <c r="J74" s="359"/>
      <c r="K74" s="359"/>
      <c r="L74" s="28"/>
      <c r="M74" s="360"/>
      <c r="N74" s="360"/>
      <c r="O74" s="360"/>
      <c r="P74" s="94"/>
      <c r="Q74" s="94"/>
      <c r="R74" s="474"/>
      <c r="S74" s="474"/>
      <c r="T74" s="474"/>
      <c r="U74" s="474"/>
      <c r="V74" s="520"/>
      <c r="W74" s="474"/>
      <c r="AK74" s="474"/>
      <c r="AM74" s="474"/>
      <c r="AO74" s="474"/>
      <c r="AR74" s="474"/>
      <c r="AT74" s="474"/>
      <c r="AV74" s="474"/>
      <c r="AX74" s="474"/>
      <c r="AZ74" s="474"/>
    </row>
    <row r="75" spans="2:52" s="475" customFormat="1">
      <c r="B75" s="306"/>
      <c r="C75" s="950">
        <f t="shared" si="58"/>
        <v>16</v>
      </c>
      <c r="D75" s="172"/>
      <c r="E75" s="1239"/>
      <c r="F75" s="28"/>
      <c r="G75" s="28"/>
      <c r="H75" s="28"/>
      <c r="I75" s="359"/>
      <c r="J75" s="359"/>
      <c r="K75" s="359"/>
      <c r="L75" s="28"/>
      <c r="M75" s="360"/>
      <c r="N75" s="360"/>
      <c r="O75" s="360"/>
      <c r="P75" s="94"/>
      <c r="Q75" s="94"/>
      <c r="R75" s="474"/>
      <c r="S75" s="474"/>
      <c r="T75" s="474"/>
      <c r="U75" s="474"/>
      <c r="V75" s="768"/>
      <c r="W75" s="474"/>
      <c r="AK75" s="474"/>
      <c r="AM75" s="474"/>
      <c r="AO75" s="474"/>
      <c r="AR75" s="474"/>
      <c r="AT75" s="474"/>
      <c r="AV75" s="474"/>
      <c r="AX75" s="474"/>
      <c r="AZ75" s="474"/>
    </row>
    <row r="76" spans="2:52" s="475" customFormat="1">
      <c r="B76" s="306"/>
      <c r="C76" s="950">
        <f t="shared" si="58"/>
        <v>17</v>
      </c>
      <c r="D76" s="172"/>
      <c r="E76" s="1239"/>
      <c r="F76" s="28"/>
      <c r="G76" s="28"/>
      <c r="H76" s="28"/>
      <c r="I76" s="359"/>
      <c r="J76" s="359"/>
      <c r="K76" s="359"/>
      <c r="L76" s="28"/>
      <c r="M76" s="360"/>
      <c r="N76" s="360"/>
      <c r="O76" s="360"/>
      <c r="P76" s="94"/>
      <c r="Q76" s="94"/>
      <c r="R76" s="474"/>
      <c r="S76" s="474"/>
      <c r="T76" s="474"/>
      <c r="U76" s="474"/>
      <c r="V76" s="474"/>
      <c r="W76" s="474"/>
      <c r="AK76" s="474"/>
      <c r="AM76" s="474"/>
      <c r="AO76" s="474"/>
      <c r="AR76" s="474"/>
      <c r="AT76" s="474"/>
      <c r="AV76" s="474"/>
      <c r="AX76" s="474"/>
      <c r="AZ76" s="474"/>
    </row>
    <row r="77" spans="2:52" s="475" customFormat="1">
      <c r="B77" s="306"/>
      <c r="C77" s="950">
        <f t="shared" si="58"/>
        <v>18</v>
      </c>
      <c r="D77" s="172"/>
      <c r="E77" s="1239"/>
      <c r="F77" s="28"/>
      <c r="G77" s="28"/>
      <c r="H77" s="28"/>
      <c r="I77" s="359"/>
      <c r="J77" s="359"/>
      <c r="K77" s="359"/>
      <c r="L77" s="28"/>
      <c r="M77" s="360"/>
      <c r="N77" s="360"/>
      <c r="O77" s="360"/>
      <c r="P77" s="94"/>
      <c r="Q77" s="94"/>
      <c r="R77" s="474"/>
      <c r="S77" s="474"/>
      <c r="T77" s="474"/>
      <c r="U77" s="474"/>
      <c r="V77" s="474"/>
      <c r="W77" s="474"/>
      <c r="AK77" s="474"/>
      <c r="AM77" s="474"/>
      <c r="AO77" s="474"/>
      <c r="AR77" s="474"/>
      <c r="AT77" s="474"/>
      <c r="AV77" s="474"/>
      <c r="AX77" s="474"/>
      <c r="AZ77" s="474"/>
    </row>
    <row r="78" spans="2:52" s="475" customFormat="1">
      <c r="B78" s="306"/>
      <c r="C78" s="950">
        <f t="shared" si="58"/>
        <v>19</v>
      </c>
      <c r="D78" s="172"/>
      <c r="E78" s="1239"/>
      <c r="F78" s="28"/>
      <c r="G78" s="28"/>
      <c r="H78" s="28"/>
      <c r="I78" s="359"/>
      <c r="J78" s="359"/>
      <c r="K78" s="359"/>
      <c r="L78" s="28"/>
      <c r="M78" s="360"/>
      <c r="N78" s="360"/>
      <c r="O78" s="360"/>
      <c r="P78" s="94"/>
      <c r="Q78" s="94"/>
      <c r="R78" s="474"/>
      <c r="S78" s="474"/>
      <c r="T78" s="474"/>
      <c r="U78" s="474"/>
      <c r="V78" s="474"/>
      <c r="W78" s="474"/>
      <c r="AK78" s="474"/>
      <c r="AM78" s="474"/>
      <c r="AO78" s="474"/>
      <c r="AR78" s="474"/>
      <c r="AT78" s="474"/>
      <c r="AV78" s="474"/>
      <c r="AX78" s="474"/>
      <c r="AZ78" s="474"/>
    </row>
    <row r="79" spans="2:52" s="475" customFormat="1">
      <c r="B79" s="306"/>
      <c r="C79" s="950">
        <f t="shared" si="58"/>
        <v>20</v>
      </c>
      <c r="D79" s="172"/>
      <c r="E79" s="1239"/>
      <c r="F79" s="28"/>
      <c r="G79" s="28"/>
      <c r="H79" s="28"/>
      <c r="I79" s="359"/>
      <c r="J79" s="359"/>
      <c r="K79" s="359"/>
      <c r="L79" s="28"/>
      <c r="M79" s="360"/>
      <c r="N79" s="360"/>
      <c r="O79" s="360"/>
      <c r="P79" s="94"/>
      <c r="Q79" s="94"/>
      <c r="R79" s="474"/>
      <c r="S79" s="474"/>
      <c r="T79" s="474"/>
      <c r="U79" s="474"/>
      <c r="V79" s="474"/>
      <c r="W79" s="474"/>
      <c r="AK79" s="474"/>
      <c r="AM79" s="474"/>
      <c r="AO79" s="474"/>
      <c r="AR79" s="474"/>
      <c r="AT79" s="474"/>
      <c r="AV79" s="474"/>
      <c r="AX79" s="474"/>
      <c r="AZ79" s="474"/>
    </row>
    <row r="80" spans="2:52" s="475" customFormat="1">
      <c r="B80" s="306"/>
      <c r="C80" s="950">
        <f t="shared" si="58"/>
        <v>21</v>
      </c>
      <c r="D80" s="172"/>
      <c r="E80" s="1239"/>
      <c r="F80" s="28"/>
      <c r="G80" s="28"/>
      <c r="H80" s="28"/>
      <c r="I80" s="359"/>
      <c r="J80" s="359"/>
      <c r="K80" s="359"/>
      <c r="L80" s="28"/>
      <c r="M80" s="360"/>
      <c r="N80" s="360"/>
      <c r="O80" s="360"/>
      <c r="P80" s="94"/>
      <c r="Q80" s="94"/>
      <c r="R80" s="474"/>
      <c r="S80" s="474"/>
      <c r="T80" s="474"/>
      <c r="U80" s="474"/>
      <c r="V80" s="474"/>
      <c r="W80" s="474"/>
      <c r="AK80" s="474"/>
      <c r="AM80" s="474"/>
      <c r="AO80" s="474"/>
      <c r="AR80" s="474"/>
      <c r="AT80" s="474"/>
      <c r="AV80" s="474"/>
      <c r="AX80" s="474"/>
      <c r="AZ80" s="474"/>
    </row>
    <row r="81" spans="2:52" s="475" customFormat="1">
      <c r="B81" s="306"/>
      <c r="C81" s="950">
        <f t="shared" si="58"/>
        <v>22</v>
      </c>
      <c r="D81" s="172"/>
      <c r="E81" s="1239"/>
      <c r="F81" s="28"/>
      <c r="G81" s="28"/>
      <c r="H81" s="28"/>
      <c r="I81" s="359"/>
      <c r="J81" s="359"/>
      <c r="K81" s="359"/>
      <c r="L81" s="28"/>
      <c r="M81" s="360"/>
      <c r="N81" s="360"/>
      <c r="O81" s="360"/>
      <c r="P81" s="94"/>
      <c r="Q81" s="94"/>
      <c r="R81" s="474"/>
      <c r="S81" s="474"/>
      <c r="T81" s="474"/>
      <c r="U81" s="474"/>
      <c r="V81" s="474"/>
      <c r="W81" s="474"/>
      <c r="AK81" s="474"/>
      <c r="AM81" s="474"/>
      <c r="AO81" s="474"/>
      <c r="AR81" s="474"/>
      <c r="AT81" s="474"/>
      <c r="AV81" s="474"/>
      <c r="AX81" s="474"/>
      <c r="AZ81" s="474"/>
    </row>
    <row r="82" spans="2:52" s="475" customFormat="1">
      <c r="B82" s="306"/>
      <c r="C82" s="950">
        <f t="shared" si="58"/>
        <v>23</v>
      </c>
      <c r="D82" s="172"/>
      <c r="E82" s="1239"/>
      <c r="F82" s="28"/>
      <c r="G82" s="28"/>
      <c r="H82" s="28"/>
      <c r="I82" s="359"/>
      <c r="J82" s="359"/>
      <c r="K82" s="359"/>
      <c r="L82" s="28"/>
      <c r="M82" s="360"/>
      <c r="N82" s="360"/>
      <c r="O82" s="360"/>
      <c r="P82" s="94"/>
      <c r="Q82" s="94"/>
      <c r="R82" s="474"/>
      <c r="S82" s="474"/>
      <c r="T82" s="474"/>
      <c r="U82" s="474"/>
      <c r="V82" s="474"/>
      <c r="W82" s="474"/>
      <c r="AK82" s="474"/>
      <c r="AM82" s="474"/>
      <c r="AO82" s="474"/>
      <c r="AR82" s="474"/>
      <c r="AT82" s="474"/>
      <c r="AV82" s="474"/>
      <c r="AX82" s="474"/>
      <c r="AZ82" s="474"/>
    </row>
    <row r="83" spans="2:52" s="475" customFormat="1">
      <c r="B83" s="306"/>
      <c r="C83" s="950">
        <f t="shared" si="58"/>
        <v>24</v>
      </c>
      <c r="D83" s="172"/>
      <c r="E83" s="1239"/>
      <c r="F83" s="28"/>
      <c r="G83" s="28"/>
      <c r="H83" s="28"/>
      <c r="I83" s="359"/>
      <c r="J83" s="359"/>
      <c r="K83" s="359"/>
      <c r="L83" s="28"/>
      <c r="M83" s="360"/>
      <c r="N83" s="360"/>
      <c r="O83" s="360"/>
      <c r="P83" s="94"/>
      <c r="Q83" s="94"/>
      <c r="R83" s="474"/>
      <c r="S83" s="474"/>
      <c r="T83" s="474"/>
      <c r="U83" s="474"/>
      <c r="V83" s="474"/>
      <c r="W83" s="474"/>
      <c r="AK83" s="474"/>
      <c r="AM83" s="474"/>
      <c r="AO83" s="474"/>
      <c r="AR83" s="474"/>
      <c r="AT83" s="474"/>
      <c r="AV83" s="474"/>
      <c r="AX83" s="474"/>
      <c r="AZ83" s="474"/>
    </row>
    <row r="84" spans="2:52" s="475" customFormat="1">
      <c r="B84" s="306"/>
      <c r="C84" s="950">
        <f t="shared" si="58"/>
        <v>25</v>
      </c>
      <c r="D84" s="172"/>
      <c r="E84" s="1239"/>
      <c r="F84" s="28"/>
      <c r="G84" s="28"/>
      <c r="H84" s="28"/>
      <c r="I84" s="359"/>
      <c r="J84" s="359"/>
      <c r="K84" s="359"/>
      <c r="L84" s="28"/>
      <c r="M84" s="360"/>
      <c r="N84" s="360"/>
      <c r="O84" s="360"/>
      <c r="P84" s="94"/>
      <c r="Q84" s="94"/>
      <c r="R84" s="474"/>
      <c r="S84" s="474"/>
      <c r="T84" s="474"/>
      <c r="U84" s="474"/>
      <c r="V84" s="474"/>
      <c r="W84" s="474"/>
      <c r="AK84" s="474"/>
      <c r="AM84" s="474"/>
      <c r="AO84" s="474"/>
      <c r="AR84" s="474"/>
      <c r="AT84" s="474"/>
      <c r="AV84" s="474"/>
      <c r="AX84" s="474"/>
      <c r="AZ84" s="474"/>
    </row>
    <row r="85" spans="2:52" s="475" customFormat="1">
      <c r="B85" s="306"/>
      <c r="C85" s="950">
        <f t="shared" si="58"/>
        <v>26</v>
      </c>
      <c r="D85" s="172"/>
      <c r="E85" s="1239"/>
      <c r="F85" s="28"/>
      <c r="G85" s="28"/>
      <c r="H85" s="28"/>
      <c r="I85" s="359"/>
      <c r="J85" s="359"/>
      <c r="K85" s="359"/>
      <c r="L85" s="28"/>
      <c r="M85" s="360"/>
      <c r="N85" s="360"/>
      <c r="O85" s="360"/>
      <c r="P85" s="94"/>
      <c r="Q85" s="94"/>
      <c r="R85" s="474"/>
      <c r="S85" s="474"/>
      <c r="T85" s="474"/>
      <c r="U85" s="474"/>
      <c r="V85" s="474"/>
      <c r="W85" s="474"/>
      <c r="AK85" s="474"/>
      <c r="AM85" s="474"/>
      <c r="AO85" s="474"/>
      <c r="AR85" s="474"/>
      <c r="AT85" s="474"/>
      <c r="AV85" s="474"/>
      <c r="AX85" s="474"/>
      <c r="AZ85" s="474"/>
    </row>
    <row r="86" spans="2:52" s="475" customFormat="1">
      <c r="B86" s="306"/>
      <c r="C86" s="950">
        <f t="shared" si="58"/>
        <v>27</v>
      </c>
      <c r="D86" s="172"/>
      <c r="E86" s="1239"/>
      <c r="F86" s="28"/>
      <c r="G86" s="28"/>
      <c r="H86" s="28"/>
      <c r="I86" s="359"/>
      <c r="J86" s="359"/>
      <c r="K86" s="359"/>
      <c r="L86" s="28"/>
      <c r="M86" s="360"/>
      <c r="N86" s="360"/>
      <c r="O86" s="360"/>
      <c r="P86" s="94"/>
      <c r="Q86" s="94"/>
      <c r="R86" s="474"/>
      <c r="S86" s="474"/>
      <c r="T86" s="474"/>
      <c r="U86" s="474"/>
      <c r="V86" s="474"/>
      <c r="W86" s="474"/>
      <c r="AK86" s="474"/>
      <c r="AM86" s="474"/>
      <c r="AO86" s="474"/>
      <c r="AR86" s="474"/>
      <c r="AT86" s="474"/>
      <c r="AV86" s="474"/>
      <c r="AX86" s="474"/>
      <c r="AZ86" s="474"/>
    </row>
    <row r="87" spans="2:52" s="475" customFormat="1">
      <c r="B87" s="306"/>
      <c r="C87" s="950">
        <f t="shared" si="58"/>
        <v>28</v>
      </c>
      <c r="D87" s="172"/>
      <c r="E87" s="1239"/>
      <c r="F87" s="28"/>
      <c r="G87" s="28"/>
      <c r="H87" s="28"/>
      <c r="I87" s="359"/>
      <c r="J87" s="359"/>
      <c r="K87" s="359"/>
      <c r="L87" s="28"/>
      <c r="M87" s="360"/>
      <c r="N87" s="360"/>
      <c r="O87" s="360"/>
      <c r="P87" s="94"/>
      <c r="Q87" s="94"/>
      <c r="R87" s="474"/>
      <c r="S87" s="474"/>
      <c r="T87" s="474"/>
      <c r="U87" s="474"/>
      <c r="V87" s="474"/>
      <c r="W87" s="474"/>
      <c r="AK87" s="474"/>
      <c r="AM87" s="474"/>
      <c r="AO87" s="474"/>
      <c r="AR87" s="474"/>
      <c r="AT87" s="474"/>
      <c r="AV87" s="474"/>
      <c r="AX87" s="474"/>
      <c r="AZ87" s="474"/>
    </row>
    <row r="88" spans="2:52" s="475" customFormat="1">
      <c r="B88" s="306"/>
      <c r="C88" s="950">
        <f t="shared" si="58"/>
        <v>29</v>
      </c>
      <c r="D88" s="172"/>
      <c r="E88" s="1239"/>
      <c r="F88" s="28"/>
      <c r="G88" s="28"/>
      <c r="H88" s="28"/>
      <c r="I88" s="359"/>
      <c r="J88" s="359"/>
      <c r="K88" s="359"/>
      <c r="L88" s="28"/>
      <c r="M88" s="360"/>
      <c r="N88" s="360"/>
      <c r="O88" s="360"/>
      <c r="P88" s="94"/>
      <c r="Q88" s="94"/>
      <c r="R88" s="474"/>
      <c r="S88" s="474"/>
      <c r="T88" s="474"/>
      <c r="U88" s="474"/>
      <c r="V88" s="474"/>
      <c r="W88" s="474"/>
      <c r="AK88" s="474"/>
      <c r="AM88" s="474"/>
      <c r="AO88" s="474"/>
      <c r="AR88" s="474"/>
      <c r="AT88" s="474"/>
      <c r="AV88" s="474"/>
      <c r="AX88" s="474"/>
      <c r="AZ88" s="474"/>
    </row>
    <row r="89" spans="2:52" s="475" customFormat="1">
      <c r="B89" s="306"/>
      <c r="C89" s="950">
        <f t="shared" si="58"/>
        <v>30</v>
      </c>
      <c r="D89" s="172"/>
      <c r="E89" s="1239"/>
      <c r="F89" s="28"/>
      <c r="G89" s="28"/>
      <c r="H89" s="28"/>
      <c r="I89" s="359"/>
      <c r="J89" s="359"/>
      <c r="K89" s="359"/>
      <c r="L89" s="28"/>
      <c r="M89" s="360"/>
      <c r="N89" s="360"/>
      <c r="O89" s="360"/>
      <c r="P89" s="94"/>
      <c r="Q89" s="94"/>
      <c r="R89" s="474"/>
      <c r="S89" s="474"/>
      <c r="T89" s="474"/>
      <c r="U89" s="474"/>
      <c r="V89" s="474"/>
      <c r="W89" s="474"/>
      <c r="AK89" s="474"/>
      <c r="AM89" s="474"/>
      <c r="AO89" s="474"/>
      <c r="AR89" s="474"/>
      <c r="AT89" s="474"/>
      <c r="AV89" s="474"/>
      <c r="AX89" s="474"/>
      <c r="AZ89" s="474"/>
    </row>
    <row r="90" spans="2:52" s="475" customFormat="1">
      <c r="B90" s="306"/>
      <c r="C90" s="950">
        <f t="shared" si="58"/>
        <v>31</v>
      </c>
      <c r="D90" s="172"/>
      <c r="E90" s="1239"/>
      <c r="F90" s="28"/>
      <c r="G90" s="28"/>
      <c r="H90" s="28"/>
      <c r="I90" s="359"/>
      <c r="J90" s="359"/>
      <c r="K90" s="359"/>
      <c r="L90" s="28"/>
      <c r="M90" s="360"/>
      <c r="N90" s="360"/>
      <c r="O90" s="360"/>
      <c r="P90" s="94"/>
      <c r="Q90" s="94"/>
      <c r="R90" s="474"/>
      <c r="S90" s="474"/>
      <c r="T90" s="474"/>
      <c r="U90" s="474"/>
      <c r="V90" s="474"/>
      <c r="W90" s="474"/>
      <c r="AK90" s="474"/>
      <c r="AM90" s="474"/>
      <c r="AO90" s="474"/>
      <c r="AR90" s="474"/>
      <c r="AT90" s="474"/>
      <c r="AV90" s="474"/>
      <c r="AX90" s="474"/>
      <c r="AZ90" s="474"/>
    </row>
    <row r="91" spans="2:52" s="475" customFormat="1">
      <c r="B91" s="306"/>
      <c r="C91" s="950">
        <f t="shared" si="58"/>
        <v>32</v>
      </c>
      <c r="D91" s="172"/>
      <c r="E91" s="1239"/>
      <c r="F91" s="28"/>
      <c r="G91" s="28"/>
      <c r="H91" s="28"/>
      <c r="I91" s="359"/>
      <c r="J91" s="359"/>
      <c r="K91" s="359"/>
      <c r="L91" s="28"/>
      <c r="M91" s="360"/>
      <c r="N91" s="360"/>
      <c r="O91" s="360"/>
      <c r="P91" s="94"/>
      <c r="Q91" s="94"/>
      <c r="R91" s="474"/>
      <c r="S91" s="474"/>
      <c r="T91" s="474"/>
      <c r="U91" s="474"/>
      <c r="V91" s="474"/>
      <c r="W91" s="474"/>
      <c r="AK91" s="474"/>
      <c r="AM91" s="474"/>
      <c r="AO91" s="474"/>
      <c r="AR91" s="474"/>
      <c r="AT91" s="474"/>
      <c r="AV91" s="474"/>
      <c r="AX91" s="474"/>
      <c r="AZ91" s="474"/>
    </row>
    <row r="92" spans="2:52" s="475" customFormat="1">
      <c r="B92" s="306"/>
      <c r="C92" s="950">
        <f t="shared" si="58"/>
        <v>33</v>
      </c>
      <c r="D92" s="172"/>
      <c r="E92" s="1239"/>
      <c r="F92" s="28"/>
      <c r="G92" s="28"/>
      <c r="H92" s="28"/>
      <c r="I92" s="359"/>
      <c r="J92" s="359"/>
      <c r="K92" s="359"/>
      <c r="L92" s="28"/>
      <c r="M92" s="360"/>
      <c r="N92" s="360"/>
      <c r="O92" s="360"/>
      <c r="P92" s="94"/>
      <c r="Q92" s="94"/>
      <c r="R92" s="474"/>
      <c r="S92" s="474"/>
      <c r="T92" s="474"/>
      <c r="U92" s="474"/>
      <c r="V92" s="474"/>
      <c r="W92" s="474"/>
      <c r="AK92" s="474"/>
      <c r="AM92" s="474"/>
      <c r="AO92" s="474"/>
      <c r="AR92" s="474"/>
      <c r="AT92" s="474"/>
      <c r="AV92" s="474"/>
      <c r="AX92" s="474"/>
      <c r="AZ92" s="474"/>
    </row>
    <row r="93" spans="2:52" s="475" customFormat="1">
      <c r="B93" s="306"/>
      <c r="C93" s="950">
        <f t="shared" ref="C93:C124" si="59">C92+1</f>
        <v>34</v>
      </c>
      <c r="D93" s="172"/>
      <c r="E93" s="1239"/>
      <c r="F93" s="28"/>
      <c r="G93" s="28"/>
      <c r="H93" s="28"/>
      <c r="I93" s="359"/>
      <c r="J93" s="359"/>
      <c r="K93" s="359"/>
      <c r="L93" s="28"/>
      <c r="M93" s="360"/>
      <c r="N93" s="360"/>
      <c r="O93" s="360"/>
      <c r="P93" s="94"/>
      <c r="Q93" s="94"/>
      <c r="R93" s="474"/>
      <c r="S93" s="474"/>
      <c r="T93" s="474"/>
      <c r="U93" s="474"/>
      <c r="V93" s="474"/>
      <c r="W93" s="474"/>
      <c r="AK93" s="474"/>
      <c r="AM93" s="474"/>
      <c r="AO93" s="474"/>
      <c r="AR93" s="474"/>
      <c r="AT93" s="474"/>
      <c r="AV93" s="474"/>
      <c r="AX93" s="474"/>
      <c r="AZ93" s="474"/>
    </row>
    <row r="94" spans="2:52" s="475" customFormat="1">
      <c r="B94" s="306"/>
      <c r="C94" s="950">
        <f t="shared" si="59"/>
        <v>35</v>
      </c>
      <c r="D94" s="172"/>
      <c r="E94" s="1239"/>
      <c r="F94" s="28"/>
      <c r="G94" s="28"/>
      <c r="H94" s="28"/>
      <c r="I94" s="359"/>
      <c r="J94" s="359"/>
      <c r="K94" s="359"/>
      <c r="L94" s="28"/>
      <c r="M94" s="360"/>
      <c r="N94" s="360"/>
      <c r="O94" s="360"/>
      <c r="P94" s="94"/>
      <c r="Q94" s="94"/>
      <c r="R94" s="474"/>
      <c r="S94" s="474"/>
      <c r="T94" s="474"/>
      <c r="U94" s="474"/>
      <c r="V94" s="474"/>
      <c r="W94" s="474"/>
      <c r="AK94" s="474"/>
      <c r="AM94" s="474"/>
      <c r="AO94" s="474"/>
      <c r="AR94" s="474"/>
      <c r="AT94" s="474"/>
      <c r="AV94" s="474"/>
      <c r="AX94" s="474"/>
      <c r="AZ94" s="474"/>
    </row>
    <row r="95" spans="2:52" s="475" customFormat="1">
      <c r="B95" s="306"/>
      <c r="C95" s="950">
        <f t="shared" si="59"/>
        <v>36</v>
      </c>
      <c r="D95" s="172"/>
      <c r="E95" s="1239"/>
      <c r="F95" s="28"/>
      <c r="G95" s="28"/>
      <c r="H95" s="28"/>
      <c r="I95" s="359"/>
      <c r="J95" s="359"/>
      <c r="K95" s="359"/>
      <c r="L95" s="28"/>
      <c r="M95" s="360"/>
      <c r="N95" s="360"/>
      <c r="O95" s="360"/>
      <c r="P95" s="94"/>
      <c r="Q95" s="94"/>
      <c r="R95" s="474"/>
      <c r="S95" s="474"/>
      <c r="T95" s="474"/>
      <c r="U95" s="474"/>
      <c r="V95" s="474"/>
      <c r="W95" s="474"/>
      <c r="AK95" s="474"/>
      <c r="AM95" s="474"/>
      <c r="AO95" s="474"/>
      <c r="AR95" s="474"/>
      <c r="AT95" s="474"/>
      <c r="AV95" s="474"/>
      <c r="AX95" s="474"/>
      <c r="AZ95" s="474"/>
    </row>
    <row r="96" spans="2:52" s="475" customFormat="1">
      <c r="B96" s="306"/>
      <c r="C96" s="950">
        <f t="shared" si="59"/>
        <v>37</v>
      </c>
      <c r="D96" s="172"/>
      <c r="E96" s="1239"/>
      <c r="F96" s="28"/>
      <c r="G96" s="28"/>
      <c r="H96" s="28"/>
      <c r="I96" s="359"/>
      <c r="J96" s="359"/>
      <c r="K96" s="359"/>
      <c r="L96" s="28"/>
      <c r="M96" s="360"/>
      <c r="N96" s="360"/>
      <c r="O96" s="360"/>
      <c r="P96" s="94"/>
      <c r="Q96" s="94"/>
      <c r="R96" s="474"/>
      <c r="S96" s="474"/>
      <c r="T96" s="474"/>
      <c r="U96" s="474"/>
      <c r="V96" s="474"/>
      <c r="W96" s="474"/>
      <c r="AK96" s="474"/>
      <c r="AM96" s="474"/>
      <c r="AO96" s="474"/>
      <c r="AR96" s="474"/>
      <c r="AT96" s="474"/>
      <c r="AV96" s="474"/>
      <c r="AX96" s="474"/>
      <c r="AZ96" s="474"/>
    </row>
    <row r="97" spans="2:52" s="475" customFormat="1">
      <c r="B97" s="306"/>
      <c r="C97" s="950">
        <f t="shared" si="59"/>
        <v>38</v>
      </c>
      <c r="D97" s="172"/>
      <c r="E97" s="1239"/>
      <c r="F97" s="28"/>
      <c r="G97" s="28"/>
      <c r="H97" s="28"/>
      <c r="I97" s="359"/>
      <c r="J97" s="359"/>
      <c r="K97" s="359"/>
      <c r="L97" s="28"/>
      <c r="M97" s="360"/>
      <c r="N97" s="360"/>
      <c r="O97" s="360"/>
      <c r="P97" s="94"/>
      <c r="Q97" s="94"/>
      <c r="R97" s="474"/>
      <c r="S97" s="474"/>
      <c r="T97" s="474"/>
      <c r="U97" s="474"/>
      <c r="V97" s="474"/>
      <c r="W97" s="474"/>
      <c r="AK97" s="474"/>
      <c r="AM97" s="474"/>
      <c r="AO97" s="474"/>
      <c r="AR97" s="474"/>
      <c r="AT97" s="474"/>
      <c r="AV97" s="474"/>
      <c r="AX97" s="474"/>
      <c r="AZ97" s="474"/>
    </row>
    <row r="98" spans="2:52" s="475" customFormat="1">
      <c r="B98" s="306"/>
      <c r="C98" s="950">
        <f t="shared" si="59"/>
        <v>39</v>
      </c>
      <c r="D98" s="172"/>
      <c r="E98" s="1239"/>
      <c r="F98" s="28"/>
      <c r="G98" s="28"/>
      <c r="H98" s="28"/>
      <c r="I98" s="359"/>
      <c r="J98" s="359"/>
      <c r="K98" s="359"/>
      <c r="L98" s="28"/>
      <c r="M98" s="360"/>
      <c r="N98" s="360"/>
      <c r="O98" s="360"/>
      <c r="P98" s="94"/>
      <c r="Q98" s="94"/>
      <c r="R98" s="474"/>
      <c r="S98" s="474"/>
      <c r="T98" s="474"/>
      <c r="U98" s="474"/>
      <c r="V98" s="474"/>
      <c r="W98" s="474"/>
      <c r="AK98" s="474"/>
      <c r="AM98" s="474"/>
      <c r="AO98" s="474"/>
      <c r="AR98" s="474"/>
      <c r="AT98" s="474"/>
      <c r="AV98" s="474"/>
      <c r="AX98" s="474"/>
      <c r="AZ98" s="474"/>
    </row>
    <row r="99" spans="2:52" s="475" customFormat="1">
      <c r="B99" s="306"/>
      <c r="C99" s="950">
        <f t="shared" si="59"/>
        <v>40</v>
      </c>
      <c r="D99" s="172"/>
      <c r="E99" s="1239"/>
      <c r="F99" s="28"/>
      <c r="G99" s="28"/>
      <c r="H99" s="28"/>
      <c r="I99" s="359"/>
      <c r="J99" s="359"/>
      <c r="K99" s="359"/>
      <c r="L99" s="28"/>
      <c r="M99" s="360"/>
      <c r="N99" s="360"/>
      <c r="O99" s="360"/>
      <c r="P99" s="94"/>
      <c r="Q99" s="94"/>
      <c r="R99" s="474"/>
      <c r="S99" s="474"/>
      <c r="T99" s="474"/>
      <c r="U99" s="474"/>
      <c r="V99" s="474"/>
      <c r="W99" s="474"/>
      <c r="AK99" s="474"/>
      <c r="AM99" s="474"/>
      <c r="AO99" s="474"/>
      <c r="AR99" s="474"/>
      <c r="AT99" s="474"/>
      <c r="AV99" s="474"/>
      <c r="AX99" s="474"/>
      <c r="AZ99" s="474"/>
    </row>
    <row r="100" spans="2:52" s="475" customFormat="1">
      <c r="B100" s="306"/>
      <c r="C100" s="950">
        <f t="shared" si="59"/>
        <v>41</v>
      </c>
      <c r="D100" s="172"/>
      <c r="E100" s="1239"/>
      <c r="F100" s="28"/>
      <c r="G100" s="28"/>
      <c r="H100" s="28"/>
      <c r="I100" s="359"/>
      <c r="J100" s="359"/>
      <c r="K100" s="359"/>
      <c r="L100" s="28"/>
      <c r="M100" s="360"/>
      <c r="N100" s="360"/>
      <c r="O100" s="360"/>
      <c r="P100" s="94"/>
      <c r="Q100" s="94"/>
      <c r="R100" s="474"/>
      <c r="S100" s="474"/>
      <c r="T100" s="474"/>
      <c r="U100" s="474"/>
      <c r="V100" s="474"/>
      <c r="W100" s="474"/>
      <c r="AK100" s="474"/>
      <c r="AM100" s="474"/>
      <c r="AO100" s="474"/>
      <c r="AR100" s="474"/>
      <c r="AT100" s="474"/>
      <c r="AV100" s="474"/>
      <c r="AX100" s="474"/>
      <c r="AZ100" s="474"/>
    </row>
    <row r="101" spans="2:52" s="475" customFormat="1">
      <c r="B101" s="306"/>
      <c r="C101" s="950">
        <f t="shared" si="59"/>
        <v>42</v>
      </c>
      <c r="D101" s="172"/>
      <c r="E101" s="1239"/>
      <c r="F101" s="28"/>
      <c r="G101" s="28"/>
      <c r="H101" s="28"/>
      <c r="I101" s="359"/>
      <c r="J101" s="359"/>
      <c r="K101" s="359"/>
      <c r="L101" s="28"/>
      <c r="M101" s="360"/>
      <c r="N101" s="360"/>
      <c r="O101" s="360"/>
      <c r="P101" s="94"/>
      <c r="Q101" s="94"/>
      <c r="R101" s="474"/>
      <c r="S101" s="474"/>
      <c r="T101" s="474"/>
      <c r="U101" s="474"/>
      <c r="V101" s="474"/>
      <c r="W101" s="474"/>
      <c r="AK101" s="474"/>
      <c r="AM101" s="474"/>
      <c r="AO101" s="474"/>
      <c r="AR101" s="474"/>
      <c r="AT101" s="474"/>
      <c r="AV101" s="474"/>
      <c r="AX101" s="474"/>
      <c r="AZ101" s="474"/>
    </row>
    <row r="102" spans="2:52" s="475" customFormat="1">
      <c r="B102" s="306"/>
      <c r="C102" s="950">
        <f t="shared" si="59"/>
        <v>43</v>
      </c>
      <c r="D102" s="172"/>
      <c r="E102" s="1239"/>
      <c r="F102" s="28"/>
      <c r="G102" s="28"/>
      <c r="H102" s="28"/>
      <c r="I102" s="359"/>
      <c r="J102" s="359"/>
      <c r="K102" s="359"/>
      <c r="L102" s="28"/>
      <c r="M102" s="360"/>
      <c r="N102" s="360"/>
      <c r="O102" s="360"/>
      <c r="P102" s="94"/>
      <c r="Q102" s="94"/>
      <c r="R102" s="474"/>
      <c r="S102" s="474"/>
      <c r="T102" s="474"/>
      <c r="U102" s="474"/>
      <c r="V102" s="474"/>
      <c r="W102" s="474"/>
      <c r="AK102" s="474"/>
      <c r="AM102" s="474"/>
      <c r="AO102" s="474"/>
      <c r="AR102" s="474"/>
      <c r="AT102" s="474"/>
      <c r="AV102" s="474"/>
      <c r="AX102" s="474"/>
      <c r="AZ102" s="474"/>
    </row>
    <row r="103" spans="2:52" s="475" customFormat="1">
      <c r="B103" s="306"/>
      <c r="C103" s="950">
        <f t="shared" si="59"/>
        <v>44</v>
      </c>
      <c r="D103" s="172"/>
      <c r="E103" s="1239"/>
      <c r="F103" s="28"/>
      <c r="G103" s="28"/>
      <c r="H103" s="28"/>
      <c r="I103" s="359"/>
      <c r="J103" s="359"/>
      <c r="K103" s="359"/>
      <c r="L103" s="28"/>
      <c r="M103" s="360"/>
      <c r="N103" s="360"/>
      <c r="O103" s="360"/>
      <c r="P103" s="94"/>
      <c r="Q103" s="94"/>
      <c r="R103" s="474"/>
      <c r="S103" s="474"/>
      <c r="T103" s="474"/>
      <c r="U103" s="474"/>
      <c r="V103" s="474"/>
      <c r="W103" s="474"/>
      <c r="AK103" s="474"/>
      <c r="AM103" s="474"/>
      <c r="AO103" s="474"/>
      <c r="AR103" s="474"/>
      <c r="AT103" s="474"/>
      <c r="AV103" s="474"/>
      <c r="AX103" s="474"/>
      <c r="AZ103" s="474"/>
    </row>
    <row r="104" spans="2:52" s="475" customFormat="1">
      <c r="B104" s="306"/>
      <c r="C104" s="950">
        <f t="shared" si="59"/>
        <v>45</v>
      </c>
      <c r="D104" s="172"/>
      <c r="E104" s="1239"/>
      <c r="F104" s="28"/>
      <c r="G104" s="28"/>
      <c r="H104" s="28"/>
      <c r="I104" s="359"/>
      <c r="J104" s="359"/>
      <c r="K104" s="359"/>
      <c r="L104" s="28"/>
      <c r="M104" s="360"/>
      <c r="N104" s="360"/>
      <c r="O104" s="360"/>
      <c r="P104" s="94"/>
      <c r="Q104" s="94"/>
      <c r="R104" s="474"/>
      <c r="S104" s="474"/>
      <c r="T104" s="474"/>
      <c r="U104" s="474"/>
      <c r="V104" s="474"/>
      <c r="W104" s="474"/>
      <c r="AK104" s="474"/>
      <c r="AM104" s="474"/>
      <c r="AO104" s="474"/>
      <c r="AR104" s="474"/>
      <c r="AT104" s="474"/>
      <c r="AV104" s="474"/>
      <c r="AX104" s="474"/>
      <c r="AZ104" s="474"/>
    </row>
    <row r="105" spans="2:52" s="475" customFormat="1">
      <c r="B105" s="306"/>
      <c r="C105" s="950">
        <f t="shared" si="59"/>
        <v>46</v>
      </c>
      <c r="D105" s="172"/>
      <c r="E105" s="1239"/>
      <c r="F105" s="28"/>
      <c r="G105" s="28"/>
      <c r="H105" s="28"/>
      <c r="I105" s="359"/>
      <c r="J105" s="359"/>
      <c r="K105" s="359"/>
      <c r="L105" s="28"/>
      <c r="M105" s="360"/>
      <c r="N105" s="360"/>
      <c r="O105" s="360"/>
      <c r="P105" s="94"/>
      <c r="Q105" s="94"/>
      <c r="R105" s="474"/>
      <c r="S105" s="474"/>
      <c r="T105" s="474"/>
      <c r="U105" s="474"/>
      <c r="V105" s="474"/>
      <c r="W105" s="474"/>
      <c r="AK105" s="474"/>
      <c r="AM105" s="474"/>
      <c r="AO105" s="474"/>
      <c r="AR105" s="474"/>
      <c r="AT105" s="474"/>
      <c r="AV105" s="474"/>
      <c r="AX105" s="474"/>
      <c r="AZ105" s="474"/>
    </row>
    <row r="106" spans="2:52" s="475" customFormat="1">
      <c r="B106" s="306"/>
      <c r="C106" s="950">
        <f t="shared" si="59"/>
        <v>47</v>
      </c>
      <c r="D106" s="172"/>
      <c r="E106" s="1239"/>
      <c r="F106" s="28"/>
      <c r="G106" s="28"/>
      <c r="H106" s="28"/>
      <c r="I106" s="359"/>
      <c r="J106" s="359"/>
      <c r="K106" s="359"/>
      <c r="L106" s="28"/>
      <c r="M106" s="360"/>
      <c r="N106" s="360"/>
      <c r="O106" s="360"/>
      <c r="P106" s="94"/>
      <c r="Q106" s="94"/>
      <c r="R106" s="474"/>
      <c r="S106" s="474"/>
      <c r="T106" s="474"/>
      <c r="U106" s="474"/>
      <c r="V106" s="474"/>
      <c r="W106" s="474"/>
      <c r="AK106" s="474"/>
      <c r="AM106" s="474"/>
      <c r="AO106" s="474"/>
      <c r="AR106" s="474"/>
      <c r="AT106" s="474"/>
      <c r="AV106" s="474"/>
      <c r="AX106" s="474"/>
      <c r="AZ106" s="474"/>
    </row>
    <row r="107" spans="2:52" s="475" customFormat="1">
      <c r="B107" s="306"/>
      <c r="C107" s="950">
        <f t="shared" si="59"/>
        <v>48</v>
      </c>
      <c r="D107" s="172"/>
      <c r="E107" s="1239"/>
      <c r="F107" s="28"/>
      <c r="G107" s="28"/>
      <c r="H107" s="28"/>
      <c r="I107" s="359"/>
      <c r="J107" s="359"/>
      <c r="K107" s="359"/>
      <c r="L107" s="28"/>
      <c r="M107" s="360"/>
      <c r="N107" s="360"/>
      <c r="O107" s="360"/>
      <c r="P107" s="94"/>
      <c r="Q107" s="94"/>
      <c r="R107" s="474"/>
      <c r="S107" s="474"/>
      <c r="T107" s="474"/>
      <c r="U107" s="474"/>
      <c r="V107" s="474"/>
      <c r="W107" s="474"/>
      <c r="AK107" s="474"/>
      <c r="AM107" s="474"/>
      <c r="AO107" s="474"/>
      <c r="AR107" s="474"/>
      <c r="AT107" s="474"/>
      <c r="AV107" s="474"/>
      <c r="AX107" s="474"/>
      <c r="AZ107" s="474"/>
    </row>
    <row r="108" spans="2:52" s="475" customFormat="1">
      <c r="B108" s="306"/>
      <c r="C108" s="950">
        <f t="shared" si="59"/>
        <v>49</v>
      </c>
      <c r="D108" s="172"/>
      <c r="E108" s="1239"/>
      <c r="F108" s="28"/>
      <c r="G108" s="28"/>
      <c r="H108" s="28"/>
      <c r="I108" s="359"/>
      <c r="J108" s="359"/>
      <c r="K108" s="359"/>
      <c r="L108" s="28"/>
      <c r="M108" s="360"/>
      <c r="N108" s="360"/>
      <c r="O108" s="360"/>
      <c r="P108" s="94"/>
      <c r="Q108" s="94"/>
      <c r="R108" s="474"/>
      <c r="S108" s="474"/>
      <c r="T108" s="474"/>
      <c r="U108" s="474"/>
      <c r="V108" s="474"/>
      <c r="W108" s="474"/>
      <c r="AK108" s="474"/>
      <c r="AM108" s="474"/>
      <c r="AO108" s="474"/>
      <c r="AR108" s="474"/>
      <c r="AT108" s="474"/>
      <c r="AV108" s="474"/>
      <c r="AX108" s="474"/>
      <c r="AZ108" s="474"/>
    </row>
    <row r="109" spans="2:52" s="475" customFormat="1">
      <c r="B109" s="306"/>
      <c r="C109" s="950">
        <f t="shared" si="59"/>
        <v>50</v>
      </c>
      <c r="D109" s="172"/>
      <c r="E109" s="1239"/>
      <c r="F109" s="28"/>
      <c r="G109" s="28"/>
      <c r="H109" s="28"/>
      <c r="I109" s="359"/>
      <c r="J109" s="359"/>
      <c r="K109" s="359"/>
      <c r="L109" s="28"/>
      <c r="M109" s="360"/>
      <c r="N109" s="360"/>
      <c r="O109" s="360"/>
      <c r="P109" s="94"/>
      <c r="Q109" s="94"/>
      <c r="R109" s="474"/>
      <c r="S109" s="474"/>
      <c r="T109" s="474"/>
      <c r="U109" s="474"/>
      <c r="V109" s="474"/>
      <c r="W109" s="474"/>
      <c r="AK109" s="474"/>
      <c r="AM109" s="474"/>
      <c r="AO109" s="474"/>
      <c r="AR109" s="474"/>
      <c r="AT109" s="474"/>
      <c r="AV109" s="474"/>
      <c r="AX109" s="474"/>
      <c r="AZ109" s="474"/>
    </row>
    <row r="110" spans="2:52" s="475" customFormat="1">
      <c r="B110" s="306"/>
      <c r="C110" s="950">
        <f t="shared" si="59"/>
        <v>51</v>
      </c>
      <c r="D110" s="172"/>
      <c r="E110" s="1239"/>
      <c r="F110" s="28"/>
      <c r="G110" s="28"/>
      <c r="H110" s="28"/>
      <c r="I110" s="359"/>
      <c r="J110" s="359"/>
      <c r="K110" s="359"/>
      <c r="L110" s="28"/>
      <c r="M110" s="360"/>
      <c r="N110" s="360"/>
      <c r="O110" s="360"/>
      <c r="P110" s="94"/>
      <c r="Q110" s="94"/>
      <c r="R110" s="474"/>
      <c r="S110" s="474"/>
      <c r="T110" s="474"/>
      <c r="U110" s="474"/>
      <c r="V110" s="474"/>
      <c r="W110" s="474"/>
      <c r="AK110" s="474"/>
      <c r="AM110" s="474"/>
      <c r="AO110" s="474"/>
      <c r="AR110" s="474"/>
      <c r="AT110" s="474"/>
      <c r="AV110" s="474"/>
      <c r="AX110" s="474"/>
      <c r="AZ110" s="474"/>
    </row>
    <row r="111" spans="2:52" s="475" customFormat="1">
      <c r="B111" s="306"/>
      <c r="C111" s="950">
        <f t="shared" si="59"/>
        <v>52</v>
      </c>
      <c r="D111" s="172"/>
      <c r="E111" s="1239"/>
      <c r="F111" s="28"/>
      <c r="G111" s="28"/>
      <c r="H111" s="28"/>
      <c r="I111" s="359"/>
      <c r="J111" s="359"/>
      <c r="K111" s="359"/>
      <c r="L111" s="28"/>
      <c r="M111" s="360"/>
      <c r="N111" s="360"/>
      <c r="O111" s="360"/>
      <c r="P111" s="94"/>
      <c r="Q111" s="94"/>
      <c r="R111" s="474"/>
      <c r="S111" s="474"/>
      <c r="T111" s="474"/>
      <c r="U111" s="474"/>
      <c r="V111" s="474"/>
      <c r="W111" s="474"/>
      <c r="AK111" s="474"/>
      <c r="AM111" s="474"/>
      <c r="AO111" s="474"/>
      <c r="AR111" s="474"/>
      <c r="AT111" s="474"/>
      <c r="AV111" s="474"/>
      <c r="AX111" s="474"/>
      <c r="AZ111" s="474"/>
    </row>
    <row r="112" spans="2:52" s="475" customFormat="1">
      <c r="B112" s="306"/>
      <c r="C112" s="950">
        <f t="shared" si="59"/>
        <v>53</v>
      </c>
      <c r="D112" s="172"/>
      <c r="E112" s="1239"/>
      <c r="F112" s="28"/>
      <c r="G112" s="28"/>
      <c r="H112" s="28"/>
      <c r="I112" s="359"/>
      <c r="J112" s="359"/>
      <c r="K112" s="359"/>
      <c r="L112" s="28"/>
      <c r="M112" s="360"/>
      <c r="N112" s="360"/>
      <c r="O112" s="360"/>
      <c r="P112" s="94"/>
      <c r="Q112" s="94"/>
      <c r="R112" s="474"/>
      <c r="S112" s="474"/>
      <c r="T112" s="474"/>
      <c r="U112" s="474"/>
      <c r="V112" s="474"/>
      <c r="W112" s="474"/>
      <c r="AK112" s="474"/>
      <c r="AM112" s="474"/>
      <c r="AO112" s="474"/>
      <c r="AR112" s="474"/>
      <c r="AT112" s="474"/>
      <c r="AV112" s="474"/>
      <c r="AX112" s="474"/>
      <c r="AZ112" s="474"/>
    </row>
    <row r="113" spans="2:52" s="475" customFormat="1">
      <c r="B113" s="306"/>
      <c r="C113" s="950">
        <f t="shared" si="59"/>
        <v>54</v>
      </c>
      <c r="D113" s="172"/>
      <c r="E113" s="1239"/>
      <c r="F113" s="28"/>
      <c r="G113" s="28"/>
      <c r="H113" s="28"/>
      <c r="I113" s="359"/>
      <c r="J113" s="359"/>
      <c r="K113" s="359"/>
      <c r="L113" s="28"/>
      <c r="M113" s="360"/>
      <c r="N113" s="360"/>
      <c r="O113" s="360"/>
      <c r="P113" s="94"/>
      <c r="Q113" s="94"/>
      <c r="R113" s="474"/>
      <c r="S113" s="474"/>
      <c r="T113" s="474"/>
      <c r="U113" s="474"/>
      <c r="V113" s="474"/>
      <c r="W113" s="474"/>
      <c r="AK113" s="474"/>
      <c r="AM113" s="474"/>
      <c r="AO113" s="474"/>
      <c r="AR113" s="474"/>
      <c r="AT113" s="474"/>
      <c r="AV113" s="474"/>
      <c r="AX113" s="474"/>
      <c r="AZ113" s="474"/>
    </row>
    <row r="114" spans="2:52" s="475" customFormat="1">
      <c r="B114" s="306"/>
      <c r="C114" s="950">
        <f t="shared" si="59"/>
        <v>55</v>
      </c>
      <c r="D114" s="172"/>
      <c r="E114" s="1239"/>
      <c r="F114" s="28"/>
      <c r="G114" s="28"/>
      <c r="H114" s="28"/>
      <c r="I114" s="359"/>
      <c r="J114" s="359"/>
      <c r="K114" s="359"/>
      <c r="L114" s="28"/>
      <c r="M114" s="360"/>
      <c r="N114" s="360"/>
      <c r="O114" s="360"/>
      <c r="P114" s="94"/>
      <c r="Q114" s="94"/>
      <c r="R114" s="474"/>
      <c r="S114" s="474"/>
      <c r="T114" s="474"/>
      <c r="U114" s="474"/>
      <c r="V114" s="474"/>
      <c r="W114" s="474"/>
      <c r="AK114" s="474"/>
      <c r="AM114" s="474"/>
      <c r="AO114" s="474"/>
      <c r="AR114" s="474"/>
      <c r="AT114" s="474"/>
      <c r="AV114" s="474"/>
      <c r="AX114" s="474"/>
      <c r="AZ114" s="474"/>
    </row>
    <row r="115" spans="2:52" s="475" customFormat="1">
      <c r="B115" s="306"/>
      <c r="C115" s="950">
        <f t="shared" si="59"/>
        <v>56</v>
      </c>
      <c r="D115" s="172"/>
      <c r="E115" s="1239"/>
      <c r="F115" s="28"/>
      <c r="G115" s="28"/>
      <c r="H115" s="28"/>
      <c r="I115" s="359"/>
      <c r="J115" s="359"/>
      <c r="K115" s="359"/>
      <c r="L115" s="28"/>
      <c r="M115" s="360"/>
      <c r="N115" s="360"/>
      <c r="O115" s="360"/>
      <c r="P115" s="94"/>
      <c r="Q115" s="94"/>
      <c r="R115" s="474"/>
      <c r="S115" s="474"/>
      <c r="T115" s="474"/>
      <c r="U115" s="474"/>
      <c r="V115" s="474"/>
      <c r="W115" s="474"/>
      <c r="AK115" s="474"/>
      <c r="AM115" s="474"/>
      <c r="AO115" s="474"/>
      <c r="AR115" s="474"/>
      <c r="AT115" s="474"/>
      <c r="AV115" s="474"/>
      <c r="AX115" s="474"/>
      <c r="AZ115" s="474"/>
    </row>
    <row r="116" spans="2:52" s="475" customFormat="1">
      <c r="B116" s="306"/>
      <c r="C116" s="950">
        <f t="shared" si="59"/>
        <v>57</v>
      </c>
      <c r="D116" s="172"/>
      <c r="E116" s="1239"/>
      <c r="F116" s="28"/>
      <c r="G116" s="28"/>
      <c r="H116" s="28"/>
      <c r="I116" s="359"/>
      <c r="J116" s="359"/>
      <c r="K116" s="359"/>
      <c r="L116" s="28"/>
      <c r="M116" s="360"/>
      <c r="N116" s="360"/>
      <c r="O116" s="360"/>
      <c r="P116" s="94"/>
      <c r="Q116" s="94"/>
      <c r="R116" s="474"/>
      <c r="S116" s="474"/>
      <c r="T116" s="474"/>
      <c r="U116" s="474"/>
      <c r="V116" s="474"/>
      <c r="W116" s="474"/>
      <c r="AK116" s="474"/>
      <c r="AM116" s="474"/>
      <c r="AO116" s="474"/>
      <c r="AR116" s="474"/>
      <c r="AT116" s="474"/>
      <c r="AV116" s="474"/>
      <c r="AX116" s="474"/>
      <c r="AZ116" s="474"/>
    </row>
    <row r="117" spans="2:52" s="475" customFormat="1">
      <c r="B117" s="306"/>
      <c r="C117" s="950">
        <f t="shared" si="59"/>
        <v>58</v>
      </c>
      <c r="D117" s="172"/>
      <c r="E117" s="1239"/>
      <c r="F117" s="28"/>
      <c r="G117" s="28"/>
      <c r="H117" s="28"/>
      <c r="I117" s="359"/>
      <c r="J117" s="359"/>
      <c r="K117" s="359"/>
      <c r="L117" s="28"/>
      <c r="M117" s="360"/>
      <c r="N117" s="360"/>
      <c r="O117" s="360"/>
      <c r="P117" s="94"/>
      <c r="Q117" s="94"/>
      <c r="R117" s="474"/>
      <c r="S117" s="474"/>
      <c r="T117" s="474"/>
      <c r="U117" s="474"/>
      <c r="V117" s="474"/>
      <c r="W117" s="474"/>
      <c r="AK117" s="474"/>
      <c r="AM117" s="474"/>
      <c r="AO117" s="474"/>
      <c r="AR117" s="474"/>
      <c r="AT117" s="474"/>
      <c r="AV117" s="474"/>
      <c r="AX117" s="474"/>
      <c r="AZ117" s="474"/>
    </row>
    <row r="118" spans="2:52" s="475" customFormat="1">
      <c r="B118" s="306"/>
      <c r="C118" s="950">
        <f t="shared" si="59"/>
        <v>59</v>
      </c>
      <c r="D118" s="172"/>
      <c r="E118" s="1239"/>
      <c r="F118" s="28"/>
      <c r="G118" s="28"/>
      <c r="H118" s="28"/>
      <c r="I118" s="359"/>
      <c r="J118" s="359"/>
      <c r="K118" s="359"/>
      <c r="L118" s="28"/>
      <c r="M118" s="360"/>
      <c r="N118" s="360"/>
      <c r="O118" s="360"/>
      <c r="P118" s="94"/>
      <c r="Q118" s="94"/>
      <c r="R118" s="474"/>
      <c r="S118" s="474"/>
      <c r="T118" s="474"/>
      <c r="U118" s="474"/>
      <c r="V118" s="474"/>
      <c r="W118" s="474"/>
      <c r="AK118" s="474"/>
      <c r="AM118" s="474"/>
      <c r="AO118" s="474"/>
      <c r="AR118" s="474"/>
      <c r="AT118" s="474"/>
      <c r="AV118" s="474"/>
      <c r="AX118" s="474"/>
      <c r="AZ118" s="474"/>
    </row>
    <row r="119" spans="2:52" s="475" customFormat="1">
      <c r="B119" s="306"/>
      <c r="C119" s="950">
        <f t="shared" si="59"/>
        <v>60</v>
      </c>
      <c r="D119" s="172"/>
      <c r="E119" s="1239"/>
      <c r="F119" s="28"/>
      <c r="G119" s="28"/>
      <c r="H119" s="28"/>
      <c r="I119" s="359"/>
      <c r="J119" s="359"/>
      <c r="K119" s="359"/>
      <c r="L119" s="28"/>
      <c r="M119" s="360"/>
      <c r="N119" s="360"/>
      <c r="O119" s="360"/>
      <c r="P119" s="94"/>
      <c r="Q119" s="94"/>
      <c r="R119" s="474"/>
      <c r="S119" s="474"/>
      <c r="T119" s="474"/>
      <c r="U119" s="474"/>
      <c r="V119" s="474"/>
      <c r="W119" s="474"/>
      <c r="AK119" s="474"/>
      <c r="AM119" s="474"/>
      <c r="AO119" s="474"/>
      <c r="AR119" s="474"/>
      <c r="AT119" s="474"/>
      <c r="AV119" s="474"/>
      <c r="AX119" s="474"/>
      <c r="AZ119" s="474"/>
    </row>
    <row r="120" spans="2:52" s="475" customFormat="1">
      <c r="B120" s="306"/>
      <c r="C120" s="950">
        <f t="shared" si="59"/>
        <v>61</v>
      </c>
      <c r="D120" s="172"/>
      <c r="E120" s="1239"/>
      <c r="F120" s="28"/>
      <c r="G120" s="28"/>
      <c r="H120" s="28"/>
      <c r="I120" s="359"/>
      <c r="J120" s="359"/>
      <c r="K120" s="359"/>
      <c r="L120" s="28"/>
      <c r="M120" s="360"/>
      <c r="N120" s="360"/>
      <c r="O120" s="360"/>
      <c r="P120" s="94"/>
      <c r="Q120" s="94"/>
      <c r="R120" s="474"/>
      <c r="S120" s="474"/>
      <c r="T120" s="474"/>
      <c r="U120" s="474"/>
      <c r="V120" s="474"/>
      <c r="W120" s="474"/>
      <c r="AK120" s="474"/>
      <c r="AM120" s="474"/>
      <c r="AO120" s="474"/>
      <c r="AR120" s="474"/>
      <c r="AT120" s="474"/>
      <c r="AV120" s="474"/>
      <c r="AX120" s="474"/>
      <c r="AZ120" s="474"/>
    </row>
    <row r="121" spans="2:52" s="475" customFormat="1">
      <c r="B121" s="306"/>
      <c r="C121" s="950">
        <f t="shared" si="59"/>
        <v>62</v>
      </c>
      <c r="D121" s="172"/>
      <c r="E121" s="1239"/>
      <c r="F121" s="28"/>
      <c r="G121" s="28"/>
      <c r="H121" s="28"/>
      <c r="I121" s="359"/>
      <c r="J121" s="359"/>
      <c r="K121" s="359"/>
      <c r="L121" s="28"/>
      <c r="M121" s="360"/>
      <c r="N121" s="360"/>
      <c r="O121" s="360"/>
      <c r="P121" s="94"/>
      <c r="Q121" s="94"/>
      <c r="R121" s="474"/>
      <c r="S121" s="474"/>
      <c r="T121" s="474"/>
      <c r="U121" s="474"/>
      <c r="V121" s="474"/>
      <c r="W121" s="474"/>
      <c r="AK121" s="474"/>
      <c r="AM121" s="474"/>
      <c r="AO121" s="474"/>
      <c r="AR121" s="474"/>
      <c r="AT121" s="474"/>
      <c r="AV121" s="474"/>
      <c r="AX121" s="474"/>
      <c r="AZ121" s="474"/>
    </row>
    <row r="122" spans="2:52" s="475" customFormat="1">
      <c r="B122" s="306"/>
      <c r="C122" s="950">
        <f t="shared" si="59"/>
        <v>63</v>
      </c>
      <c r="D122" s="172"/>
      <c r="E122" s="1239"/>
      <c r="F122" s="28"/>
      <c r="G122" s="28"/>
      <c r="H122" s="28"/>
      <c r="I122" s="359"/>
      <c r="J122" s="359"/>
      <c r="K122" s="359"/>
      <c r="L122" s="28"/>
      <c r="M122" s="360"/>
      <c r="N122" s="360"/>
      <c r="O122" s="360"/>
      <c r="P122" s="94"/>
      <c r="Q122" s="94"/>
      <c r="R122" s="474"/>
      <c r="S122" s="474"/>
      <c r="T122" s="474"/>
      <c r="U122" s="474"/>
      <c r="V122" s="474"/>
      <c r="W122" s="474"/>
      <c r="AK122" s="474"/>
      <c r="AM122" s="474"/>
      <c r="AO122" s="474"/>
      <c r="AR122" s="474"/>
      <c r="AT122" s="474"/>
      <c r="AV122" s="474"/>
      <c r="AX122" s="474"/>
      <c r="AZ122" s="474"/>
    </row>
    <row r="123" spans="2:52" s="475" customFormat="1">
      <c r="B123" s="306"/>
      <c r="C123" s="950">
        <f t="shared" si="59"/>
        <v>64</v>
      </c>
      <c r="D123" s="172"/>
      <c r="E123" s="1239"/>
      <c r="F123" s="28"/>
      <c r="G123" s="28"/>
      <c r="H123" s="28"/>
      <c r="I123" s="359"/>
      <c r="J123" s="359"/>
      <c r="K123" s="359"/>
      <c r="L123" s="28"/>
      <c r="M123" s="360"/>
      <c r="N123" s="360"/>
      <c r="O123" s="360"/>
      <c r="P123" s="94"/>
      <c r="Q123" s="94"/>
      <c r="R123" s="474"/>
      <c r="S123" s="474"/>
      <c r="T123" s="474"/>
      <c r="U123" s="474"/>
      <c r="V123" s="474"/>
      <c r="W123" s="474"/>
      <c r="AK123" s="474"/>
      <c r="AM123" s="474"/>
      <c r="AO123" s="474"/>
      <c r="AR123" s="474"/>
      <c r="AT123" s="474"/>
      <c r="AV123" s="474"/>
      <c r="AX123" s="474"/>
      <c r="AZ123" s="474"/>
    </row>
    <row r="124" spans="2:52" s="475" customFormat="1">
      <c r="B124" s="306"/>
      <c r="C124" s="950">
        <f t="shared" si="59"/>
        <v>65</v>
      </c>
      <c r="D124" s="172"/>
      <c r="E124" s="1239"/>
      <c r="F124" s="28"/>
      <c r="G124" s="28"/>
      <c r="H124" s="28"/>
      <c r="I124" s="359"/>
      <c r="J124" s="359"/>
      <c r="K124" s="359"/>
      <c r="L124" s="28"/>
      <c r="M124" s="360"/>
      <c r="N124" s="360"/>
      <c r="O124" s="360"/>
      <c r="P124" s="94"/>
      <c r="Q124" s="94"/>
      <c r="R124" s="474"/>
      <c r="S124" s="474"/>
      <c r="T124" s="474"/>
      <c r="U124" s="474"/>
      <c r="V124" s="474"/>
      <c r="W124" s="474"/>
      <c r="AK124" s="474"/>
      <c r="AM124" s="474"/>
      <c r="AO124" s="474"/>
      <c r="AR124" s="474"/>
      <c r="AT124" s="474"/>
      <c r="AV124" s="474"/>
      <c r="AX124" s="474"/>
      <c r="AZ124" s="474"/>
    </row>
    <row r="125" spans="2:52" s="475" customFormat="1">
      <c r="B125" s="306"/>
      <c r="C125" s="950">
        <f t="shared" ref="C125:C158" si="60">C124+1</f>
        <v>66</v>
      </c>
      <c r="D125" s="172"/>
      <c r="E125" s="1239"/>
      <c r="F125" s="28"/>
      <c r="G125" s="28"/>
      <c r="H125" s="28"/>
      <c r="I125" s="359"/>
      <c r="J125" s="359"/>
      <c r="K125" s="359"/>
      <c r="L125" s="28"/>
      <c r="M125" s="360"/>
      <c r="N125" s="360"/>
      <c r="O125" s="360"/>
      <c r="P125" s="94"/>
      <c r="Q125" s="94"/>
      <c r="R125" s="474"/>
      <c r="S125" s="474"/>
      <c r="T125" s="474"/>
      <c r="U125" s="474"/>
      <c r="V125" s="474"/>
      <c r="W125" s="474"/>
      <c r="AK125" s="474"/>
      <c r="AM125" s="474"/>
      <c r="AO125" s="474"/>
      <c r="AR125" s="474"/>
      <c r="AT125" s="474"/>
      <c r="AV125" s="474"/>
      <c r="AX125" s="474"/>
      <c r="AZ125" s="474"/>
    </row>
    <row r="126" spans="2:52" s="475" customFormat="1">
      <c r="B126" s="306"/>
      <c r="C126" s="950">
        <f t="shared" si="60"/>
        <v>67</v>
      </c>
      <c r="D126" s="172"/>
      <c r="E126" s="1239"/>
      <c r="F126" s="28"/>
      <c r="G126" s="28"/>
      <c r="H126" s="28"/>
      <c r="I126" s="359"/>
      <c r="J126" s="359"/>
      <c r="K126" s="359"/>
      <c r="L126" s="28"/>
      <c r="M126" s="360"/>
      <c r="N126" s="360"/>
      <c r="O126" s="360"/>
      <c r="P126" s="94"/>
      <c r="Q126" s="94"/>
      <c r="R126" s="474"/>
      <c r="S126" s="474"/>
      <c r="T126" s="474"/>
      <c r="U126" s="474"/>
      <c r="V126" s="474"/>
      <c r="W126" s="474"/>
      <c r="AK126" s="474"/>
      <c r="AM126" s="474"/>
      <c r="AO126" s="474"/>
      <c r="AR126" s="474"/>
      <c r="AT126" s="474"/>
      <c r="AV126" s="474"/>
      <c r="AX126" s="474"/>
      <c r="AZ126" s="474"/>
    </row>
    <row r="127" spans="2:52" s="475" customFormat="1">
      <c r="B127" s="306"/>
      <c r="C127" s="950">
        <f t="shared" si="60"/>
        <v>68</v>
      </c>
      <c r="D127" s="172"/>
      <c r="E127" s="1239"/>
      <c r="F127" s="28"/>
      <c r="G127" s="28"/>
      <c r="H127" s="28"/>
      <c r="I127" s="359"/>
      <c r="J127" s="359"/>
      <c r="K127" s="359"/>
      <c r="L127" s="28"/>
      <c r="M127" s="360"/>
      <c r="N127" s="360"/>
      <c r="O127" s="360"/>
      <c r="P127" s="94"/>
      <c r="Q127" s="94"/>
      <c r="R127" s="474"/>
      <c r="S127" s="474"/>
      <c r="T127" s="474"/>
      <c r="U127" s="474"/>
      <c r="V127" s="474"/>
      <c r="W127" s="474"/>
      <c r="AK127" s="474"/>
      <c r="AM127" s="474"/>
      <c r="AO127" s="474"/>
      <c r="AR127" s="474"/>
      <c r="AT127" s="474"/>
      <c r="AV127" s="474"/>
      <c r="AX127" s="474"/>
      <c r="AZ127" s="474"/>
    </row>
    <row r="128" spans="2:52" s="475" customFormat="1">
      <c r="B128" s="306"/>
      <c r="C128" s="950">
        <f t="shared" si="60"/>
        <v>69</v>
      </c>
      <c r="D128" s="172"/>
      <c r="E128" s="1239"/>
      <c r="F128" s="28"/>
      <c r="G128" s="28"/>
      <c r="H128" s="28"/>
      <c r="I128" s="359"/>
      <c r="J128" s="359"/>
      <c r="K128" s="359"/>
      <c r="L128" s="28"/>
      <c r="M128" s="360"/>
      <c r="N128" s="360"/>
      <c r="O128" s="360"/>
      <c r="P128" s="94"/>
      <c r="Q128" s="94"/>
      <c r="R128" s="474"/>
      <c r="S128" s="474"/>
      <c r="T128" s="474"/>
      <c r="U128" s="474"/>
      <c r="V128" s="474"/>
      <c r="W128" s="474"/>
      <c r="AK128" s="474"/>
      <c r="AM128" s="474"/>
      <c r="AO128" s="474"/>
      <c r="AR128" s="474"/>
      <c r="AT128" s="474"/>
      <c r="AV128" s="474"/>
      <c r="AX128" s="474"/>
      <c r="AZ128" s="474"/>
    </row>
    <row r="129" spans="2:52" s="475" customFormat="1">
      <c r="B129" s="306"/>
      <c r="C129" s="950">
        <f t="shared" si="60"/>
        <v>70</v>
      </c>
      <c r="D129" s="172"/>
      <c r="E129" s="1239"/>
      <c r="F129" s="28"/>
      <c r="G129" s="28"/>
      <c r="H129" s="28"/>
      <c r="I129" s="359"/>
      <c r="J129" s="359"/>
      <c r="K129" s="359"/>
      <c r="L129" s="28"/>
      <c r="M129" s="360"/>
      <c r="N129" s="360"/>
      <c r="O129" s="360"/>
      <c r="P129" s="94"/>
      <c r="Q129" s="94"/>
      <c r="R129" s="474"/>
      <c r="S129" s="474"/>
      <c r="T129" s="474"/>
      <c r="U129" s="474"/>
      <c r="V129" s="474"/>
      <c r="W129" s="474"/>
      <c r="AK129" s="474"/>
      <c r="AM129" s="474"/>
      <c r="AO129" s="474"/>
      <c r="AR129" s="474"/>
      <c r="AT129" s="474"/>
      <c r="AV129" s="474"/>
      <c r="AX129" s="474"/>
      <c r="AZ129" s="474"/>
    </row>
    <row r="130" spans="2:52" s="475" customFormat="1">
      <c r="B130" s="306"/>
      <c r="C130" s="950">
        <f t="shared" si="60"/>
        <v>71</v>
      </c>
      <c r="D130" s="172"/>
      <c r="E130" s="1239"/>
      <c r="F130" s="28"/>
      <c r="G130" s="28"/>
      <c r="H130" s="28"/>
      <c r="I130" s="359"/>
      <c r="J130" s="359"/>
      <c r="K130" s="359"/>
      <c r="L130" s="28"/>
      <c r="M130" s="360"/>
      <c r="N130" s="360"/>
      <c r="O130" s="360"/>
      <c r="P130" s="94"/>
      <c r="Q130" s="94"/>
      <c r="R130" s="474"/>
      <c r="S130" s="474"/>
      <c r="T130" s="474"/>
      <c r="U130" s="474"/>
      <c r="V130" s="474"/>
      <c r="W130" s="474"/>
      <c r="AK130" s="474"/>
      <c r="AM130" s="474"/>
      <c r="AO130" s="474"/>
      <c r="AR130" s="474"/>
      <c r="AT130" s="474"/>
      <c r="AV130" s="474"/>
      <c r="AX130" s="474"/>
      <c r="AZ130" s="474"/>
    </row>
    <row r="131" spans="2:52" s="475" customFormat="1">
      <c r="B131" s="306"/>
      <c r="C131" s="950">
        <f t="shared" si="60"/>
        <v>72</v>
      </c>
      <c r="D131" s="172"/>
      <c r="E131" s="1239"/>
      <c r="F131" s="28"/>
      <c r="G131" s="28"/>
      <c r="H131" s="28"/>
      <c r="I131" s="359"/>
      <c r="J131" s="359"/>
      <c r="K131" s="359"/>
      <c r="L131" s="28"/>
      <c r="M131" s="360"/>
      <c r="N131" s="360"/>
      <c r="O131" s="360"/>
      <c r="P131" s="94"/>
      <c r="Q131" s="94"/>
      <c r="R131" s="474"/>
      <c r="S131" s="474"/>
      <c r="T131" s="474"/>
      <c r="U131" s="474"/>
      <c r="V131" s="474"/>
      <c r="W131" s="474"/>
      <c r="AK131" s="474"/>
      <c r="AM131" s="474"/>
      <c r="AO131" s="474"/>
      <c r="AR131" s="474"/>
      <c r="AT131" s="474"/>
      <c r="AV131" s="474"/>
      <c r="AX131" s="474"/>
      <c r="AZ131" s="474"/>
    </row>
    <row r="132" spans="2:52" s="475" customFormat="1">
      <c r="B132" s="306"/>
      <c r="C132" s="950">
        <f t="shared" si="60"/>
        <v>73</v>
      </c>
      <c r="D132" s="172"/>
      <c r="E132" s="1239"/>
      <c r="F132" s="28"/>
      <c r="G132" s="28"/>
      <c r="H132" s="28"/>
      <c r="I132" s="359"/>
      <c r="J132" s="359"/>
      <c r="K132" s="359"/>
      <c r="L132" s="28"/>
      <c r="M132" s="360"/>
      <c r="N132" s="360"/>
      <c r="O132" s="360"/>
      <c r="P132" s="94"/>
      <c r="Q132" s="94"/>
      <c r="R132" s="474"/>
      <c r="S132" s="474"/>
      <c r="T132" s="474"/>
      <c r="U132" s="474"/>
      <c r="V132" s="474"/>
      <c r="W132" s="474"/>
      <c r="AK132" s="474"/>
      <c r="AM132" s="474"/>
      <c r="AO132" s="474"/>
      <c r="AR132" s="474"/>
      <c r="AT132" s="474"/>
      <c r="AV132" s="474"/>
      <c r="AX132" s="474"/>
      <c r="AZ132" s="474"/>
    </row>
    <row r="133" spans="2:52" s="475" customFormat="1">
      <c r="B133" s="306"/>
      <c r="C133" s="950">
        <f t="shared" si="60"/>
        <v>74</v>
      </c>
      <c r="D133" s="172"/>
      <c r="E133" s="1239"/>
      <c r="F133" s="28"/>
      <c r="G133" s="28"/>
      <c r="H133" s="28"/>
      <c r="I133" s="359"/>
      <c r="J133" s="359"/>
      <c r="K133" s="359"/>
      <c r="L133" s="28"/>
      <c r="M133" s="360"/>
      <c r="N133" s="360"/>
      <c r="O133" s="360"/>
      <c r="P133" s="94"/>
      <c r="Q133" s="94"/>
      <c r="R133" s="474"/>
      <c r="S133" s="474"/>
      <c r="T133" s="474"/>
      <c r="U133" s="474"/>
      <c r="V133" s="474"/>
      <c r="W133" s="474"/>
      <c r="AK133" s="474"/>
      <c r="AM133" s="474"/>
      <c r="AO133" s="474"/>
      <c r="AR133" s="474"/>
      <c r="AT133" s="474"/>
      <c r="AV133" s="474"/>
      <c r="AX133" s="474"/>
      <c r="AZ133" s="474"/>
    </row>
    <row r="134" spans="2:52" s="475" customFormat="1">
      <c r="B134" s="306"/>
      <c r="C134" s="950">
        <f t="shared" si="60"/>
        <v>75</v>
      </c>
      <c r="D134" s="172"/>
      <c r="E134" s="1239"/>
      <c r="F134" s="28"/>
      <c r="G134" s="28"/>
      <c r="H134" s="28"/>
      <c r="I134" s="359"/>
      <c r="J134" s="359"/>
      <c r="K134" s="359"/>
      <c r="L134" s="28"/>
      <c r="M134" s="360"/>
      <c r="N134" s="360"/>
      <c r="O134" s="360"/>
      <c r="P134" s="94"/>
      <c r="Q134" s="94"/>
      <c r="R134" s="474"/>
      <c r="S134" s="474"/>
      <c r="T134" s="474"/>
      <c r="U134" s="474"/>
      <c r="V134" s="474"/>
      <c r="W134" s="474"/>
      <c r="AK134" s="474"/>
      <c r="AM134" s="474"/>
      <c r="AO134" s="474"/>
      <c r="AR134" s="474"/>
      <c r="AT134" s="474"/>
      <c r="AV134" s="474"/>
      <c r="AX134" s="474"/>
      <c r="AZ134" s="474"/>
    </row>
    <row r="135" spans="2:52" s="475" customFormat="1">
      <c r="B135" s="306"/>
      <c r="C135" s="950">
        <f t="shared" si="60"/>
        <v>76</v>
      </c>
      <c r="D135" s="172"/>
      <c r="E135" s="1239"/>
      <c r="F135" s="28"/>
      <c r="G135" s="28"/>
      <c r="H135" s="28"/>
      <c r="I135" s="359"/>
      <c r="J135" s="359"/>
      <c r="K135" s="359"/>
      <c r="L135" s="28"/>
      <c r="M135" s="360"/>
      <c r="N135" s="360"/>
      <c r="O135" s="360"/>
      <c r="P135" s="94"/>
      <c r="Q135" s="94"/>
      <c r="R135" s="474"/>
      <c r="S135" s="474"/>
      <c r="T135" s="474"/>
      <c r="U135" s="474"/>
      <c r="V135" s="474"/>
      <c r="W135" s="474"/>
      <c r="AK135" s="474"/>
      <c r="AM135" s="474"/>
      <c r="AO135" s="474"/>
      <c r="AR135" s="474"/>
      <c r="AT135" s="474"/>
      <c r="AV135" s="474"/>
      <c r="AX135" s="474"/>
      <c r="AZ135" s="474"/>
    </row>
    <row r="136" spans="2:52" s="475" customFormat="1">
      <c r="B136" s="306"/>
      <c r="C136" s="950">
        <f t="shared" si="60"/>
        <v>77</v>
      </c>
      <c r="D136" s="172"/>
      <c r="E136" s="1239"/>
      <c r="F136" s="28"/>
      <c r="G136" s="28"/>
      <c r="H136" s="28"/>
      <c r="I136" s="359"/>
      <c r="J136" s="359"/>
      <c r="K136" s="359"/>
      <c r="L136" s="28"/>
      <c r="M136" s="360"/>
      <c r="N136" s="360"/>
      <c r="O136" s="360"/>
      <c r="P136" s="94"/>
      <c r="Q136" s="94"/>
      <c r="R136" s="474"/>
      <c r="S136" s="474"/>
      <c r="T136" s="474"/>
      <c r="U136" s="474"/>
      <c r="V136" s="474"/>
      <c r="W136" s="474"/>
      <c r="AK136" s="474"/>
      <c r="AM136" s="474"/>
      <c r="AO136" s="474"/>
      <c r="AR136" s="474"/>
      <c r="AT136" s="474"/>
      <c r="AV136" s="474"/>
      <c r="AX136" s="474"/>
      <c r="AZ136" s="474"/>
    </row>
    <row r="137" spans="2:52" s="475" customFormat="1">
      <c r="B137" s="306"/>
      <c r="C137" s="950">
        <f t="shared" si="60"/>
        <v>78</v>
      </c>
      <c r="D137" s="172"/>
      <c r="E137" s="1239"/>
      <c r="F137" s="28"/>
      <c r="G137" s="28"/>
      <c r="H137" s="28"/>
      <c r="I137" s="359"/>
      <c r="J137" s="359"/>
      <c r="K137" s="359"/>
      <c r="L137" s="28"/>
      <c r="M137" s="360"/>
      <c r="N137" s="360"/>
      <c r="O137" s="360"/>
      <c r="P137" s="94"/>
      <c r="Q137" s="94"/>
      <c r="R137" s="474"/>
      <c r="S137" s="474"/>
      <c r="T137" s="474"/>
      <c r="U137" s="474"/>
      <c r="V137" s="474"/>
      <c r="W137" s="474"/>
      <c r="AK137" s="474"/>
      <c r="AM137" s="474"/>
      <c r="AO137" s="474"/>
      <c r="AR137" s="474"/>
      <c r="AT137" s="474"/>
      <c r="AV137" s="474"/>
      <c r="AX137" s="474"/>
      <c r="AZ137" s="474"/>
    </row>
    <row r="138" spans="2:52" s="475" customFormat="1">
      <c r="B138" s="306"/>
      <c r="C138" s="950">
        <f t="shared" si="60"/>
        <v>79</v>
      </c>
      <c r="D138" s="172"/>
      <c r="E138" s="1239"/>
      <c r="F138" s="28"/>
      <c r="G138" s="28"/>
      <c r="H138" s="28"/>
      <c r="I138" s="359"/>
      <c r="J138" s="359"/>
      <c r="K138" s="359"/>
      <c r="L138" s="28"/>
      <c r="M138" s="360"/>
      <c r="N138" s="360"/>
      <c r="O138" s="360"/>
      <c r="P138" s="94"/>
      <c r="Q138" s="94"/>
      <c r="R138" s="474"/>
      <c r="S138" s="474"/>
      <c r="T138" s="474"/>
      <c r="U138" s="474"/>
      <c r="V138" s="474"/>
      <c r="W138" s="474"/>
      <c r="AK138" s="474"/>
      <c r="AM138" s="474"/>
      <c r="AO138" s="474"/>
      <c r="AR138" s="474"/>
      <c r="AT138" s="474"/>
      <c r="AV138" s="474"/>
      <c r="AX138" s="474"/>
      <c r="AZ138" s="474"/>
    </row>
    <row r="139" spans="2:52" s="475" customFormat="1">
      <c r="B139" s="306"/>
      <c r="C139" s="950">
        <f t="shared" si="60"/>
        <v>80</v>
      </c>
      <c r="D139" s="172"/>
      <c r="E139" s="1239"/>
      <c r="F139" s="28"/>
      <c r="G139" s="28"/>
      <c r="H139" s="28"/>
      <c r="I139" s="359"/>
      <c r="J139" s="359"/>
      <c r="K139" s="359"/>
      <c r="L139" s="28"/>
      <c r="M139" s="360"/>
      <c r="N139" s="360"/>
      <c r="O139" s="360"/>
      <c r="P139" s="94"/>
      <c r="Q139" s="94"/>
      <c r="R139" s="474"/>
      <c r="S139" s="474"/>
      <c r="T139" s="474"/>
      <c r="U139" s="474"/>
      <c r="V139" s="474"/>
      <c r="W139" s="474"/>
      <c r="AK139" s="474"/>
      <c r="AM139" s="474"/>
      <c r="AO139" s="474"/>
      <c r="AR139" s="474"/>
      <c r="AT139" s="474"/>
      <c r="AV139" s="474"/>
      <c r="AX139" s="474"/>
      <c r="AZ139" s="474"/>
    </row>
    <row r="140" spans="2:52" s="475" customFormat="1">
      <c r="B140" s="306"/>
      <c r="C140" s="950">
        <f t="shared" si="60"/>
        <v>81</v>
      </c>
      <c r="D140" s="172"/>
      <c r="E140" s="1239"/>
      <c r="F140" s="28"/>
      <c r="G140" s="28"/>
      <c r="H140" s="28"/>
      <c r="I140" s="359"/>
      <c r="J140" s="359"/>
      <c r="K140" s="359"/>
      <c r="L140" s="28"/>
      <c r="M140" s="360"/>
      <c r="N140" s="360"/>
      <c r="O140" s="360"/>
      <c r="P140" s="94"/>
      <c r="Q140" s="94"/>
      <c r="R140" s="474"/>
      <c r="S140" s="474"/>
      <c r="T140" s="474"/>
      <c r="U140" s="474"/>
      <c r="V140" s="474"/>
      <c r="W140" s="474"/>
      <c r="AK140" s="474"/>
      <c r="AM140" s="474"/>
      <c r="AO140" s="474"/>
      <c r="AR140" s="474"/>
      <c r="AT140" s="474"/>
      <c r="AV140" s="474"/>
      <c r="AX140" s="474"/>
      <c r="AZ140" s="474"/>
    </row>
    <row r="141" spans="2:52" s="475" customFormat="1">
      <c r="B141" s="306"/>
      <c r="C141" s="950">
        <f t="shared" si="60"/>
        <v>82</v>
      </c>
      <c r="D141" s="172"/>
      <c r="E141" s="1239"/>
      <c r="F141" s="28"/>
      <c r="G141" s="28"/>
      <c r="H141" s="28"/>
      <c r="I141" s="359"/>
      <c r="J141" s="359"/>
      <c r="K141" s="359"/>
      <c r="L141" s="28"/>
      <c r="M141" s="360"/>
      <c r="N141" s="360"/>
      <c r="O141" s="360"/>
      <c r="P141" s="94"/>
      <c r="Q141" s="94"/>
      <c r="R141" s="474"/>
      <c r="S141" s="474"/>
      <c r="T141" s="474"/>
      <c r="U141" s="474"/>
      <c r="V141" s="474"/>
      <c r="W141" s="474"/>
      <c r="AK141" s="474"/>
      <c r="AM141" s="474"/>
      <c r="AO141" s="474"/>
      <c r="AR141" s="474"/>
      <c r="AT141" s="474"/>
      <c r="AV141" s="474"/>
      <c r="AX141" s="474"/>
      <c r="AZ141" s="474"/>
    </row>
    <row r="142" spans="2:52" s="475" customFormat="1">
      <c r="B142" s="306"/>
      <c r="C142" s="950">
        <f t="shared" si="60"/>
        <v>83</v>
      </c>
      <c r="D142" s="172"/>
      <c r="E142" s="1239"/>
      <c r="F142" s="28"/>
      <c r="G142" s="28"/>
      <c r="H142" s="28"/>
      <c r="I142" s="359"/>
      <c r="J142" s="359"/>
      <c r="K142" s="359"/>
      <c r="L142" s="28"/>
      <c r="M142" s="360"/>
      <c r="N142" s="360"/>
      <c r="O142" s="360"/>
      <c r="P142" s="94"/>
      <c r="Q142" s="94"/>
      <c r="R142" s="474"/>
      <c r="S142" s="474"/>
      <c r="T142" s="474"/>
      <c r="U142" s="474"/>
      <c r="V142" s="474"/>
      <c r="W142" s="474"/>
      <c r="AK142" s="474"/>
      <c r="AM142" s="474"/>
      <c r="AO142" s="474"/>
      <c r="AR142" s="474"/>
      <c r="AT142" s="474"/>
      <c r="AV142" s="474"/>
      <c r="AX142" s="474"/>
      <c r="AZ142" s="474"/>
    </row>
    <row r="143" spans="2:52" s="475" customFormat="1">
      <c r="B143" s="306"/>
      <c r="C143" s="950">
        <f t="shared" si="60"/>
        <v>84</v>
      </c>
      <c r="D143" s="172"/>
      <c r="E143" s="1239"/>
      <c r="F143" s="28"/>
      <c r="G143" s="28"/>
      <c r="H143" s="28"/>
      <c r="I143" s="359"/>
      <c r="J143" s="359"/>
      <c r="K143" s="359"/>
      <c r="L143" s="28"/>
      <c r="M143" s="360"/>
      <c r="N143" s="360"/>
      <c r="O143" s="360"/>
      <c r="P143" s="94"/>
      <c r="Q143" s="94"/>
      <c r="R143" s="474"/>
      <c r="S143" s="474"/>
      <c r="T143" s="474"/>
      <c r="U143" s="474"/>
      <c r="V143" s="474"/>
      <c r="W143" s="474"/>
      <c r="AK143" s="474"/>
      <c r="AM143" s="474"/>
      <c r="AO143" s="474"/>
      <c r="AR143" s="474"/>
      <c r="AT143" s="474"/>
      <c r="AV143" s="474"/>
      <c r="AX143" s="474"/>
      <c r="AZ143" s="474"/>
    </row>
    <row r="144" spans="2:52" s="475" customFormat="1">
      <c r="B144" s="306"/>
      <c r="C144" s="950">
        <f t="shared" si="60"/>
        <v>85</v>
      </c>
      <c r="D144" s="172"/>
      <c r="E144" s="1239"/>
      <c r="F144" s="28"/>
      <c r="G144" s="28"/>
      <c r="H144" s="28"/>
      <c r="I144" s="359"/>
      <c r="J144" s="359"/>
      <c r="K144" s="359"/>
      <c r="L144" s="28"/>
      <c r="M144" s="360"/>
      <c r="N144" s="360"/>
      <c r="O144" s="360"/>
      <c r="P144" s="94"/>
      <c r="Q144" s="94"/>
      <c r="R144" s="474"/>
      <c r="S144" s="474"/>
      <c r="T144" s="474"/>
      <c r="U144" s="474"/>
      <c r="V144" s="474"/>
      <c r="W144" s="474"/>
      <c r="AK144" s="474"/>
      <c r="AM144" s="474"/>
      <c r="AO144" s="474"/>
      <c r="AR144" s="474"/>
      <c r="AT144" s="474"/>
      <c r="AV144" s="474"/>
      <c r="AX144" s="474"/>
      <c r="AZ144" s="474"/>
    </row>
    <row r="145" spans="2:52" s="475" customFormat="1">
      <c r="B145" s="306"/>
      <c r="C145" s="950">
        <f t="shared" si="60"/>
        <v>86</v>
      </c>
      <c r="D145" s="172"/>
      <c r="E145" s="1239"/>
      <c r="F145" s="28"/>
      <c r="G145" s="28"/>
      <c r="H145" s="28"/>
      <c r="I145" s="359"/>
      <c r="J145" s="359"/>
      <c r="K145" s="359"/>
      <c r="L145" s="28"/>
      <c r="M145" s="360"/>
      <c r="N145" s="360"/>
      <c r="O145" s="360"/>
      <c r="P145" s="94"/>
      <c r="Q145" s="94"/>
      <c r="R145" s="474"/>
      <c r="S145" s="474"/>
      <c r="T145" s="474"/>
      <c r="U145" s="474"/>
      <c r="V145" s="474"/>
      <c r="W145" s="474"/>
      <c r="AK145" s="474"/>
      <c r="AM145" s="474"/>
      <c r="AO145" s="474"/>
      <c r="AR145" s="474"/>
      <c r="AT145" s="474"/>
      <c r="AV145" s="474"/>
      <c r="AX145" s="474"/>
      <c r="AZ145" s="474"/>
    </row>
    <row r="146" spans="2:52" s="475" customFormat="1">
      <c r="B146" s="306"/>
      <c r="C146" s="950">
        <f t="shared" si="60"/>
        <v>87</v>
      </c>
      <c r="D146" s="172"/>
      <c r="E146" s="1239"/>
      <c r="F146" s="28"/>
      <c r="G146" s="28"/>
      <c r="H146" s="28"/>
      <c r="I146" s="359"/>
      <c r="J146" s="359"/>
      <c r="K146" s="359"/>
      <c r="L146" s="28"/>
      <c r="M146" s="360"/>
      <c r="N146" s="360"/>
      <c r="O146" s="360"/>
      <c r="P146" s="94"/>
      <c r="Q146" s="94"/>
      <c r="R146" s="474"/>
      <c r="S146" s="474"/>
      <c r="T146" s="474"/>
      <c r="U146" s="474"/>
      <c r="V146" s="474"/>
      <c r="W146" s="474"/>
      <c r="AK146" s="474"/>
      <c r="AM146" s="474"/>
      <c r="AO146" s="474"/>
      <c r="AR146" s="474"/>
      <c r="AT146" s="474"/>
      <c r="AV146" s="474"/>
      <c r="AX146" s="474"/>
      <c r="AZ146" s="474"/>
    </row>
    <row r="147" spans="2:52" s="475" customFormat="1">
      <c r="B147" s="306"/>
      <c r="C147" s="950">
        <f t="shared" si="60"/>
        <v>88</v>
      </c>
      <c r="D147" s="172"/>
      <c r="E147" s="1239"/>
      <c r="F147" s="28"/>
      <c r="G147" s="28"/>
      <c r="H147" s="28"/>
      <c r="I147" s="359"/>
      <c r="J147" s="359"/>
      <c r="K147" s="359"/>
      <c r="L147" s="28"/>
      <c r="M147" s="360"/>
      <c r="N147" s="360"/>
      <c r="O147" s="360"/>
      <c r="P147" s="94"/>
      <c r="Q147" s="94"/>
      <c r="R147" s="474"/>
      <c r="S147" s="474"/>
      <c r="T147" s="474"/>
      <c r="U147" s="474"/>
      <c r="V147" s="474"/>
      <c r="W147" s="474"/>
      <c r="AK147" s="474"/>
      <c r="AM147" s="474"/>
      <c r="AO147" s="474"/>
      <c r="AR147" s="474"/>
      <c r="AT147" s="474"/>
      <c r="AV147" s="474"/>
      <c r="AX147" s="474"/>
      <c r="AZ147" s="474"/>
    </row>
    <row r="148" spans="2:52" s="475" customFormat="1">
      <c r="B148" s="306"/>
      <c r="C148" s="950">
        <f t="shared" si="60"/>
        <v>89</v>
      </c>
      <c r="D148" s="172"/>
      <c r="E148" s="1239"/>
      <c r="F148" s="28"/>
      <c r="G148" s="28"/>
      <c r="H148" s="28"/>
      <c r="I148" s="359"/>
      <c r="J148" s="359"/>
      <c r="K148" s="359"/>
      <c r="L148" s="28"/>
      <c r="M148" s="360"/>
      <c r="N148" s="360"/>
      <c r="O148" s="360"/>
      <c r="P148" s="94"/>
      <c r="Q148" s="94"/>
      <c r="R148" s="474"/>
      <c r="S148" s="474"/>
      <c r="T148" s="474"/>
      <c r="U148" s="474"/>
      <c r="V148" s="474"/>
      <c r="W148" s="474"/>
      <c r="AK148" s="474"/>
      <c r="AM148" s="474"/>
      <c r="AO148" s="474"/>
      <c r="AR148" s="474"/>
      <c r="AT148" s="474"/>
      <c r="AV148" s="474"/>
      <c r="AX148" s="474"/>
      <c r="AZ148" s="474"/>
    </row>
    <row r="149" spans="2:52" s="475" customFormat="1">
      <c r="B149" s="306"/>
      <c r="C149" s="950">
        <f t="shared" si="60"/>
        <v>90</v>
      </c>
      <c r="D149" s="172"/>
      <c r="E149" s="1239"/>
      <c r="F149" s="28"/>
      <c r="G149" s="28"/>
      <c r="H149" s="28"/>
      <c r="I149" s="359"/>
      <c r="J149" s="359"/>
      <c r="K149" s="359"/>
      <c r="L149" s="28"/>
      <c r="M149" s="360"/>
      <c r="N149" s="360"/>
      <c r="O149" s="360"/>
      <c r="P149" s="94"/>
      <c r="Q149" s="94"/>
      <c r="R149" s="474"/>
      <c r="S149" s="474"/>
      <c r="T149" s="474"/>
      <c r="U149" s="474"/>
      <c r="V149" s="474"/>
      <c r="W149" s="474"/>
      <c r="AK149" s="474"/>
      <c r="AM149" s="474"/>
      <c r="AO149" s="474"/>
      <c r="AR149" s="474"/>
      <c r="AT149" s="474"/>
      <c r="AV149" s="474"/>
      <c r="AX149" s="474"/>
      <c r="AZ149" s="474"/>
    </row>
    <row r="150" spans="2:52" s="475" customFormat="1">
      <c r="B150" s="306"/>
      <c r="C150" s="950">
        <f t="shared" si="60"/>
        <v>91</v>
      </c>
      <c r="D150" s="172"/>
      <c r="E150" s="1239"/>
      <c r="F150" s="28"/>
      <c r="G150" s="28"/>
      <c r="H150" s="28"/>
      <c r="I150" s="359"/>
      <c r="J150" s="359"/>
      <c r="K150" s="359"/>
      <c r="L150" s="28"/>
      <c r="M150" s="360"/>
      <c r="N150" s="360"/>
      <c r="O150" s="360"/>
      <c r="P150" s="94"/>
      <c r="Q150" s="94"/>
      <c r="R150" s="474"/>
      <c r="S150" s="474"/>
      <c r="T150" s="474"/>
      <c r="U150" s="474"/>
      <c r="V150" s="474"/>
      <c r="W150" s="474"/>
      <c r="AK150" s="474"/>
      <c r="AM150" s="474"/>
      <c r="AO150" s="474"/>
      <c r="AR150" s="474"/>
      <c r="AT150" s="474"/>
      <c r="AV150" s="474"/>
      <c r="AX150" s="474"/>
      <c r="AZ150" s="474"/>
    </row>
    <row r="151" spans="2:52" s="475" customFormat="1">
      <c r="B151" s="306"/>
      <c r="C151" s="950">
        <f t="shared" si="60"/>
        <v>92</v>
      </c>
      <c r="D151" s="172"/>
      <c r="E151" s="1239"/>
      <c r="F151" s="28"/>
      <c r="G151" s="28"/>
      <c r="H151" s="28"/>
      <c r="I151" s="359"/>
      <c r="J151" s="359"/>
      <c r="K151" s="359"/>
      <c r="L151" s="28"/>
      <c r="M151" s="360"/>
      <c r="N151" s="360"/>
      <c r="O151" s="360"/>
      <c r="P151" s="94"/>
      <c r="Q151" s="94"/>
      <c r="R151" s="474"/>
      <c r="S151" s="474"/>
      <c r="T151" s="474"/>
      <c r="U151" s="474"/>
      <c r="V151" s="474"/>
      <c r="W151" s="474"/>
      <c r="AK151" s="474"/>
      <c r="AM151" s="474"/>
      <c r="AO151" s="474"/>
      <c r="AR151" s="474"/>
      <c r="AT151" s="474"/>
      <c r="AV151" s="474"/>
      <c r="AX151" s="474"/>
      <c r="AZ151" s="474"/>
    </row>
    <row r="152" spans="2:52" s="475" customFormat="1">
      <c r="B152" s="306"/>
      <c r="C152" s="950">
        <f t="shared" si="60"/>
        <v>93</v>
      </c>
      <c r="D152" s="172"/>
      <c r="E152" s="1239"/>
      <c r="F152" s="28"/>
      <c r="G152" s="28"/>
      <c r="H152" s="28"/>
      <c r="I152" s="359"/>
      <c r="J152" s="359"/>
      <c r="K152" s="359"/>
      <c r="L152" s="28"/>
      <c r="M152" s="360"/>
      <c r="N152" s="360"/>
      <c r="O152" s="360"/>
      <c r="P152" s="94"/>
      <c r="Q152" s="94"/>
      <c r="R152" s="474"/>
      <c r="S152" s="474"/>
      <c r="T152" s="474"/>
      <c r="U152" s="474"/>
      <c r="V152" s="474"/>
      <c r="W152" s="474"/>
      <c r="AK152" s="474"/>
      <c r="AM152" s="474"/>
      <c r="AO152" s="474"/>
      <c r="AR152" s="474"/>
      <c r="AT152" s="474"/>
      <c r="AV152" s="474"/>
      <c r="AX152" s="474"/>
      <c r="AZ152" s="474"/>
    </row>
    <row r="153" spans="2:52" s="475" customFormat="1">
      <c r="B153" s="306"/>
      <c r="C153" s="950">
        <f t="shared" si="60"/>
        <v>94</v>
      </c>
      <c r="D153" s="172"/>
      <c r="E153" s="1239"/>
      <c r="F153" s="28"/>
      <c r="G153" s="28"/>
      <c r="H153" s="28"/>
      <c r="I153" s="359"/>
      <c r="J153" s="359"/>
      <c r="K153" s="359"/>
      <c r="L153" s="28"/>
      <c r="M153" s="360"/>
      <c r="N153" s="360"/>
      <c r="O153" s="360"/>
      <c r="P153" s="94"/>
      <c r="Q153" s="94"/>
      <c r="R153" s="474"/>
      <c r="S153" s="474"/>
      <c r="T153" s="474"/>
      <c r="U153" s="474"/>
      <c r="V153" s="474"/>
      <c r="W153" s="474"/>
      <c r="AK153" s="474"/>
      <c r="AM153" s="474"/>
      <c r="AO153" s="474"/>
      <c r="AR153" s="474"/>
      <c r="AT153" s="474"/>
      <c r="AV153" s="474"/>
      <c r="AX153" s="474"/>
      <c r="AZ153" s="474"/>
    </row>
    <row r="154" spans="2:52" s="475" customFormat="1">
      <c r="B154" s="306"/>
      <c r="C154" s="950">
        <f t="shared" si="60"/>
        <v>95</v>
      </c>
      <c r="D154" s="172"/>
      <c r="E154" s="1239"/>
      <c r="F154" s="28"/>
      <c r="G154" s="28"/>
      <c r="H154" s="28"/>
      <c r="I154" s="359"/>
      <c r="J154" s="359"/>
      <c r="K154" s="359"/>
      <c r="L154" s="28"/>
      <c r="M154" s="360"/>
      <c r="N154" s="360"/>
      <c r="O154" s="360"/>
      <c r="P154" s="94"/>
      <c r="Q154" s="94"/>
      <c r="R154" s="474"/>
      <c r="S154" s="474"/>
      <c r="T154" s="474"/>
      <c r="U154" s="474"/>
      <c r="V154" s="474"/>
      <c r="W154" s="474"/>
      <c r="AK154" s="474"/>
      <c r="AM154" s="474"/>
      <c r="AO154" s="474"/>
      <c r="AR154" s="474"/>
      <c r="AT154" s="474"/>
      <c r="AV154" s="474"/>
      <c r="AX154" s="474"/>
      <c r="AZ154" s="474"/>
    </row>
    <row r="155" spans="2:52" s="475" customFormat="1">
      <c r="B155" s="306"/>
      <c r="C155" s="950">
        <f t="shared" si="60"/>
        <v>96</v>
      </c>
      <c r="D155" s="172"/>
      <c r="E155" s="1239"/>
      <c r="F155" s="28"/>
      <c r="G155" s="28"/>
      <c r="H155" s="28"/>
      <c r="I155" s="359"/>
      <c r="J155" s="359"/>
      <c r="K155" s="359"/>
      <c r="L155" s="28"/>
      <c r="M155" s="360"/>
      <c r="N155" s="360"/>
      <c r="O155" s="360"/>
      <c r="P155" s="94"/>
      <c r="Q155" s="94"/>
      <c r="R155" s="474"/>
      <c r="S155" s="474"/>
      <c r="T155" s="474"/>
      <c r="U155" s="474"/>
      <c r="V155" s="474"/>
      <c r="W155" s="474"/>
      <c r="AK155" s="474"/>
      <c r="AM155" s="474"/>
      <c r="AO155" s="474"/>
      <c r="AR155" s="474"/>
      <c r="AT155" s="474"/>
      <c r="AV155" s="474"/>
      <c r="AX155" s="474"/>
      <c r="AZ155" s="474"/>
    </row>
    <row r="156" spans="2:52" s="475" customFormat="1">
      <c r="B156" s="306"/>
      <c r="C156" s="950">
        <f t="shared" si="60"/>
        <v>97</v>
      </c>
      <c r="D156" s="172"/>
      <c r="E156" s="1239"/>
      <c r="F156" s="28"/>
      <c r="G156" s="28"/>
      <c r="H156" s="28"/>
      <c r="I156" s="359"/>
      <c r="J156" s="359"/>
      <c r="K156" s="359"/>
      <c r="L156" s="28"/>
      <c r="M156" s="360"/>
      <c r="N156" s="360"/>
      <c r="O156" s="360"/>
      <c r="P156" s="94"/>
      <c r="Q156" s="94"/>
      <c r="R156" s="474"/>
      <c r="S156" s="474"/>
      <c r="T156" s="474"/>
      <c r="U156" s="474"/>
      <c r="V156" s="474"/>
      <c r="W156" s="474"/>
      <c r="AK156" s="474"/>
      <c r="AM156" s="474"/>
      <c r="AO156" s="474"/>
      <c r="AR156" s="474"/>
      <c r="AT156" s="474"/>
      <c r="AV156" s="474"/>
      <c r="AX156" s="474"/>
      <c r="AZ156" s="474"/>
    </row>
    <row r="157" spans="2:52" s="475" customFormat="1">
      <c r="B157" s="306"/>
      <c r="C157" s="950">
        <f t="shared" si="60"/>
        <v>98</v>
      </c>
      <c r="D157" s="172"/>
      <c r="E157" s="1239"/>
      <c r="F157" s="28"/>
      <c r="G157" s="28"/>
      <c r="H157" s="28"/>
      <c r="I157" s="359"/>
      <c r="J157" s="359"/>
      <c r="K157" s="359"/>
      <c r="L157" s="28"/>
      <c r="M157" s="360"/>
      <c r="N157" s="360"/>
      <c r="O157" s="360"/>
      <c r="P157" s="94"/>
      <c r="Q157" s="94"/>
      <c r="R157" s="474"/>
      <c r="S157" s="474"/>
      <c r="T157" s="474"/>
      <c r="U157" s="474"/>
      <c r="V157" s="474"/>
      <c r="W157" s="474"/>
      <c r="AK157" s="474"/>
      <c r="AM157" s="474"/>
      <c r="AO157" s="474"/>
      <c r="AR157" s="474"/>
      <c r="AT157" s="474"/>
      <c r="AV157" s="474"/>
      <c r="AX157" s="474"/>
      <c r="AZ157" s="474"/>
    </row>
    <row r="158" spans="2:52" s="475" customFormat="1">
      <c r="B158" s="306"/>
      <c r="C158" s="950">
        <f t="shared" si="60"/>
        <v>99</v>
      </c>
      <c r="D158" s="172"/>
      <c r="E158" s="1239"/>
      <c r="F158" s="28"/>
      <c r="G158" s="28"/>
      <c r="H158" s="28"/>
      <c r="I158" s="359"/>
      <c r="J158" s="359"/>
      <c r="K158" s="359"/>
      <c r="L158" s="28"/>
      <c r="M158" s="361"/>
      <c r="N158" s="361"/>
      <c r="O158" s="361"/>
      <c r="P158" s="28"/>
      <c r="Q158" s="28"/>
      <c r="R158" s="474"/>
      <c r="S158" s="474"/>
      <c r="T158" s="474"/>
      <c r="U158" s="474"/>
      <c r="V158" s="474"/>
      <c r="W158" s="474"/>
      <c r="AK158" s="474"/>
      <c r="AM158" s="474"/>
      <c r="AO158" s="474"/>
      <c r="AR158" s="474"/>
      <c r="AT158" s="474"/>
      <c r="AV158" s="474"/>
      <c r="AX158" s="474"/>
      <c r="AZ158" s="474"/>
    </row>
    <row r="159" spans="2:52" s="475" customFormat="1">
      <c r="B159" s="286" t="s">
        <v>26</v>
      </c>
      <c r="F159" s="474"/>
      <c r="G159" s="474"/>
      <c r="H159" s="474"/>
      <c r="I159" s="474"/>
      <c r="J159" s="474"/>
      <c r="K159" s="474"/>
      <c r="L159" s="474"/>
      <c r="M159" s="474"/>
      <c r="N159" s="474"/>
      <c r="O159" s="474"/>
      <c r="P159" s="474"/>
      <c r="Q159" s="474"/>
      <c r="R159" s="474"/>
      <c r="S159" s="474"/>
      <c r="T159" s="474"/>
      <c r="U159" s="474"/>
      <c r="V159" s="474"/>
      <c r="W159" s="474"/>
      <c r="AK159" s="474"/>
      <c r="AM159" s="474"/>
      <c r="AO159" s="474"/>
      <c r="AR159" s="474"/>
      <c r="AT159" s="474"/>
      <c r="AV159" s="474"/>
      <c r="AX159" s="474"/>
      <c r="AZ159" s="474"/>
    </row>
  </sheetData>
  <sheetProtection algorithmName="SHA-512" hashValue="y4dZUOoqSthsPczEZ/8kYLwFzZO0apCPbRZ97D9I6rz4vyKAAYnhiKYhg+esCjhu64toiEsa5qEctabGAYLjdw==" saltValue="m8c7yrc0H5u0kW9BzL+oug==" spinCount="100000" sheet="1" objects="1" scenarios="1" autoFilter="0"/>
  <phoneticPr fontId="15" type="noConversion"/>
  <conditionalFormatting sqref="I33">
    <cfRule type="containsText" dxfId="112" priority="114" operator="containsText" text="No Alert">
      <formula>NOT(ISERROR(SEARCH("No Alert",I33)))</formula>
    </cfRule>
    <cfRule type="containsText" dxfId="111" priority="115" operator="containsText" text="Enter">
      <formula>NOT(ISERROR(SEARCH("Enter",I33)))</formula>
    </cfRule>
  </conditionalFormatting>
  <conditionalFormatting sqref="J10:J29 I36 X36 AB36 AD36 AF36 AH36 AJ36 AL36 AO36 AQ36 AS36 AV36 AX36 DH36:DI36 BB42:BB51 BG42:BG51 BL42:BL51 BQ42:BQ51 BV42:BV51 CQ42:CQ51 CV42:CV51 DA42:DA51 DO42:DO51">
    <cfRule type="cellIs" dxfId="110" priority="29" operator="notEqual">
      <formula>""</formula>
    </cfRule>
  </conditionalFormatting>
  <conditionalFormatting sqref="L10:S29">
    <cfRule type="expression" dxfId="109" priority="28">
      <formula>$J10&lt;&gt;""</formula>
    </cfRule>
  </conditionalFormatting>
  <conditionalFormatting sqref="T38">
    <cfRule type="containsText" dxfId="108" priority="1" operator="containsText" text="ok">
      <formula>NOT(ISERROR(SEARCH("ok",T38)))</formula>
    </cfRule>
    <cfRule type="containsText" dxfId="107" priority="2" operator="containsText" text="Enter">
      <formula>NOT(ISERROR(SEARCH("Enter",T38)))</formula>
    </cfRule>
  </conditionalFormatting>
  <conditionalFormatting sqref="X33">
    <cfRule type="containsText" dxfId="106" priority="112" operator="containsText" text="Enter">
      <formula>NOT(ISERROR(SEARCH("Enter",X33)))</formula>
    </cfRule>
    <cfRule type="containsText" dxfId="105" priority="111" operator="containsText" text="No Alert">
      <formula>NOT(ISERROR(SEARCH("No Alert",X33)))</formula>
    </cfRule>
  </conditionalFormatting>
  <conditionalFormatting sqref="AB33">
    <cfRule type="containsText" dxfId="104" priority="27" operator="containsText" text="Enter">
      <formula>NOT(ISERROR(SEARCH("Enter",AB33)))</formula>
    </cfRule>
    <cfRule type="containsText" dxfId="103" priority="26" operator="containsText" text="No Alert">
      <formula>NOT(ISERROR(SEARCH("No Alert",AB33)))</formula>
    </cfRule>
  </conditionalFormatting>
  <conditionalFormatting sqref="AD33">
    <cfRule type="containsText" dxfId="102" priority="24" operator="containsText" text="No Alert">
      <formula>NOT(ISERROR(SEARCH("No Alert",AD33)))</formula>
    </cfRule>
    <cfRule type="containsText" dxfId="101" priority="25" operator="containsText" text="Enter">
      <formula>NOT(ISERROR(SEARCH("Enter",AD33)))</formula>
    </cfRule>
  </conditionalFormatting>
  <conditionalFormatting sqref="AF33">
    <cfRule type="containsText" dxfId="100" priority="23" operator="containsText" text="Enter">
      <formula>NOT(ISERROR(SEARCH("Enter",AF33)))</formula>
    </cfRule>
    <cfRule type="containsText" dxfId="99" priority="22" operator="containsText" text="No Alert">
      <formula>NOT(ISERROR(SEARCH("No Alert",AF33)))</formula>
    </cfRule>
  </conditionalFormatting>
  <conditionalFormatting sqref="AH33">
    <cfRule type="containsText" dxfId="98" priority="20" operator="containsText" text="No Alert">
      <formula>NOT(ISERROR(SEARCH("No Alert",AH33)))</formula>
    </cfRule>
    <cfRule type="containsText" dxfId="97" priority="21" operator="containsText" text="Enter">
      <formula>NOT(ISERROR(SEARCH("Enter",AH33)))</formula>
    </cfRule>
  </conditionalFormatting>
  <conditionalFormatting sqref="AJ33">
    <cfRule type="containsText" dxfId="96" priority="19" operator="containsText" text="Enter">
      <formula>NOT(ISERROR(SEARCH("Enter",AJ33)))</formula>
    </cfRule>
    <cfRule type="containsText" dxfId="95" priority="18" operator="containsText" text="No Alert">
      <formula>NOT(ISERROR(SEARCH("No Alert",AJ33)))</formula>
    </cfRule>
  </conditionalFormatting>
  <conditionalFormatting sqref="AL33">
    <cfRule type="containsText" dxfId="94" priority="16" operator="containsText" text="No Alert">
      <formula>NOT(ISERROR(SEARCH("No Alert",AL33)))</formula>
    </cfRule>
    <cfRule type="containsText" dxfId="93" priority="17" operator="containsText" text="Enter">
      <formula>NOT(ISERROR(SEARCH("Enter",AL33)))</formula>
    </cfRule>
  </conditionalFormatting>
  <conditionalFormatting sqref="AO33">
    <cfRule type="containsText" dxfId="92" priority="14" operator="containsText" text="No Alert">
      <formula>NOT(ISERROR(SEARCH("No Alert",AO33)))</formula>
    </cfRule>
    <cfRule type="containsText" dxfId="91" priority="15" operator="containsText" text="Enter">
      <formula>NOT(ISERROR(SEARCH("Enter",AO33)))</formula>
    </cfRule>
  </conditionalFormatting>
  <conditionalFormatting sqref="AQ33">
    <cfRule type="containsText" dxfId="90" priority="12" operator="containsText" text="No Alert">
      <formula>NOT(ISERROR(SEARCH("No Alert",AQ33)))</formula>
    </cfRule>
    <cfRule type="containsText" dxfId="89" priority="13" operator="containsText" text="Enter">
      <formula>NOT(ISERROR(SEARCH("Enter",AQ33)))</formula>
    </cfRule>
  </conditionalFormatting>
  <conditionalFormatting sqref="AS33">
    <cfRule type="containsText" dxfId="88" priority="10" operator="containsText" text="No Alert">
      <formula>NOT(ISERROR(SEARCH("No Alert",AS33)))</formula>
    </cfRule>
    <cfRule type="containsText" dxfId="87" priority="11" operator="containsText" text="Enter">
      <formula>NOT(ISERROR(SEARCH("Enter",AS33)))</formula>
    </cfRule>
  </conditionalFormatting>
  <conditionalFormatting sqref="AV33">
    <cfRule type="containsText" dxfId="86" priority="8" operator="containsText" text="No Alert">
      <formula>NOT(ISERROR(SEARCH("No Alert",AV33)))</formula>
    </cfRule>
    <cfRule type="containsText" dxfId="85" priority="9" operator="containsText" text="Enter">
      <formula>NOT(ISERROR(SEARCH("Enter",AV33)))</formula>
    </cfRule>
  </conditionalFormatting>
  <conditionalFormatting sqref="AX33">
    <cfRule type="containsText" dxfId="84" priority="7" operator="containsText" text="Enter">
      <formula>NOT(ISERROR(SEARCH("Enter",AX33)))</formula>
    </cfRule>
    <cfRule type="containsText" dxfId="83" priority="6" operator="containsText" text="No Alert">
      <formula>NOT(ISERROR(SEARCH("No Alert",AX33)))</formula>
    </cfRule>
  </conditionalFormatting>
  <conditionalFormatting sqref="BA33:BB33">
    <cfRule type="containsText" dxfId="82" priority="120" operator="containsText" text="ok">
      <formula>NOT(ISERROR(SEARCH("ok",BA33)))</formula>
    </cfRule>
    <cfRule type="containsText" dxfId="81" priority="121" operator="containsText" text="Enter">
      <formula>NOT(ISERROR(SEARCH("Enter",BA33)))</formula>
    </cfRule>
  </conditionalFormatting>
  <conditionalFormatting sqref="BF33:BG33 BP33:BQ33">
    <cfRule type="containsText" dxfId="80" priority="152" operator="containsText" text="No Alert">
      <formula>NOT(ISERROR(SEARCH("No Alert",BF33)))</formula>
    </cfRule>
    <cfRule type="containsText" dxfId="79" priority="153" operator="containsText" text="Enter">
      <formula>NOT(ISERROR(SEARCH("Enter",BF33)))</formula>
    </cfRule>
  </conditionalFormatting>
  <conditionalFormatting sqref="BK33:BL33">
    <cfRule type="containsText" dxfId="78" priority="117" operator="containsText" text="ok">
      <formula>NOT(ISERROR(SEARCH("ok",BK33)))</formula>
    </cfRule>
    <cfRule type="containsText" dxfId="77" priority="118" operator="containsText" text="Enter">
      <formula>NOT(ISERROR(SEARCH("Enter",BK33)))</formula>
    </cfRule>
  </conditionalFormatting>
  <conditionalFormatting sqref="BU33:BV33">
    <cfRule type="containsText" dxfId="76" priority="123" operator="containsText" text="ok">
      <formula>NOT(ISERROR(SEARCH("ok",BU33)))</formula>
    </cfRule>
    <cfRule type="containsText" dxfId="75" priority="124" operator="containsText" text="Enter">
      <formula>NOT(ISERROR(SEARCH("Enter",BU33)))</formula>
    </cfRule>
  </conditionalFormatting>
  <conditionalFormatting sqref="CC42:CC51">
    <cfRule type="containsText" dxfId="74" priority="157" operator="containsText" text="Long">
      <formula>NOT(ISERROR(SEARCH("Long",CC42)))</formula>
    </cfRule>
  </conditionalFormatting>
  <conditionalFormatting sqref="CG41">
    <cfRule type="containsText" dxfId="73" priority="4" operator="containsText" text="Enter">
      <formula>NOT(ISERROR(SEARCH("Enter",CG41)))</formula>
    </cfRule>
    <cfRule type="containsText" dxfId="72" priority="3" operator="containsText" text="ok">
      <formula>NOT(ISERROR(SEARCH("ok",CG41)))</formula>
    </cfRule>
  </conditionalFormatting>
  <conditionalFormatting sqref="CK42:CK51">
    <cfRule type="cellIs" dxfId="71" priority="84" operator="notEqual">
      <formula>""</formula>
    </cfRule>
  </conditionalFormatting>
  <conditionalFormatting sqref="DG42:DG51">
    <cfRule type="containsText" dxfId="70" priority="158" operator="containsText" text="Error">
      <formula>NOT(ISERROR(SEARCH("Error",DG42)))</formula>
    </cfRule>
  </conditionalFormatting>
  <conditionalFormatting sqref="DH33:DI33">
    <cfRule type="containsText" dxfId="69" priority="32" operator="containsText" text="No Alert">
      <formula>NOT(ISERROR(SEARCH("No Alert",DH33)))</formula>
    </cfRule>
    <cfRule type="containsText" dxfId="68" priority="33" operator="containsText" text="Enter">
      <formula>NOT(ISERROR(SEARCH("Enter",DH33)))</formula>
    </cfRule>
  </conditionalFormatting>
  <conditionalFormatting sqref="DQ42:DQ51">
    <cfRule type="expression" dxfId="67" priority="5">
      <formula>$DO42&lt;&gt;""</formula>
    </cfRule>
  </conditionalFormatting>
  <dataValidations count="18">
    <dataValidation type="list" allowBlank="1" showInputMessage="1" showErrorMessage="1" sqref="F30" xr:uid="{AE71719B-3E00-438D-BB8F-0BC620840727}">
      <formula1>Cap_Risk_Category</formula1>
    </dataValidation>
    <dataValidation type="list" allowBlank="1" showInputMessage="1" showErrorMessage="1" sqref="F10:F29" xr:uid="{11603C37-9B5C-43CA-AB1E-2964E7F62718}">
      <formula1>Ports_lists</formula1>
    </dataValidation>
    <dataValidation type="whole" allowBlank="1" showInputMessage="1" showErrorMessage="1" sqref="AX42:AX51 AS42:AS51 AV42:AV51 AQ43:AQ51 AO43:AO51" xr:uid="{F7CF2C57-96CA-4279-A827-A124168F6010}">
      <formula1>0</formula1>
      <formula2>1000</formula2>
    </dataValidation>
    <dataValidation type="list" allowBlank="1" showInputMessage="1" showErrorMessage="1" sqref="BD42:BD51" xr:uid="{0F52E359-5D39-4010-BCF8-BB72AFE4E093}">
      <formula1>Camps_list</formula1>
    </dataValidation>
    <dataValidation type="list" allowBlank="1" showInputMessage="1" showErrorMessage="1" sqref="CN42:CN51 CS42:CS51 CX42:CX51" xr:uid="{03325398-1841-408C-9808-A012ADF05EE3}">
      <formula1>Amendments</formula1>
    </dataValidation>
    <dataValidation type="whole" allowBlank="1" showInputMessage="1" showErrorMessage="1" sqref="AG42:AG51 AK42:AK51 AI42:AI51 AM42:AM51" xr:uid="{BCE88ED0-5F86-44E1-8E70-B078ABAD8FAA}">
      <formula1>0</formula1>
      <formula2>100</formula2>
    </dataValidation>
    <dataValidation type="list" allowBlank="1" showInputMessage="1" showErrorMessage="1" sqref="CE42:CE51 T42:T51" xr:uid="{5AED16FC-991C-46DE-B5BD-6FE7C44EF4A8}">
      <formula1>Load_and_Haul</formula1>
    </dataValidation>
    <dataValidation type="list" allowBlank="1" showInputMessage="1" showErrorMessage="1" sqref="CC42:CC51" xr:uid="{46633CE8-A959-4E1B-A72F-40D268EA80FC}">
      <formula1>LongHaul</formula1>
    </dataValidation>
    <dataValidation type="whole" operator="greaterThan" allowBlank="1" showInputMessage="1" showErrorMessage="1" sqref="BJ42:BJ51 BO42:BO53 AA42:AA51 AZ53 BJ53 BE42:BE53 BT42:BT53 E12:E14" xr:uid="{0B4C9A86-DB52-419D-8436-56F1950E6E7A}">
      <formula1>0</formula1>
    </dataValidation>
    <dataValidation type="list" allowBlank="1" showInputMessage="1" showErrorMessage="1" sqref="BN42:BN51" xr:uid="{EC4B5F71-CCA4-4262-A89A-354C12CD8F2C}">
      <formula1>Tank_list</formula1>
    </dataValidation>
    <dataValidation type="list" allowBlank="1" showInputMessage="1" showErrorMessage="1" sqref="BS42:BS51" xr:uid="{CEFBB2C9-6693-48DC-82EA-9021A5243CE8}">
      <formula1>Dams_List</formula1>
    </dataValidation>
    <dataValidation type="list" allowBlank="1" showInputMessage="1" showErrorMessage="1" sqref="AY42:AY51" xr:uid="{C0A78BB8-7101-462A-9F99-CFD6257CFC0A}">
      <formula1>Building_list</formula1>
    </dataValidation>
    <dataValidation type="list" allowBlank="1" showInputMessage="1" showErrorMessage="1" sqref="BI42:BI51" xr:uid="{30DD435D-0157-42EB-8673-CE5DDCE68967}">
      <formula1>Pipe_above_list</formula1>
    </dataValidation>
    <dataValidation type="list" allowBlank="1" showInputMessage="1" showErrorMessage="1" sqref="CD42:CD51" xr:uid="{2801A533-19DE-41F1-902B-79C7BE11BCB1}">
      <formula1>Long_distance</formula1>
    </dataValidation>
    <dataValidation allowBlank="1" showInputMessage="1" showErrorMessage="1" prompt="Default growth media thickness if user does not enter values." sqref="BZ38" xr:uid="{25069565-8393-44E6-BA4C-6B514F3D528B}"/>
    <dataValidation allowBlank="1" showInputMessage="1" showErrorMessage="1" prompt="2.4 tonnes per cubic metre is density of concrete" sqref="K54" xr:uid="{327E5201-7C6B-417C-A02A-DBB98183CA22}"/>
    <dataValidation allowBlank="1" showInputMessage="1" showErrorMessage="1" prompt="Select No amend if no treatment required." sqref="CN40 CS40 CX40" xr:uid="{4677A8B8-F973-450D-9688-C046DC9396DB}"/>
    <dataValidation type="list" allowBlank="1" showInputMessage="1" showErrorMessage="1" sqref="CF42:CF51" xr:uid="{805EC5F9-63C8-4E9C-94BC-F469A6154D62}">
      <formula1>Load_haul_fleet_sm1ml</formula1>
    </dataValidation>
  </dataValidations>
  <hyperlinks>
    <hyperlink ref="B39" location="'12. Ports'!B6" display="Top" xr:uid="{D7C428E6-AD37-4938-A94E-90D68014614A}"/>
    <hyperlink ref="B57" location="'12. Ports'!B6" display="Top" xr:uid="{DA26B8D0-FD19-4839-8438-0B6444457D96}"/>
    <hyperlink ref="B159" location="'12. Ports'!B6" display="Top" xr:uid="{BC83240B-55B4-452E-BCD5-EA7523E6C4CF}"/>
    <hyperlink ref="B2" location="CONTENTS!A1" display="Contents" xr:uid="{5EDF3CDC-48D6-4B2D-8A68-CE7A6723867D}"/>
    <hyperlink ref="CG41" location="Subrates!B7" display="Subrates!B7" xr:uid="{742789E1-6C8D-4250-B99B-B356521991DA}"/>
    <hyperlink ref="T38" location="Subrates!B7" display="Subrates!B7" xr:uid="{47C5C55E-EEA4-4ED8-9721-21083EB6D169}"/>
    <hyperlink ref="CI41" location="Subrates_Table_8" display="Subrates_Table_8" xr:uid="{4FE30835-D418-44B5-BF59-C8BA90D558FB}"/>
    <hyperlink ref="CH41" location="Subrates_Table_9" display="Subrates_Table_9" xr:uid="{44169A4B-B284-42AA-A5EC-4C6463A13096}"/>
  </hyperlink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256A9-6269-424C-A77F-63801BA3BBF8}">
  <sheetPr codeName="Sheet36">
    <tabColor theme="9" tint="-0.249977111117893"/>
  </sheetPr>
  <dimension ref="B1:AQ120"/>
  <sheetViews>
    <sheetView showGridLines="0" zoomScaleNormal="100" zoomScaleSheetLayoutView="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47.42578125" style="475" customWidth="1"/>
    <col min="5" max="5" width="76.28515625" style="474" customWidth="1"/>
    <col min="6" max="13" width="18.7109375" style="474" customWidth="1"/>
    <col min="14" max="40" width="18.7109375" style="475" customWidth="1"/>
    <col min="41" max="16384" width="9" style="475"/>
  </cols>
  <sheetData>
    <row r="1" spans="2:29" ht="14.25">
      <c r="B1" s="433" t="s">
        <v>0</v>
      </c>
      <c r="C1" s="520"/>
      <c r="D1" s="474"/>
    </row>
    <row r="2" spans="2:29" ht="18" customHeight="1">
      <c r="B2" s="286" t="s">
        <v>256</v>
      </c>
      <c r="C2" s="1218" t="s">
        <v>2453</v>
      </c>
      <c r="D2" s="1241"/>
      <c r="E2" s="1241"/>
      <c r="F2" s="1241"/>
      <c r="G2" s="1241"/>
      <c r="H2" s="1241"/>
      <c r="I2" s="1241"/>
      <c r="J2" s="1241"/>
      <c r="M2" s="475"/>
      <c r="O2" s="474"/>
      <c r="P2" s="474"/>
      <c r="Q2" s="474"/>
      <c r="R2" s="474"/>
    </row>
    <row r="3" spans="2:29" ht="18" customHeight="1">
      <c r="B3" s="1031">
        <f>U24+M41+K59+K75+J89+K115</f>
        <v>0</v>
      </c>
      <c r="C3" s="736" t="s">
        <v>1516</v>
      </c>
      <c r="H3" s="747"/>
      <c r="I3" s="747"/>
      <c r="J3" s="747"/>
      <c r="K3" s="747"/>
      <c r="L3" s="747"/>
    </row>
    <row r="4" spans="2:29" ht="18" customHeight="1">
      <c r="B4" s="1033">
        <f>Summary!$G$122</f>
        <v>0</v>
      </c>
      <c r="C4" s="736" t="s">
        <v>1484</v>
      </c>
      <c r="E4" s="747"/>
      <c r="F4" s="747"/>
      <c r="G4" s="747"/>
      <c r="H4" s="747"/>
      <c r="I4" s="747"/>
      <c r="J4" s="747"/>
      <c r="K4" s="747"/>
      <c r="L4" s="747"/>
      <c r="M4" s="475"/>
      <c r="R4" s="830"/>
    </row>
    <row r="5" spans="2:29" ht="84.6" customHeight="1">
      <c r="E5" s="475"/>
      <c r="F5" s="475"/>
      <c r="G5" s="475"/>
      <c r="H5" s="475"/>
      <c r="I5" s="475"/>
      <c r="J5" s="475"/>
      <c r="K5" s="475"/>
      <c r="L5" s="475"/>
      <c r="M5" s="475"/>
    </row>
    <row r="6" spans="2:29" ht="18" customHeight="1">
      <c r="C6" s="766"/>
      <c r="D6" s="766"/>
      <c r="E6" s="475"/>
      <c r="F6" s="475"/>
      <c r="G6" s="475"/>
      <c r="H6" s="475"/>
      <c r="I6" s="475"/>
      <c r="J6" s="475"/>
      <c r="K6" s="475"/>
      <c r="L6" s="475"/>
      <c r="M6" s="475"/>
      <c r="N6" s="1049" t="str">
        <f>IF(N9="","No Alert","Enter justification")</f>
        <v>No Alert</v>
      </c>
      <c r="O6" s="1049" t="str">
        <f t="shared" ref="O6:P6" si="0">IF(O9="","No Alert","Enter justification")</f>
        <v>No Alert</v>
      </c>
      <c r="P6" s="1049" t="str">
        <f t="shared" si="0"/>
        <v>No Alert</v>
      </c>
    </row>
    <row r="7" spans="2:29" ht="18" customHeight="1">
      <c r="B7" s="639"/>
      <c r="C7" s="268"/>
      <c r="D7" s="268"/>
      <c r="E7" s="747"/>
      <c r="F7" s="747"/>
      <c r="G7" s="747"/>
      <c r="H7" s="747"/>
      <c r="I7" s="747"/>
      <c r="J7" s="747"/>
      <c r="K7" s="747"/>
      <c r="L7" s="747"/>
      <c r="M7" s="848" t="s">
        <v>1596</v>
      </c>
      <c r="N7" s="828" t="str">
        <f>TOV!$C517</f>
        <v>#13.01</v>
      </c>
      <c r="O7" s="828" t="str">
        <f>TOV!$C518</f>
        <v>#13.02</v>
      </c>
      <c r="P7" s="828" t="str">
        <f>TOV!$C519</f>
        <v>#13.03</v>
      </c>
      <c r="R7" s="830"/>
      <c r="S7" s="830"/>
    </row>
    <row r="8" spans="2:29" ht="18" customHeight="1">
      <c r="B8" s="639"/>
      <c r="C8" s="268"/>
      <c r="D8" s="268"/>
      <c r="E8" s="747"/>
      <c r="F8" s="747"/>
      <c r="G8" s="747"/>
      <c r="H8" s="747"/>
      <c r="I8" s="747"/>
      <c r="J8" s="747"/>
      <c r="K8" s="747"/>
      <c r="L8" s="747"/>
      <c r="M8" s="848" t="s">
        <v>35</v>
      </c>
      <c r="N8" s="81">
        <f>VLOOKUP(N7,TOV!$C$517:$G$519,TOV_Rate_Ref,FALSE)</f>
        <v>16149.961876122066</v>
      </c>
      <c r="O8" s="81">
        <f>VLOOKUP(O7,TOV!$C$517:$G$519,TOV_Rate_Ref,FALSE)</f>
        <v>35075.581888424982</v>
      </c>
      <c r="P8" s="81">
        <f>VLOOKUP(P7,TOV!$C$517:$G$519,TOV_Rate_Ref,FALSE)</f>
        <v>3964.5309116330122</v>
      </c>
      <c r="R8" s="830"/>
      <c r="S8" s="830"/>
    </row>
    <row r="9" spans="2:29" ht="18" customHeight="1">
      <c r="B9" s="639"/>
      <c r="C9" s="268"/>
      <c r="D9" s="268"/>
      <c r="E9" s="747"/>
      <c r="F9" s="747"/>
      <c r="G9" s="747"/>
      <c r="H9" s="747"/>
      <c r="I9" s="747"/>
      <c r="J9" s="747"/>
      <c r="K9" s="747"/>
      <c r="L9" s="747"/>
      <c r="M9" s="848" t="s">
        <v>2454</v>
      </c>
      <c r="N9" s="291"/>
      <c r="O9" s="291"/>
      <c r="P9" s="291"/>
      <c r="Q9" s="830"/>
      <c r="R9" s="830"/>
    </row>
    <row r="10" spans="2:29" ht="18" customHeight="1">
      <c r="B10" s="639"/>
      <c r="C10" s="1038" t="s">
        <v>2455</v>
      </c>
      <c r="D10" s="1038"/>
      <c r="E10" s="639"/>
      <c r="F10" s="639"/>
      <c r="G10" s="639"/>
      <c r="H10" s="639"/>
      <c r="I10" s="639"/>
      <c r="J10" s="639"/>
      <c r="K10" s="639"/>
      <c r="L10" s="639"/>
      <c r="M10" s="848" t="s">
        <v>1597</v>
      </c>
      <c r="N10" s="1242" t="str">
        <f>VLOOKUP(N7,TOV!$C$517:$G$519,TOV_unit_ref,FALSE)</f>
        <v>Cluster</v>
      </c>
      <c r="O10" s="1242" t="str">
        <f>VLOOKUP(O7,TOV!$C$517:$G$519,TOV_unit_ref,FALSE)</f>
        <v>lump</v>
      </c>
      <c r="P10" s="1242" t="str">
        <f>VLOOKUP(P7,TOV!$C$517:$G$519,TOV_unit_ref,FALSE)</f>
        <v>ha</v>
      </c>
      <c r="Q10" s="1057" t="s">
        <v>1865</v>
      </c>
      <c r="R10" s="1057" t="s">
        <v>1865</v>
      </c>
      <c r="T10" s="639"/>
      <c r="U10" s="639"/>
      <c r="V10" s="639"/>
    </row>
    <row r="11" spans="2:29" ht="36">
      <c r="B11" s="773" t="s">
        <v>1517</v>
      </c>
      <c r="C11" s="773" t="s">
        <v>27</v>
      </c>
      <c r="D11" s="773" t="s">
        <v>2456</v>
      </c>
      <c r="E11" s="773" t="s">
        <v>2097</v>
      </c>
      <c r="F11" s="773" t="s">
        <v>2457</v>
      </c>
      <c r="G11" s="773" t="s">
        <v>2458</v>
      </c>
      <c r="H11" s="773" t="s">
        <v>45</v>
      </c>
      <c r="I11" s="773" t="s">
        <v>2459</v>
      </c>
      <c r="J11" s="773" t="s">
        <v>2460</v>
      </c>
      <c r="K11" s="773" t="s">
        <v>2461</v>
      </c>
      <c r="L11" s="773" t="s">
        <v>2462</v>
      </c>
      <c r="M11" s="773" t="s">
        <v>2463</v>
      </c>
      <c r="N11" s="1243" t="str">
        <f>VLOOKUP(N7,TOV!$C$517:$G$519,TOV!$E$1,FALSE)</f>
        <v>Preliminary site investigation (Phase 1 investigation)</v>
      </c>
      <c r="O11" s="1243" t="str">
        <f>VLOOKUP(O7,TOV!$C$517:$G$519,TOV!$E$1,FALSE)</f>
        <v>Land investigation one-off costs</v>
      </c>
      <c r="P11" s="1243" t="str">
        <f>VLOOKUP(P7,TOV!$C$517:$G$519,TOV!$E$1,FALSE)</f>
        <v>Land investigation per unit area costs</v>
      </c>
      <c r="Q11" s="1056" t="s">
        <v>2464</v>
      </c>
      <c r="R11" s="1056" t="s">
        <v>2464</v>
      </c>
      <c r="S11" s="775" t="s">
        <v>83</v>
      </c>
      <c r="T11" s="773" t="s">
        <v>2465</v>
      </c>
      <c r="U11" s="775" t="s">
        <v>2466</v>
      </c>
      <c r="V11" s="776" t="s">
        <v>1526</v>
      </c>
      <c r="W11" s="777"/>
      <c r="X11" s="777"/>
      <c r="Y11" s="777"/>
      <c r="Z11" s="777"/>
      <c r="AA11" s="777"/>
      <c r="AB11" s="777"/>
      <c r="AC11" s="778"/>
    </row>
    <row r="12" spans="2:29" ht="18" customHeight="1">
      <c r="D12" s="1179" t="s">
        <v>1846</v>
      </c>
      <c r="E12" s="1244"/>
      <c r="F12" s="850"/>
      <c r="G12" s="850" t="s">
        <v>27</v>
      </c>
      <c r="H12" s="850" t="s">
        <v>11</v>
      </c>
      <c r="I12" s="850" t="s">
        <v>11</v>
      </c>
      <c r="J12" s="850" t="s">
        <v>11</v>
      </c>
      <c r="K12" s="850" t="s">
        <v>95</v>
      </c>
      <c r="L12" s="850"/>
      <c r="M12" s="850"/>
      <c r="N12" s="1245"/>
      <c r="O12" s="1245"/>
      <c r="P12" s="1245"/>
      <c r="Q12" s="1142"/>
      <c r="R12" s="1142"/>
      <c r="V12" s="474"/>
      <c r="W12" s="474"/>
      <c r="X12" s="474"/>
      <c r="Y12" s="474"/>
      <c r="Z12" s="474"/>
      <c r="AA12" s="474"/>
      <c r="AB12" s="474"/>
      <c r="AC12" s="474"/>
    </row>
    <row r="13" spans="2:29" s="520" customFormat="1" ht="15">
      <c r="B13" s="313"/>
      <c r="C13" s="989">
        <v>1</v>
      </c>
      <c r="D13" s="170"/>
      <c r="E13" s="301"/>
      <c r="F13" s="341"/>
      <c r="G13" s="341"/>
      <c r="H13" s="342"/>
      <c r="I13" s="342"/>
      <c r="J13" s="342"/>
      <c r="K13" s="317"/>
      <c r="L13" s="1246">
        <f>(IF(H13="",PI()*J13^2/4,H13*I13))/10000</f>
        <v>0</v>
      </c>
      <c r="M13" s="1246">
        <f t="shared" ref="M13:M22" si="1">IF(ISBLANK(K13),L13,K13)</f>
        <v>0</v>
      </c>
      <c r="N13" s="81">
        <f>G13*IF(N$9="",N$8,N$9)</f>
        <v>0</v>
      </c>
      <c r="O13" s="81">
        <f>F13*IF(O$9="",O$8,O$9)</f>
        <v>0</v>
      </c>
      <c r="P13" s="81">
        <f>M13*IF(P$9="",P$8,P$9)</f>
        <v>0</v>
      </c>
      <c r="Q13" s="1262"/>
      <c r="R13" s="1262"/>
      <c r="S13" s="122">
        <f>SUM(N13:R13)</f>
        <v>0</v>
      </c>
      <c r="T13" s="291"/>
      <c r="U13" s="122">
        <f>IF(T13="",S13,T13)</f>
        <v>0</v>
      </c>
      <c r="V13" s="215"/>
      <c r="W13" s="294"/>
      <c r="X13" s="294"/>
      <c r="Y13" s="294"/>
      <c r="Z13" s="294"/>
      <c r="AA13" s="294"/>
      <c r="AB13" s="294"/>
      <c r="AC13" s="295"/>
    </row>
    <row r="14" spans="2:29" s="520" customFormat="1" ht="15">
      <c r="B14" s="313"/>
      <c r="C14" s="989">
        <f t="shared" ref="C14" si="2">C13+1</f>
        <v>2</v>
      </c>
      <c r="D14" s="170"/>
      <c r="E14" s="301"/>
      <c r="F14" s="341"/>
      <c r="G14" s="341"/>
      <c r="H14" s="342"/>
      <c r="I14" s="342"/>
      <c r="J14" s="342"/>
      <c r="K14" s="317"/>
      <c r="L14" s="1246">
        <f>(IF(H14="",PI()*J14^2/4,H14*I14))/10000</f>
        <v>0</v>
      </c>
      <c r="M14" s="1246">
        <f t="shared" si="1"/>
        <v>0</v>
      </c>
      <c r="N14" s="81">
        <f t="shared" ref="N14:N22" si="3">G14*IF(N$9="",N$8,N$9)</f>
        <v>0</v>
      </c>
      <c r="O14" s="81">
        <f t="shared" ref="O14:O22" si="4">F14*IF(O$9="",O$8,O$9)</f>
        <v>0</v>
      </c>
      <c r="P14" s="81">
        <f t="shared" ref="P14:P22" si="5">M14*IF(P$9="",P$8,P$9)</f>
        <v>0</v>
      </c>
      <c r="Q14" s="1262"/>
      <c r="R14" s="1262"/>
      <c r="S14" s="122">
        <f t="shared" ref="S14:S22" si="6">SUM(N14:R14)</f>
        <v>0</v>
      </c>
      <c r="T14" s="291"/>
      <c r="U14" s="122">
        <f t="shared" ref="U14:U22" si="7">IF(T14="",S14,T14)</f>
        <v>0</v>
      </c>
      <c r="V14" s="215"/>
      <c r="W14" s="294"/>
      <c r="X14" s="294"/>
      <c r="Y14" s="294"/>
      <c r="Z14" s="294"/>
      <c r="AA14" s="294"/>
      <c r="AB14" s="294"/>
      <c r="AC14" s="295"/>
    </row>
    <row r="15" spans="2:29" s="520" customFormat="1" ht="15">
      <c r="B15" s="313"/>
      <c r="C15" s="989">
        <f t="shared" ref="C15:C22" si="8">C14+1</f>
        <v>3</v>
      </c>
      <c r="D15" s="170"/>
      <c r="E15" s="301"/>
      <c r="F15" s="341"/>
      <c r="G15" s="341"/>
      <c r="H15" s="342"/>
      <c r="I15" s="342"/>
      <c r="J15" s="342"/>
      <c r="K15" s="317"/>
      <c r="L15" s="1246">
        <f t="shared" ref="L15:L22" si="9">IF(H15="",PI()*J15^2/4,H15*I15)/10000</f>
        <v>0</v>
      </c>
      <c r="M15" s="1246">
        <f t="shared" si="1"/>
        <v>0</v>
      </c>
      <c r="N15" s="81">
        <f t="shared" si="3"/>
        <v>0</v>
      </c>
      <c r="O15" s="81">
        <f t="shared" si="4"/>
        <v>0</v>
      </c>
      <c r="P15" s="81">
        <f t="shared" si="5"/>
        <v>0</v>
      </c>
      <c r="Q15" s="1262"/>
      <c r="R15" s="1262"/>
      <c r="S15" s="122">
        <f t="shared" si="6"/>
        <v>0</v>
      </c>
      <c r="T15" s="291"/>
      <c r="U15" s="122">
        <f t="shared" si="7"/>
        <v>0</v>
      </c>
      <c r="V15" s="215"/>
      <c r="W15" s="294"/>
      <c r="X15" s="294"/>
      <c r="Y15" s="294"/>
      <c r="Z15" s="294"/>
      <c r="AA15" s="294"/>
      <c r="AB15" s="294"/>
      <c r="AC15" s="295"/>
    </row>
    <row r="16" spans="2:29" s="520" customFormat="1" ht="15">
      <c r="B16" s="313"/>
      <c r="C16" s="989">
        <f t="shared" si="8"/>
        <v>4</v>
      </c>
      <c r="D16" s="170"/>
      <c r="E16" s="301"/>
      <c r="F16" s="341"/>
      <c r="G16" s="341"/>
      <c r="H16" s="342"/>
      <c r="I16" s="342"/>
      <c r="J16" s="342"/>
      <c r="K16" s="317"/>
      <c r="L16" s="1246">
        <f t="shared" si="9"/>
        <v>0</v>
      </c>
      <c r="M16" s="1246">
        <f t="shared" si="1"/>
        <v>0</v>
      </c>
      <c r="N16" s="81">
        <f t="shared" si="3"/>
        <v>0</v>
      </c>
      <c r="O16" s="81">
        <f t="shared" si="4"/>
        <v>0</v>
      </c>
      <c r="P16" s="81">
        <f t="shared" si="5"/>
        <v>0</v>
      </c>
      <c r="Q16" s="1262"/>
      <c r="R16" s="1262"/>
      <c r="S16" s="122">
        <f t="shared" si="6"/>
        <v>0</v>
      </c>
      <c r="T16" s="291"/>
      <c r="U16" s="122">
        <f t="shared" si="7"/>
        <v>0</v>
      </c>
      <c r="V16" s="215"/>
      <c r="W16" s="294"/>
      <c r="X16" s="294"/>
      <c r="Y16" s="294"/>
      <c r="Z16" s="294"/>
      <c r="AA16" s="294"/>
      <c r="AB16" s="294"/>
      <c r="AC16" s="295"/>
    </row>
    <row r="17" spans="2:42" s="520" customFormat="1" ht="15">
      <c r="B17" s="313"/>
      <c r="C17" s="989">
        <f t="shared" si="8"/>
        <v>5</v>
      </c>
      <c r="D17" s="170"/>
      <c r="E17" s="301"/>
      <c r="F17" s="341"/>
      <c r="G17" s="341"/>
      <c r="H17" s="342"/>
      <c r="I17" s="342"/>
      <c r="J17" s="342"/>
      <c r="K17" s="317"/>
      <c r="L17" s="1246">
        <f t="shared" si="9"/>
        <v>0</v>
      </c>
      <c r="M17" s="1246">
        <f t="shared" si="1"/>
        <v>0</v>
      </c>
      <c r="N17" s="81">
        <f t="shared" si="3"/>
        <v>0</v>
      </c>
      <c r="O17" s="81">
        <f t="shared" si="4"/>
        <v>0</v>
      </c>
      <c r="P17" s="81">
        <f t="shared" si="5"/>
        <v>0</v>
      </c>
      <c r="Q17" s="1262"/>
      <c r="R17" s="1262"/>
      <c r="S17" s="122">
        <f t="shared" si="6"/>
        <v>0</v>
      </c>
      <c r="T17" s="291"/>
      <c r="U17" s="122">
        <f t="shared" si="7"/>
        <v>0</v>
      </c>
      <c r="V17" s="215"/>
      <c r="W17" s="294"/>
      <c r="X17" s="294"/>
      <c r="Y17" s="294"/>
      <c r="Z17" s="294"/>
      <c r="AA17" s="294"/>
      <c r="AB17" s="294"/>
      <c r="AC17" s="295"/>
    </row>
    <row r="18" spans="2:42" s="520" customFormat="1" ht="15">
      <c r="B18" s="313"/>
      <c r="C18" s="989">
        <f t="shared" si="8"/>
        <v>6</v>
      </c>
      <c r="D18" s="170"/>
      <c r="E18" s="301"/>
      <c r="F18" s="341"/>
      <c r="G18" s="341"/>
      <c r="H18" s="342"/>
      <c r="I18" s="342"/>
      <c r="J18" s="342"/>
      <c r="K18" s="317"/>
      <c r="L18" s="1246">
        <f t="shared" si="9"/>
        <v>0</v>
      </c>
      <c r="M18" s="1246">
        <f t="shared" si="1"/>
        <v>0</v>
      </c>
      <c r="N18" s="81">
        <f t="shared" si="3"/>
        <v>0</v>
      </c>
      <c r="O18" s="81">
        <f t="shared" si="4"/>
        <v>0</v>
      </c>
      <c r="P18" s="81">
        <f t="shared" si="5"/>
        <v>0</v>
      </c>
      <c r="Q18" s="1262"/>
      <c r="R18" s="1262"/>
      <c r="S18" s="122">
        <f t="shared" si="6"/>
        <v>0</v>
      </c>
      <c r="T18" s="291"/>
      <c r="U18" s="122">
        <f t="shared" si="7"/>
        <v>0</v>
      </c>
      <c r="V18" s="215"/>
      <c r="W18" s="294"/>
      <c r="X18" s="294"/>
      <c r="Y18" s="294"/>
      <c r="Z18" s="294"/>
      <c r="AA18" s="294"/>
      <c r="AB18" s="294"/>
      <c r="AC18" s="295"/>
    </row>
    <row r="19" spans="2:42" s="520" customFormat="1" ht="15">
      <c r="B19" s="313"/>
      <c r="C19" s="989">
        <f t="shared" si="8"/>
        <v>7</v>
      </c>
      <c r="D19" s="170"/>
      <c r="E19" s="301"/>
      <c r="F19" s="341"/>
      <c r="G19" s="341"/>
      <c r="H19" s="342"/>
      <c r="I19" s="342"/>
      <c r="J19" s="342"/>
      <c r="K19" s="317"/>
      <c r="L19" s="1246">
        <f t="shared" si="9"/>
        <v>0</v>
      </c>
      <c r="M19" s="1246">
        <f t="shared" si="1"/>
        <v>0</v>
      </c>
      <c r="N19" s="81">
        <f t="shared" si="3"/>
        <v>0</v>
      </c>
      <c r="O19" s="81">
        <f t="shared" si="4"/>
        <v>0</v>
      </c>
      <c r="P19" s="81">
        <f t="shared" si="5"/>
        <v>0</v>
      </c>
      <c r="Q19" s="1262"/>
      <c r="R19" s="1262"/>
      <c r="S19" s="122">
        <f t="shared" si="6"/>
        <v>0</v>
      </c>
      <c r="T19" s="291"/>
      <c r="U19" s="122">
        <f t="shared" si="7"/>
        <v>0</v>
      </c>
      <c r="V19" s="215"/>
      <c r="W19" s="294"/>
      <c r="X19" s="294"/>
      <c r="Y19" s="294"/>
      <c r="Z19" s="294"/>
      <c r="AA19" s="294"/>
      <c r="AB19" s="294"/>
      <c r="AC19" s="295"/>
    </row>
    <row r="20" spans="2:42" s="520" customFormat="1" ht="15">
      <c r="B20" s="313"/>
      <c r="C20" s="989">
        <f t="shared" si="8"/>
        <v>8</v>
      </c>
      <c r="D20" s="170"/>
      <c r="E20" s="301"/>
      <c r="F20" s="341"/>
      <c r="G20" s="341"/>
      <c r="H20" s="342"/>
      <c r="I20" s="342"/>
      <c r="J20" s="342"/>
      <c r="K20" s="317"/>
      <c r="L20" s="1246">
        <f t="shared" si="9"/>
        <v>0</v>
      </c>
      <c r="M20" s="1246">
        <f t="shared" si="1"/>
        <v>0</v>
      </c>
      <c r="N20" s="81">
        <f t="shared" si="3"/>
        <v>0</v>
      </c>
      <c r="O20" s="81">
        <f t="shared" si="4"/>
        <v>0</v>
      </c>
      <c r="P20" s="81">
        <f t="shared" si="5"/>
        <v>0</v>
      </c>
      <c r="Q20" s="1262"/>
      <c r="R20" s="1262"/>
      <c r="S20" s="122">
        <f t="shared" si="6"/>
        <v>0</v>
      </c>
      <c r="T20" s="291"/>
      <c r="U20" s="122">
        <f t="shared" si="7"/>
        <v>0</v>
      </c>
      <c r="V20" s="215"/>
      <c r="W20" s="294"/>
      <c r="X20" s="294"/>
      <c r="Y20" s="294"/>
      <c r="Z20" s="294"/>
      <c r="AA20" s="294"/>
      <c r="AB20" s="294"/>
      <c r="AC20" s="295"/>
    </row>
    <row r="21" spans="2:42" s="520" customFormat="1" ht="15">
      <c r="B21" s="313"/>
      <c r="C21" s="989">
        <f t="shared" si="8"/>
        <v>9</v>
      </c>
      <c r="D21" s="170"/>
      <c r="E21" s="301"/>
      <c r="F21" s="341"/>
      <c r="G21" s="341"/>
      <c r="H21" s="342"/>
      <c r="I21" s="342"/>
      <c r="J21" s="342"/>
      <c r="K21" s="317"/>
      <c r="L21" s="1246">
        <f t="shared" si="9"/>
        <v>0</v>
      </c>
      <c r="M21" s="1246">
        <f t="shared" si="1"/>
        <v>0</v>
      </c>
      <c r="N21" s="81">
        <f t="shared" si="3"/>
        <v>0</v>
      </c>
      <c r="O21" s="81">
        <f t="shared" si="4"/>
        <v>0</v>
      </c>
      <c r="P21" s="81">
        <f t="shared" si="5"/>
        <v>0</v>
      </c>
      <c r="Q21" s="1262"/>
      <c r="R21" s="1262"/>
      <c r="S21" s="122">
        <f t="shared" si="6"/>
        <v>0</v>
      </c>
      <c r="T21" s="291"/>
      <c r="U21" s="122">
        <f t="shared" si="7"/>
        <v>0</v>
      </c>
      <c r="V21" s="215"/>
      <c r="W21" s="294"/>
      <c r="X21" s="294"/>
      <c r="Y21" s="294"/>
      <c r="Z21" s="294"/>
      <c r="AA21" s="294"/>
      <c r="AB21" s="294"/>
      <c r="AC21" s="295"/>
    </row>
    <row r="22" spans="2:42" s="520" customFormat="1" ht="15">
      <c r="B22" s="313"/>
      <c r="C22" s="989">
        <f t="shared" si="8"/>
        <v>10</v>
      </c>
      <c r="D22" s="170"/>
      <c r="E22" s="301"/>
      <c r="F22" s="341"/>
      <c r="G22" s="341"/>
      <c r="H22" s="342"/>
      <c r="I22" s="342"/>
      <c r="J22" s="342"/>
      <c r="K22" s="317"/>
      <c r="L22" s="1246">
        <f t="shared" si="9"/>
        <v>0</v>
      </c>
      <c r="M22" s="1246">
        <f t="shared" si="1"/>
        <v>0</v>
      </c>
      <c r="N22" s="81">
        <f t="shared" si="3"/>
        <v>0</v>
      </c>
      <c r="O22" s="81">
        <f t="shared" si="4"/>
        <v>0</v>
      </c>
      <c r="P22" s="81">
        <f t="shared" si="5"/>
        <v>0</v>
      </c>
      <c r="Q22" s="1262"/>
      <c r="R22" s="1262"/>
      <c r="S22" s="122">
        <f t="shared" si="6"/>
        <v>0</v>
      </c>
      <c r="T22" s="291"/>
      <c r="U22" s="122">
        <f t="shared" si="7"/>
        <v>0</v>
      </c>
      <c r="V22" s="215"/>
      <c r="W22" s="294"/>
      <c r="X22" s="294"/>
      <c r="Y22" s="294"/>
      <c r="Z22" s="294"/>
      <c r="AA22" s="294"/>
      <c r="AB22" s="294"/>
      <c r="AC22" s="295"/>
    </row>
    <row r="23" spans="2:42" ht="18" customHeight="1">
      <c r="E23" s="925"/>
      <c r="F23" s="520"/>
      <c r="G23" s="768"/>
      <c r="H23" s="925"/>
      <c r="I23" s="925"/>
      <c r="J23" s="925"/>
      <c r="K23" s="869"/>
      <c r="L23" s="1123"/>
      <c r="M23" s="1123"/>
      <c r="N23" s="1245"/>
      <c r="O23" s="1245"/>
      <c r="P23" s="1245"/>
      <c r="S23" s="1105"/>
      <c r="T23" s="1105"/>
      <c r="U23" s="1105"/>
    </row>
    <row r="24" spans="2:42" ht="18" customHeight="1">
      <c r="B24" s="1162"/>
      <c r="C24" s="1162"/>
      <c r="E24" s="768"/>
      <c r="F24" s="768"/>
      <c r="G24" s="372">
        <f>SUM(G12:G23)</f>
        <v>0</v>
      </c>
      <c r="H24" s="1247"/>
      <c r="I24" s="1247"/>
      <c r="J24" s="848" t="s">
        <v>2467</v>
      </c>
      <c r="K24" s="372">
        <f>SUM(K12:K23)</f>
        <v>0</v>
      </c>
      <c r="L24" s="372">
        <f>SUM(L12:L23)</f>
        <v>0</v>
      </c>
      <c r="M24" s="372">
        <f>SUM(M12:M23)</f>
        <v>0</v>
      </c>
      <c r="N24" s="345">
        <f t="shared" ref="N24:R24" si="10">SUM(N12:N23)</f>
        <v>0</v>
      </c>
      <c r="O24" s="345">
        <f t="shared" si="10"/>
        <v>0</v>
      </c>
      <c r="P24" s="345">
        <f t="shared" si="10"/>
        <v>0</v>
      </c>
      <c r="Q24" s="351">
        <f t="shared" si="10"/>
        <v>0</v>
      </c>
      <c r="R24" s="351">
        <f t="shared" si="10"/>
        <v>0</v>
      </c>
      <c r="S24" s="1248">
        <f>SUM(S12:S23)</f>
        <v>0</v>
      </c>
      <c r="T24" s="872"/>
      <c r="U24" s="1248">
        <f>SUM(U12:U23)</f>
        <v>0</v>
      </c>
      <c r="V24" s="882">
        <f>IF(M24=0,0,U24/M24)</f>
        <v>0</v>
      </c>
      <c r="W24" s="520" t="s">
        <v>41</v>
      </c>
    </row>
    <row r="25" spans="2:42" ht="18" customHeight="1">
      <c r="G25" s="434"/>
      <c r="H25" s="434"/>
      <c r="I25" s="434"/>
      <c r="J25" s="434"/>
    </row>
    <row r="26" spans="2:42" ht="18" customHeight="1">
      <c r="B26" s="434"/>
      <c r="C26" s="434"/>
      <c r="D26" s="434"/>
      <c r="F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c r="AG26" s="434"/>
      <c r="AH26" s="434"/>
      <c r="AI26" s="434"/>
    </row>
    <row r="27" spans="2:42" ht="16.899999999999999" customHeight="1">
      <c r="B27" s="286" t="s">
        <v>26</v>
      </c>
      <c r="C27" s="991" t="s">
        <v>2468</v>
      </c>
      <c r="D27" s="1249"/>
      <c r="E27" s="1249"/>
      <c r="F27" s="1249"/>
      <c r="G27" s="1249"/>
      <c r="H27" s="1249"/>
      <c r="I27" s="349" t="str">
        <f>Subrates_Table_1</f>
        <v>Subrates Table 1</v>
      </c>
      <c r="J27" s="475"/>
      <c r="K27" s="475"/>
      <c r="L27" s="475"/>
      <c r="N27" s="434"/>
      <c r="O27" s="434"/>
      <c r="P27" s="434"/>
      <c r="Q27" s="434"/>
      <c r="R27" s="434"/>
      <c r="S27" s="434"/>
      <c r="T27" s="434"/>
      <c r="U27" s="434"/>
      <c r="V27" s="434"/>
      <c r="W27" s="434"/>
      <c r="X27" s="434"/>
      <c r="Y27" s="434"/>
      <c r="Z27" s="434"/>
      <c r="AA27" s="434"/>
      <c r="AB27" s="434"/>
      <c r="AC27" s="639"/>
      <c r="AD27" s="639"/>
      <c r="AE27" s="434"/>
      <c r="AF27" s="434"/>
      <c r="AG27" s="434"/>
      <c r="AH27" s="434"/>
      <c r="AI27" s="434"/>
      <c r="AJ27" s="434"/>
      <c r="AK27" s="434"/>
      <c r="AL27" s="434"/>
      <c r="AM27" s="434"/>
      <c r="AN27" s="434"/>
      <c r="AO27" s="434"/>
      <c r="AP27" s="434"/>
    </row>
    <row r="28" spans="2:42" ht="135.6" customHeight="1">
      <c r="B28" s="773" t="s">
        <v>1517</v>
      </c>
      <c r="C28" s="773" t="s">
        <v>27</v>
      </c>
      <c r="D28" s="773" t="s">
        <v>2456</v>
      </c>
      <c r="E28" s="773" t="s">
        <v>2469</v>
      </c>
      <c r="F28" s="773" t="s">
        <v>2470</v>
      </c>
      <c r="G28" s="773" t="s">
        <v>2471</v>
      </c>
      <c r="H28" s="773" t="str">
        <f>F28</f>
        <v>Rip and push up material</v>
      </c>
      <c r="I28" s="773" t="s">
        <v>2472</v>
      </c>
      <c r="J28" s="773" t="str">
        <f>H28</f>
        <v>Rip and push up material</v>
      </c>
      <c r="K28" s="773" t="str">
        <f>I28</f>
        <v>Load and Haul</v>
      </c>
      <c r="L28" s="773" t="s">
        <v>2473</v>
      </c>
      <c r="M28" s="775" t="s">
        <v>83</v>
      </c>
      <c r="N28" s="776" t="s">
        <v>1526</v>
      </c>
      <c r="O28" s="777"/>
      <c r="P28" s="777"/>
      <c r="Q28" s="777"/>
      <c r="R28" s="777"/>
      <c r="S28" s="777"/>
      <c r="T28" s="777"/>
      <c r="U28" s="778"/>
      <c r="V28" s="434"/>
      <c r="W28" s="434"/>
      <c r="X28" s="434"/>
      <c r="Y28" s="434"/>
      <c r="AD28" s="434"/>
      <c r="AE28" s="434"/>
      <c r="AF28" s="434"/>
      <c r="AG28" s="434"/>
      <c r="AH28" s="434"/>
      <c r="AI28" s="434"/>
      <c r="AJ28" s="434"/>
      <c r="AK28" s="434"/>
      <c r="AL28" s="434"/>
      <c r="AM28" s="434"/>
      <c r="AN28" s="434"/>
      <c r="AO28" s="434"/>
    </row>
    <row r="29" spans="2:42" ht="18" customHeight="1">
      <c r="B29" s="768"/>
      <c r="D29" s="1179" t="s">
        <v>1846</v>
      </c>
      <c r="E29" s="125" t="s">
        <v>1646</v>
      </c>
      <c r="F29" s="850" t="s">
        <v>15</v>
      </c>
      <c r="G29" s="125" t="s">
        <v>1646</v>
      </c>
      <c r="H29" s="824" t="s">
        <v>39</v>
      </c>
      <c r="I29" s="824" t="s">
        <v>39</v>
      </c>
      <c r="J29" s="824" t="s">
        <v>76</v>
      </c>
      <c r="K29" s="824" t="s">
        <v>76</v>
      </c>
      <c r="L29" s="824" t="s">
        <v>76</v>
      </c>
      <c r="M29" s="824" t="s">
        <v>76</v>
      </c>
      <c r="N29" s="474"/>
      <c r="O29" s="474"/>
      <c r="P29" s="474"/>
      <c r="Q29" s="474"/>
      <c r="R29" s="474"/>
      <c r="S29" s="474"/>
      <c r="T29" s="474"/>
      <c r="U29" s="474"/>
      <c r="V29" s="434"/>
      <c r="W29" s="434"/>
      <c r="X29" s="434"/>
      <c r="Y29" s="434"/>
      <c r="AD29" s="434"/>
      <c r="AE29" s="434"/>
      <c r="AF29" s="434"/>
      <c r="AG29" s="434"/>
      <c r="AH29" s="434"/>
      <c r="AI29" s="434"/>
      <c r="AJ29" s="434"/>
      <c r="AK29" s="434"/>
      <c r="AL29" s="434"/>
      <c r="AM29" s="434"/>
      <c r="AN29" s="434"/>
      <c r="AO29" s="434"/>
    </row>
    <row r="30" spans="2:42" s="520" customFormat="1" ht="15">
      <c r="B30" s="301"/>
      <c r="C30" s="989">
        <v>1</v>
      </c>
      <c r="D30" s="168"/>
      <c r="E30" s="83" t="s">
        <v>125</v>
      </c>
      <c r="F30" s="316"/>
      <c r="G30" s="83" t="s">
        <v>349</v>
      </c>
      <c r="H30" s="1250">
        <f>Subrates!$C$89</f>
        <v>0.33216559363956022</v>
      </c>
      <c r="I30" s="1250">
        <f t="shared" ref="I30:I39" si="11">INDEX(Load_and_Haul_Values,MATCH($E30,Load_and_Haul,0),MATCH($G30,Load_Haul_Fleet_size,0))</f>
        <v>6.2664411871606829</v>
      </c>
      <c r="J30" s="345">
        <f>H30*$F30</f>
        <v>0</v>
      </c>
      <c r="K30" s="345">
        <f>I30*$F30</f>
        <v>0</v>
      </c>
      <c r="L30" s="300"/>
      <c r="M30" s="122">
        <f>IF(L30="",J30+K30,L30)</f>
        <v>0</v>
      </c>
      <c r="N30" s="215"/>
      <c r="O30" s="294"/>
      <c r="P30" s="294"/>
      <c r="Q30" s="294"/>
      <c r="R30" s="294"/>
      <c r="S30" s="294"/>
      <c r="T30" s="294"/>
      <c r="U30" s="295"/>
      <c r="V30" s="495"/>
      <c r="W30" s="495"/>
      <c r="X30" s="495"/>
      <c r="Y30" s="495"/>
      <c r="AD30" s="495"/>
      <c r="AE30" s="495"/>
      <c r="AF30" s="495"/>
      <c r="AG30" s="495"/>
      <c r="AH30" s="495"/>
      <c r="AI30" s="495"/>
      <c r="AJ30" s="495"/>
      <c r="AK30" s="495"/>
      <c r="AL30" s="495"/>
      <c r="AM30" s="495"/>
      <c r="AN30" s="495"/>
      <c r="AO30" s="495"/>
    </row>
    <row r="31" spans="2:42" s="520" customFormat="1" ht="15">
      <c r="B31" s="301"/>
      <c r="C31" s="989">
        <f t="shared" ref="C31:C39" si="12">C30+1</f>
        <v>2</v>
      </c>
      <c r="D31" s="168"/>
      <c r="E31" s="83" t="s">
        <v>125</v>
      </c>
      <c r="F31" s="316"/>
      <c r="G31" s="83" t="s">
        <v>349</v>
      </c>
      <c r="H31" s="81">
        <f>Subrates!$C$89</f>
        <v>0.33216559363956022</v>
      </c>
      <c r="I31" s="1250">
        <f t="shared" si="11"/>
        <v>6.2664411871606829</v>
      </c>
      <c r="J31" s="345">
        <f t="shared" ref="J31:J39" si="13">H31*$F31</f>
        <v>0</v>
      </c>
      <c r="K31" s="345">
        <f t="shared" ref="K31:K39" si="14">I31*$F31</f>
        <v>0</v>
      </c>
      <c r="L31" s="300"/>
      <c r="M31" s="122">
        <f t="shared" ref="M31:M39" si="15">IF(L31="",J31+K31,L31)</f>
        <v>0</v>
      </c>
      <c r="N31" s="215"/>
      <c r="O31" s="294"/>
      <c r="P31" s="294"/>
      <c r="Q31" s="294"/>
      <c r="R31" s="294"/>
      <c r="S31" s="294"/>
      <c r="T31" s="294"/>
      <c r="U31" s="295"/>
      <c r="V31" s="495"/>
      <c r="W31" s="495"/>
      <c r="X31" s="495"/>
      <c r="Y31" s="495"/>
      <c r="AD31" s="495"/>
      <c r="AE31" s="495"/>
      <c r="AF31" s="495"/>
      <c r="AG31" s="495"/>
      <c r="AH31" s="495"/>
      <c r="AI31" s="495"/>
      <c r="AJ31" s="495"/>
      <c r="AK31" s="495"/>
      <c r="AL31" s="495"/>
      <c r="AM31" s="495"/>
      <c r="AN31" s="495"/>
      <c r="AO31" s="495"/>
    </row>
    <row r="32" spans="2:42" s="520" customFormat="1" ht="15">
      <c r="B32" s="301"/>
      <c r="C32" s="989">
        <f t="shared" si="12"/>
        <v>3</v>
      </c>
      <c r="D32" s="168"/>
      <c r="E32" s="83" t="s">
        <v>125</v>
      </c>
      <c r="F32" s="316"/>
      <c r="G32" s="83" t="s">
        <v>349</v>
      </c>
      <c r="H32" s="81">
        <f>Subrates!$C$89</f>
        <v>0.33216559363956022</v>
      </c>
      <c r="I32" s="1250">
        <f t="shared" si="11"/>
        <v>6.2664411871606829</v>
      </c>
      <c r="J32" s="345">
        <f t="shared" si="13"/>
        <v>0</v>
      </c>
      <c r="K32" s="345">
        <f t="shared" si="14"/>
        <v>0</v>
      </c>
      <c r="L32" s="300"/>
      <c r="M32" s="122">
        <f t="shared" si="15"/>
        <v>0</v>
      </c>
      <c r="N32" s="215"/>
      <c r="O32" s="294"/>
      <c r="P32" s="294"/>
      <c r="Q32" s="294"/>
      <c r="R32" s="294"/>
      <c r="S32" s="294"/>
      <c r="T32" s="294"/>
      <c r="U32" s="295"/>
      <c r="V32" s="495"/>
      <c r="W32" s="495"/>
      <c r="X32" s="495"/>
      <c r="Y32" s="495"/>
      <c r="AD32" s="495"/>
      <c r="AE32" s="495"/>
      <c r="AF32" s="495"/>
      <c r="AG32" s="495"/>
    </row>
    <row r="33" spans="2:43" s="520" customFormat="1" ht="15">
      <c r="B33" s="301"/>
      <c r="C33" s="989">
        <f t="shared" si="12"/>
        <v>4</v>
      </c>
      <c r="D33" s="168"/>
      <c r="E33" s="83" t="s">
        <v>125</v>
      </c>
      <c r="F33" s="316"/>
      <c r="G33" s="83" t="s">
        <v>349</v>
      </c>
      <c r="H33" s="81">
        <f>Subrates!$C$89</f>
        <v>0.33216559363956022</v>
      </c>
      <c r="I33" s="1250">
        <f t="shared" si="11"/>
        <v>6.2664411871606829</v>
      </c>
      <c r="J33" s="345">
        <f t="shared" si="13"/>
        <v>0</v>
      </c>
      <c r="K33" s="345">
        <f t="shared" si="14"/>
        <v>0</v>
      </c>
      <c r="L33" s="300"/>
      <c r="M33" s="122">
        <f t="shared" si="15"/>
        <v>0</v>
      </c>
      <c r="N33" s="215"/>
      <c r="O33" s="294"/>
      <c r="P33" s="294"/>
      <c r="Q33" s="294"/>
      <c r="R33" s="294"/>
      <c r="S33" s="294"/>
      <c r="T33" s="294"/>
      <c r="U33" s="295"/>
      <c r="V33" s="495"/>
      <c r="W33" s="495"/>
      <c r="X33" s="495"/>
      <c r="Y33" s="495"/>
      <c r="AD33" s="495"/>
      <c r="AE33" s="495"/>
      <c r="AF33" s="495"/>
      <c r="AG33" s="495"/>
    </row>
    <row r="34" spans="2:43" s="520" customFormat="1" ht="15">
      <c r="B34" s="301"/>
      <c r="C34" s="989">
        <f t="shared" si="12"/>
        <v>5</v>
      </c>
      <c r="D34" s="168"/>
      <c r="E34" s="83" t="s">
        <v>125</v>
      </c>
      <c r="F34" s="316"/>
      <c r="G34" s="83" t="s">
        <v>349</v>
      </c>
      <c r="H34" s="81">
        <f>Subrates!$C$89</f>
        <v>0.33216559363956022</v>
      </c>
      <c r="I34" s="1250">
        <f t="shared" si="11"/>
        <v>6.2664411871606829</v>
      </c>
      <c r="J34" s="345">
        <f t="shared" si="13"/>
        <v>0</v>
      </c>
      <c r="K34" s="345">
        <f t="shared" si="14"/>
        <v>0</v>
      </c>
      <c r="L34" s="300"/>
      <c r="M34" s="122">
        <f t="shared" si="15"/>
        <v>0</v>
      </c>
      <c r="N34" s="215"/>
      <c r="O34" s="294"/>
      <c r="P34" s="294"/>
      <c r="Q34" s="294"/>
      <c r="R34" s="294"/>
      <c r="S34" s="294"/>
      <c r="T34" s="294"/>
      <c r="U34" s="295"/>
      <c r="V34" s="495"/>
      <c r="W34" s="495"/>
      <c r="X34" s="495"/>
      <c r="Y34" s="495"/>
      <c r="AD34" s="495"/>
      <c r="AE34" s="495"/>
      <c r="AF34" s="495"/>
      <c r="AG34" s="495"/>
    </row>
    <row r="35" spans="2:43" s="520" customFormat="1" ht="15">
      <c r="B35" s="301"/>
      <c r="C35" s="989">
        <f t="shared" si="12"/>
        <v>6</v>
      </c>
      <c r="D35" s="168"/>
      <c r="E35" s="83" t="s">
        <v>125</v>
      </c>
      <c r="F35" s="316"/>
      <c r="G35" s="83" t="s">
        <v>349</v>
      </c>
      <c r="H35" s="81">
        <f>Subrates!$C$89</f>
        <v>0.33216559363956022</v>
      </c>
      <c r="I35" s="1250">
        <f t="shared" si="11"/>
        <v>6.2664411871606829</v>
      </c>
      <c r="J35" s="345">
        <f t="shared" si="13"/>
        <v>0</v>
      </c>
      <c r="K35" s="345">
        <f t="shared" si="14"/>
        <v>0</v>
      </c>
      <c r="L35" s="300"/>
      <c r="M35" s="122">
        <f t="shared" si="15"/>
        <v>0</v>
      </c>
      <c r="N35" s="215"/>
      <c r="O35" s="294"/>
      <c r="P35" s="294"/>
      <c r="Q35" s="294"/>
      <c r="R35" s="294"/>
      <c r="S35" s="294"/>
      <c r="T35" s="294"/>
      <c r="U35" s="295"/>
      <c r="V35" s="495"/>
      <c r="W35" s="495"/>
      <c r="X35" s="495"/>
      <c r="Y35" s="495"/>
      <c r="AD35" s="495"/>
      <c r="AE35" s="495"/>
      <c r="AF35" s="495"/>
      <c r="AG35" s="495"/>
    </row>
    <row r="36" spans="2:43" s="520" customFormat="1" ht="15">
      <c r="B36" s="301"/>
      <c r="C36" s="989">
        <f t="shared" si="12"/>
        <v>7</v>
      </c>
      <c r="D36" s="168"/>
      <c r="E36" s="83" t="s">
        <v>125</v>
      </c>
      <c r="F36" s="316"/>
      <c r="G36" s="83" t="s">
        <v>349</v>
      </c>
      <c r="H36" s="81">
        <f>Subrates!$C$89</f>
        <v>0.33216559363956022</v>
      </c>
      <c r="I36" s="1250">
        <f t="shared" si="11"/>
        <v>6.2664411871606829</v>
      </c>
      <c r="J36" s="345">
        <f t="shared" si="13"/>
        <v>0</v>
      </c>
      <c r="K36" s="345">
        <f t="shared" si="14"/>
        <v>0</v>
      </c>
      <c r="L36" s="300"/>
      <c r="M36" s="122">
        <f t="shared" si="15"/>
        <v>0</v>
      </c>
      <c r="N36" s="215"/>
      <c r="O36" s="294"/>
      <c r="P36" s="294"/>
      <c r="Q36" s="294"/>
      <c r="R36" s="294"/>
      <c r="S36" s="294"/>
      <c r="T36" s="294"/>
      <c r="U36" s="295"/>
      <c r="V36" s="495"/>
      <c r="W36" s="495"/>
      <c r="X36" s="495"/>
      <c r="Y36" s="495"/>
      <c r="AD36" s="495"/>
      <c r="AE36" s="495"/>
      <c r="AF36" s="495"/>
      <c r="AG36" s="495"/>
    </row>
    <row r="37" spans="2:43" s="520" customFormat="1" ht="15">
      <c r="B37" s="301"/>
      <c r="C37" s="989">
        <f t="shared" si="12"/>
        <v>8</v>
      </c>
      <c r="D37" s="168"/>
      <c r="E37" s="83" t="s">
        <v>125</v>
      </c>
      <c r="F37" s="316"/>
      <c r="G37" s="83" t="s">
        <v>349</v>
      </c>
      <c r="H37" s="81">
        <f>Subrates!$C$89</f>
        <v>0.33216559363956022</v>
      </c>
      <c r="I37" s="1250">
        <f t="shared" si="11"/>
        <v>6.2664411871606829</v>
      </c>
      <c r="J37" s="345">
        <f t="shared" si="13"/>
        <v>0</v>
      </c>
      <c r="K37" s="345">
        <f t="shared" si="14"/>
        <v>0</v>
      </c>
      <c r="L37" s="300"/>
      <c r="M37" s="122">
        <f t="shared" si="15"/>
        <v>0</v>
      </c>
      <c r="N37" s="215"/>
      <c r="O37" s="294"/>
      <c r="P37" s="294"/>
      <c r="Q37" s="294"/>
      <c r="R37" s="294"/>
      <c r="S37" s="294"/>
      <c r="T37" s="294"/>
      <c r="U37" s="295"/>
      <c r="V37" s="495"/>
      <c r="W37" s="495"/>
      <c r="X37" s="495"/>
      <c r="Y37" s="495"/>
      <c r="AD37" s="495"/>
      <c r="AE37" s="495"/>
      <c r="AF37" s="495"/>
      <c r="AG37" s="495"/>
    </row>
    <row r="38" spans="2:43" s="520" customFormat="1" ht="15">
      <c r="B38" s="301"/>
      <c r="C38" s="989">
        <f t="shared" si="12"/>
        <v>9</v>
      </c>
      <c r="D38" s="168"/>
      <c r="E38" s="83" t="s">
        <v>125</v>
      </c>
      <c r="F38" s="316"/>
      <c r="G38" s="83" t="s">
        <v>349</v>
      </c>
      <c r="H38" s="81">
        <f>Subrates!$C$89</f>
        <v>0.33216559363956022</v>
      </c>
      <c r="I38" s="1250">
        <f t="shared" si="11"/>
        <v>6.2664411871606829</v>
      </c>
      <c r="J38" s="345">
        <f t="shared" si="13"/>
        <v>0</v>
      </c>
      <c r="K38" s="345">
        <f t="shared" si="14"/>
        <v>0</v>
      </c>
      <c r="L38" s="300"/>
      <c r="M38" s="122">
        <f t="shared" si="15"/>
        <v>0</v>
      </c>
      <c r="N38" s="215"/>
      <c r="O38" s="294"/>
      <c r="P38" s="294"/>
      <c r="Q38" s="294"/>
      <c r="R38" s="294"/>
      <c r="S38" s="294"/>
      <c r="T38" s="294"/>
      <c r="U38" s="295"/>
      <c r="V38" s="495"/>
      <c r="W38" s="495"/>
      <c r="X38" s="495"/>
      <c r="Y38" s="495"/>
      <c r="AD38" s="495"/>
      <c r="AE38" s="495"/>
      <c r="AF38" s="495"/>
      <c r="AG38" s="495"/>
    </row>
    <row r="39" spans="2:43" s="520" customFormat="1" ht="15">
      <c r="B39" s="301"/>
      <c r="C39" s="989">
        <f t="shared" si="12"/>
        <v>10</v>
      </c>
      <c r="D39" s="168"/>
      <c r="E39" s="83" t="s">
        <v>125</v>
      </c>
      <c r="F39" s="316"/>
      <c r="G39" s="83" t="s">
        <v>349</v>
      </c>
      <c r="H39" s="81">
        <f>Subrates!$C$89</f>
        <v>0.33216559363956022</v>
      </c>
      <c r="I39" s="1250">
        <f t="shared" si="11"/>
        <v>6.2664411871606829</v>
      </c>
      <c r="J39" s="345">
        <f t="shared" si="13"/>
        <v>0</v>
      </c>
      <c r="K39" s="345">
        <f t="shared" si="14"/>
        <v>0</v>
      </c>
      <c r="L39" s="300"/>
      <c r="M39" s="122">
        <f t="shared" si="15"/>
        <v>0</v>
      </c>
      <c r="N39" s="215"/>
      <c r="O39" s="294"/>
      <c r="P39" s="294"/>
      <c r="Q39" s="294"/>
      <c r="R39" s="294"/>
      <c r="S39" s="294"/>
      <c r="T39" s="294"/>
      <c r="U39" s="295"/>
      <c r="V39" s="495"/>
      <c r="W39" s="495"/>
      <c r="X39" s="495"/>
      <c r="Y39" s="495"/>
      <c r="AD39" s="495"/>
      <c r="AE39" s="495"/>
      <c r="AF39" s="495"/>
      <c r="AG39" s="495"/>
    </row>
    <row r="40" spans="2:43" ht="18" customHeight="1">
      <c r="E40" s="475"/>
      <c r="F40" s="868"/>
      <c r="G40" s="475"/>
      <c r="H40" s="475"/>
      <c r="I40" s="434"/>
      <c r="J40" s="434"/>
      <c r="K40" s="434"/>
      <c r="M40" s="1105"/>
      <c r="N40" s="434"/>
      <c r="P40" s="434"/>
      <c r="Q40" s="434"/>
      <c r="R40" s="434"/>
      <c r="S40" s="434"/>
      <c r="T40" s="434"/>
      <c r="U40" s="434"/>
      <c r="V40" s="434"/>
      <c r="W40" s="434"/>
      <c r="X40" s="434"/>
      <c r="Y40" s="434"/>
      <c r="AD40" s="434"/>
      <c r="AE40" s="434"/>
      <c r="AF40" s="434"/>
      <c r="AG40" s="434"/>
    </row>
    <row r="41" spans="2:43" ht="19.149999999999999" customHeight="1">
      <c r="E41" s="848" t="s">
        <v>2467</v>
      </c>
      <c r="F41" s="372">
        <f>SUM(F29:F40)</f>
        <v>0</v>
      </c>
      <c r="G41" s="475"/>
      <c r="H41" s="475"/>
      <c r="I41" s="475"/>
      <c r="J41" s="434"/>
      <c r="K41" s="434"/>
      <c r="M41" s="122">
        <f>SUM(M30:M39)</f>
        <v>0</v>
      </c>
      <c r="N41" s="882">
        <f>IF(F41=0,0,M41/F41)</f>
        <v>0</v>
      </c>
      <c r="O41" s="736" t="s">
        <v>15</v>
      </c>
      <c r="P41" s="434"/>
      <c r="R41" s="434"/>
      <c r="S41" s="434"/>
      <c r="T41" s="434"/>
      <c r="U41" s="434"/>
      <c r="V41" s="434"/>
      <c r="W41" s="434"/>
      <c r="X41" s="434"/>
      <c r="Y41" s="434"/>
      <c r="Z41" s="434"/>
      <c r="AA41" s="434"/>
      <c r="AF41" s="434"/>
      <c r="AG41" s="434"/>
      <c r="AH41" s="434"/>
      <c r="AI41" s="434"/>
    </row>
    <row r="42" spans="2:43" ht="19.149999999999999" customHeight="1">
      <c r="B42" s="474"/>
      <c r="C42" s="474"/>
      <c r="D42" s="474"/>
      <c r="O42" s="434"/>
      <c r="P42" s="434"/>
      <c r="R42" s="434"/>
      <c r="S42" s="434"/>
      <c r="T42" s="434"/>
      <c r="U42" s="434"/>
      <c r="V42" s="434"/>
      <c r="W42" s="434"/>
      <c r="X42" s="434"/>
      <c r="Y42" s="434"/>
      <c r="Z42" s="434"/>
      <c r="AA42" s="434"/>
      <c r="AF42" s="434"/>
      <c r="AG42" s="434"/>
      <c r="AH42" s="434"/>
      <c r="AI42" s="434"/>
    </row>
    <row r="43" spans="2:43" ht="18.600000000000001" customHeight="1">
      <c r="J43" s="434"/>
      <c r="L43" s="475"/>
      <c r="N43" s="434"/>
      <c r="O43" s="434"/>
    </row>
    <row r="44" spans="2:43" ht="18.600000000000001" customHeight="1">
      <c r="J44" s="434"/>
      <c r="L44" s="882"/>
      <c r="N44" s="434"/>
      <c r="O44" s="434"/>
    </row>
    <row r="45" spans="2:43" ht="16.899999999999999" customHeight="1">
      <c r="B45" s="286" t="s">
        <v>26</v>
      </c>
      <c r="C45" s="991" t="s">
        <v>2474</v>
      </c>
      <c r="D45" s="1249"/>
      <c r="E45" s="1249"/>
      <c r="L45" s="475"/>
      <c r="M45" s="475"/>
      <c r="O45" s="434"/>
      <c r="P45" s="434"/>
      <c r="Q45" s="434"/>
      <c r="R45" s="434"/>
      <c r="S45" s="434"/>
      <c r="T45" s="434"/>
      <c r="U45" s="434"/>
      <c r="V45" s="434"/>
      <c r="W45" s="434"/>
      <c r="X45" s="434"/>
      <c r="Y45" s="434"/>
      <c r="Z45" s="434"/>
      <c r="AA45" s="434"/>
      <c r="AB45" s="434"/>
      <c r="AC45" s="434"/>
      <c r="AD45" s="639"/>
      <c r="AE45" s="639"/>
      <c r="AF45" s="434"/>
      <c r="AG45" s="434"/>
      <c r="AH45" s="434"/>
      <c r="AI45" s="434"/>
      <c r="AJ45" s="434"/>
      <c r="AK45" s="434"/>
      <c r="AL45" s="434"/>
      <c r="AM45" s="434"/>
      <c r="AN45" s="434"/>
      <c r="AO45" s="434"/>
      <c r="AP45" s="434"/>
      <c r="AQ45" s="434"/>
    </row>
    <row r="46" spans="2:43" ht="135.6" customHeight="1">
      <c r="B46" s="773" t="s">
        <v>1517</v>
      </c>
      <c r="C46" s="773" t="s">
        <v>27</v>
      </c>
      <c r="D46" s="773" t="s">
        <v>2456</v>
      </c>
      <c r="E46" s="812" t="s">
        <v>2470</v>
      </c>
      <c r="F46" s="773" t="s">
        <v>2475</v>
      </c>
      <c r="G46" s="773" t="s">
        <v>1521</v>
      </c>
      <c r="H46" s="773" t="s">
        <v>35</v>
      </c>
      <c r="I46" s="775" t="s">
        <v>83</v>
      </c>
      <c r="J46" s="773" t="s">
        <v>2476</v>
      </c>
      <c r="K46" s="775" t="s">
        <v>83</v>
      </c>
      <c r="L46" s="776" t="s">
        <v>1526</v>
      </c>
      <c r="M46" s="777"/>
      <c r="N46" s="777"/>
      <c r="O46" s="777"/>
      <c r="P46" s="777"/>
      <c r="Q46" s="777"/>
      <c r="R46" s="777"/>
      <c r="S46" s="778"/>
      <c r="T46" s="434"/>
      <c r="U46" s="434"/>
      <c r="V46" s="434"/>
      <c r="W46" s="434"/>
      <c r="X46" s="434"/>
      <c r="Y46" s="434"/>
      <c r="Z46" s="434"/>
      <c r="AA46" s="434"/>
      <c r="AB46" s="434"/>
      <c r="AD46" s="434"/>
      <c r="AE46" s="434"/>
      <c r="AF46" s="434"/>
      <c r="AG46" s="434"/>
      <c r="AH46" s="434"/>
      <c r="AI46" s="434"/>
      <c r="AJ46" s="434"/>
      <c r="AK46" s="434"/>
      <c r="AL46" s="434"/>
      <c r="AN46" s="434"/>
      <c r="AO46" s="434"/>
      <c r="AP46" s="434"/>
    </row>
    <row r="47" spans="2:43" ht="18" customHeight="1">
      <c r="B47" s="768"/>
      <c r="D47" s="1179" t="s">
        <v>1846</v>
      </c>
      <c r="E47" s="125" t="s">
        <v>1646</v>
      </c>
      <c r="F47" s="824" t="s">
        <v>33</v>
      </c>
      <c r="G47" s="824"/>
      <c r="H47" s="824" t="s">
        <v>61</v>
      </c>
      <c r="I47" s="824" t="s">
        <v>76</v>
      </c>
      <c r="J47" s="824" t="s">
        <v>76</v>
      </c>
      <c r="K47" s="824" t="s">
        <v>76</v>
      </c>
      <c r="N47" s="474"/>
      <c r="O47" s="474"/>
      <c r="P47" s="474"/>
      <c r="Q47" s="474"/>
      <c r="R47" s="474"/>
      <c r="S47" s="474"/>
      <c r="T47" s="434"/>
      <c r="U47" s="434"/>
      <c r="V47" s="434"/>
      <c r="W47" s="434"/>
      <c r="X47" s="434"/>
      <c r="Y47" s="434"/>
      <c r="Z47" s="434"/>
      <c r="AA47" s="434"/>
      <c r="AB47" s="434"/>
      <c r="AD47" s="434"/>
      <c r="AE47" s="434"/>
      <c r="AF47" s="434"/>
      <c r="AG47" s="434"/>
      <c r="AH47" s="434"/>
      <c r="AI47" s="434"/>
      <c r="AJ47" s="434"/>
      <c r="AK47" s="434"/>
      <c r="AL47" s="434"/>
      <c r="AN47" s="434"/>
      <c r="AO47" s="434"/>
      <c r="AP47" s="434"/>
    </row>
    <row r="48" spans="2:43" s="520" customFormat="1" ht="12.75">
      <c r="B48" s="301"/>
      <c r="C48" s="989">
        <v>1</v>
      </c>
      <c r="D48" s="168"/>
      <c r="E48" s="87" t="s">
        <v>1336</v>
      </c>
      <c r="F48" s="316"/>
      <c r="G48" s="866" t="str">
        <f>VLOOKUP(E48,Lists!$B$251:$C$252,2,FALSE)</f>
        <v>#13.17</v>
      </c>
      <c r="H48" s="1250">
        <f>VLOOKUP(G48,TOV!$C$533:$G$534,TOV_Rate_Ref,FALSE)</f>
        <v>18.67122148799422</v>
      </c>
      <c r="I48" s="88">
        <f>H48*F48</f>
        <v>0</v>
      </c>
      <c r="J48" s="300"/>
      <c r="K48" s="88">
        <f>IF(J48="",I48,J48)</f>
        <v>0</v>
      </c>
      <c r="L48" s="215"/>
      <c r="M48" s="294"/>
      <c r="N48" s="294"/>
      <c r="O48" s="294"/>
      <c r="P48" s="294"/>
      <c r="Q48" s="294"/>
      <c r="R48" s="294"/>
      <c r="S48" s="295"/>
      <c r="T48" s="495"/>
      <c r="U48" s="495"/>
      <c r="V48" s="495"/>
      <c r="W48" s="495"/>
      <c r="X48" s="495"/>
      <c r="Y48" s="434"/>
      <c r="Z48" s="434"/>
      <c r="AA48" s="434"/>
      <c r="AB48" s="434"/>
      <c r="AD48" s="495"/>
      <c r="AE48" s="495"/>
      <c r="AF48" s="495"/>
      <c r="AG48" s="495"/>
      <c r="AH48" s="495"/>
      <c r="AI48" s="495"/>
      <c r="AJ48" s="495"/>
      <c r="AK48" s="495"/>
      <c r="AL48" s="495"/>
      <c r="AN48" s="495"/>
      <c r="AO48" s="495"/>
      <c r="AP48" s="495"/>
    </row>
    <row r="49" spans="2:42" s="520" customFormat="1" ht="12.75">
      <c r="B49" s="301"/>
      <c r="C49" s="989">
        <f t="shared" ref="C49:C57" si="16">C48+1</f>
        <v>2</v>
      </c>
      <c r="D49" s="168"/>
      <c r="E49" s="87" t="s">
        <v>1339</v>
      </c>
      <c r="F49" s="316"/>
      <c r="G49" s="866" t="str">
        <f>VLOOKUP(E49,Lists!$B$251:$C$252,2,FALSE)</f>
        <v>#13.18</v>
      </c>
      <c r="H49" s="1250">
        <f>VLOOKUP(G49,TOV!$C$533:$G$534,TOV_Rate_Ref,FALSE)</f>
        <v>21.027647251519625</v>
      </c>
      <c r="I49" s="88">
        <f t="shared" ref="I49:I57" si="17">H49*F49</f>
        <v>0</v>
      </c>
      <c r="J49" s="300"/>
      <c r="K49" s="88">
        <f t="shared" ref="K49:K57" si="18">IF(J49="",I49,J49)</f>
        <v>0</v>
      </c>
      <c r="L49" s="215"/>
      <c r="M49" s="294"/>
      <c r="N49" s="294"/>
      <c r="O49" s="294"/>
      <c r="P49" s="294"/>
      <c r="Q49" s="294"/>
      <c r="R49" s="294"/>
      <c r="S49" s="295"/>
      <c r="T49" s="495"/>
      <c r="U49" s="495"/>
      <c r="V49" s="495"/>
      <c r="W49" s="495"/>
      <c r="X49" s="495"/>
      <c r="Y49" s="434"/>
      <c r="Z49" s="434"/>
      <c r="AA49" s="434"/>
      <c r="AB49" s="434"/>
      <c r="AD49" s="495"/>
      <c r="AE49" s="495"/>
      <c r="AF49" s="495"/>
      <c r="AG49" s="495"/>
      <c r="AH49" s="495"/>
      <c r="AI49" s="495"/>
      <c r="AJ49" s="495"/>
      <c r="AK49" s="495"/>
      <c r="AL49" s="495"/>
      <c r="AN49" s="495"/>
      <c r="AO49" s="495"/>
      <c r="AP49" s="495"/>
    </row>
    <row r="50" spans="2:42" s="520" customFormat="1" ht="12.75">
      <c r="B50" s="301"/>
      <c r="C50" s="989">
        <f t="shared" si="16"/>
        <v>3</v>
      </c>
      <c r="D50" s="168"/>
      <c r="E50" s="87" t="s">
        <v>1336</v>
      </c>
      <c r="F50" s="316"/>
      <c r="G50" s="866" t="str">
        <f>VLOOKUP(E50,Lists!$B$251:$C$252,2,FALSE)</f>
        <v>#13.17</v>
      </c>
      <c r="H50" s="1250">
        <f>VLOOKUP(G50,TOV!$C$533:$G$534,TOV_Rate_Ref,FALSE)</f>
        <v>18.67122148799422</v>
      </c>
      <c r="I50" s="88">
        <f t="shared" si="17"/>
        <v>0</v>
      </c>
      <c r="J50" s="300"/>
      <c r="K50" s="88">
        <f t="shared" si="18"/>
        <v>0</v>
      </c>
      <c r="L50" s="215"/>
      <c r="M50" s="294"/>
      <c r="N50" s="294"/>
      <c r="O50" s="294"/>
      <c r="P50" s="294"/>
      <c r="Q50" s="294"/>
      <c r="R50" s="294"/>
      <c r="S50" s="295"/>
      <c r="T50" s="495"/>
      <c r="U50" s="495"/>
      <c r="V50" s="495"/>
      <c r="W50" s="495"/>
      <c r="X50" s="495"/>
      <c r="Y50" s="434"/>
      <c r="Z50" s="434"/>
      <c r="AA50" s="434"/>
      <c r="AB50" s="434"/>
      <c r="AD50" s="495"/>
      <c r="AE50" s="495"/>
      <c r="AF50" s="495"/>
      <c r="AG50" s="495"/>
    </row>
    <row r="51" spans="2:42" s="520" customFormat="1" ht="12.75">
      <c r="B51" s="301"/>
      <c r="C51" s="989">
        <f t="shared" si="16"/>
        <v>4</v>
      </c>
      <c r="D51" s="168"/>
      <c r="E51" s="87" t="s">
        <v>1336</v>
      </c>
      <c r="F51" s="316"/>
      <c r="G51" s="866" t="str">
        <f>VLOOKUP(E51,Lists!$B$251:$C$252,2,FALSE)</f>
        <v>#13.17</v>
      </c>
      <c r="H51" s="1250">
        <f>VLOOKUP(G51,TOV!$C$533:$G$534,TOV_Rate_Ref,FALSE)</f>
        <v>18.67122148799422</v>
      </c>
      <c r="I51" s="88">
        <f t="shared" si="17"/>
        <v>0</v>
      </c>
      <c r="J51" s="300"/>
      <c r="K51" s="88">
        <f t="shared" si="18"/>
        <v>0</v>
      </c>
      <c r="L51" s="215"/>
      <c r="M51" s="294"/>
      <c r="N51" s="294"/>
      <c r="O51" s="294"/>
      <c r="P51" s="294"/>
      <c r="Q51" s="294"/>
      <c r="R51" s="294"/>
      <c r="S51" s="295"/>
      <c r="T51" s="495"/>
      <c r="U51" s="495"/>
      <c r="V51" s="495"/>
      <c r="W51" s="495"/>
      <c r="X51" s="495"/>
      <c r="Y51" s="434"/>
      <c r="Z51" s="434"/>
      <c r="AA51" s="434"/>
      <c r="AB51" s="434"/>
      <c r="AD51" s="495"/>
      <c r="AE51" s="495"/>
      <c r="AF51" s="495"/>
      <c r="AG51" s="495"/>
    </row>
    <row r="52" spans="2:42" s="520" customFormat="1" ht="12.75">
      <c r="B52" s="301"/>
      <c r="C52" s="989">
        <f t="shared" si="16"/>
        <v>5</v>
      </c>
      <c r="D52" s="168"/>
      <c r="E52" s="87" t="s">
        <v>1336</v>
      </c>
      <c r="F52" s="316"/>
      <c r="G52" s="866" t="str">
        <f>VLOOKUP(E52,Lists!$B$251:$C$252,2,FALSE)</f>
        <v>#13.17</v>
      </c>
      <c r="H52" s="1250">
        <f>VLOOKUP(G52,TOV!$C$533:$G$534,TOV_Rate_Ref,FALSE)</f>
        <v>18.67122148799422</v>
      </c>
      <c r="I52" s="88">
        <f t="shared" si="17"/>
        <v>0</v>
      </c>
      <c r="J52" s="300"/>
      <c r="K52" s="88">
        <f t="shared" si="18"/>
        <v>0</v>
      </c>
      <c r="L52" s="215"/>
      <c r="M52" s="294"/>
      <c r="N52" s="294"/>
      <c r="O52" s="294"/>
      <c r="P52" s="294"/>
      <c r="Q52" s="294"/>
      <c r="R52" s="294"/>
      <c r="S52" s="295"/>
      <c r="T52" s="495"/>
      <c r="U52" s="495"/>
      <c r="V52" s="495"/>
      <c r="W52" s="495"/>
      <c r="X52" s="495"/>
      <c r="Y52" s="434"/>
      <c r="Z52" s="434"/>
      <c r="AA52" s="434"/>
      <c r="AB52" s="434"/>
      <c r="AD52" s="495"/>
      <c r="AE52" s="495"/>
      <c r="AF52" s="495"/>
      <c r="AG52" s="495"/>
    </row>
    <row r="53" spans="2:42" s="520" customFormat="1" ht="12.75">
      <c r="B53" s="301"/>
      <c r="C53" s="989">
        <f t="shared" si="16"/>
        <v>6</v>
      </c>
      <c r="D53" s="168"/>
      <c r="E53" s="87" t="s">
        <v>1336</v>
      </c>
      <c r="F53" s="316"/>
      <c r="G53" s="866" t="str">
        <f>VLOOKUP(E53,Lists!$B$251:$C$252,2,FALSE)</f>
        <v>#13.17</v>
      </c>
      <c r="H53" s="1250">
        <f>VLOOKUP(G53,TOV!$C$533:$G$534,TOV_Rate_Ref,FALSE)</f>
        <v>18.67122148799422</v>
      </c>
      <c r="I53" s="88">
        <f t="shared" si="17"/>
        <v>0</v>
      </c>
      <c r="J53" s="300"/>
      <c r="K53" s="88">
        <f t="shared" si="18"/>
        <v>0</v>
      </c>
      <c r="L53" s="215"/>
      <c r="M53" s="294"/>
      <c r="N53" s="294"/>
      <c r="O53" s="294"/>
      <c r="P53" s="294"/>
      <c r="Q53" s="294"/>
      <c r="R53" s="294"/>
      <c r="S53" s="295"/>
      <c r="T53" s="495"/>
      <c r="U53" s="495"/>
      <c r="V53" s="495"/>
      <c r="W53" s="495"/>
      <c r="X53" s="495"/>
      <c r="Y53" s="434"/>
      <c r="Z53" s="434"/>
      <c r="AA53" s="434"/>
      <c r="AB53" s="434"/>
      <c r="AD53" s="495"/>
      <c r="AE53" s="495"/>
      <c r="AF53" s="495"/>
      <c r="AG53" s="495"/>
    </row>
    <row r="54" spans="2:42" s="520" customFormat="1" ht="12.75">
      <c r="B54" s="301"/>
      <c r="C54" s="989">
        <f t="shared" si="16"/>
        <v>7</v>
      </c>
      <c r="D54" s="168"/>
      <c r="E54" s="87" t="s">
        <v>1336</v>
      </c>
      <c r="F54" s="316"/>
      <c r="G54" s="866" t="str">
        <f>VLOOKUP(E54,Lists!$B$251:$C$252,2,FALSE)</f>
        <v>#13.17</v>
      </c>
      <c r="H54" s="1250">
        <f>VLOOKUP(G54,TOV!$C$533:$G$534,TOV_Rate_Ref,FALSE)</f>
        <v>18.67122148799422</v>
      </c>
      <c r="I54" s="88">
        <f t="shared" si="17"/>
        <v>0</v>
      </c>
      <c r="J54" s="300"/>
      <c r="K54" s="88">
        <f t="shared" si="18"/>
        <v>0</v>
      </c>
      <c r="L54" s="215"/>
      <c r="M54" s="294"/>
      <c r="N54" s="294"/>
      <c r="O54" s="294"/>
      <c r="P54" s="294"/>
      <c r="Q54" s="294"/>
      <c r="R54" s="294"/>
      <c r="S54" s="295"/>
      <c r="T54" s="495"/>
      <c r="U54" s="495"/>
      <c r="V54" s="495"/>
      <c r="W54" s="495"/>
      <c r="X54" s="495"/>
      <c r="Y54" s="434"/>
      <c r="Z54" s="434"/>
      <c r="AA54" s="434"/>
      <c r="AB54" s="434"/>
      <c r="AD54" s="495"/>
      <c r="AE54" s="495"/>
      <c r="AF54" s="495"/>
      <c r="AG54" s="495"/>
    </row>
    <row r="55" spans="2:42" s="520" customFormat="1" ht="12.75">
      <c r="B55" s="301"/>
      <c r="C55" s="989">
        <f t="shared" si="16"/>
        <v>8</v>
      </c>
      <c r="D55" s="168"/>
      <c r="E55" s="87" t="s">
        <v>1336</v>
      </c>
      <c r="F55" s="316"/>
      <c r="G55" s="866" t="str">
        <f>VLOOKUP(E55,Lists!$B$251:$C$252,2,FALSE)</f>
        <v>#13.17</v>
      </c>
      <c r="H55" s="1250">
        <f>VLOOKUP(G55,TOV!$C$533:$G$534,TOV_Rate_Ref,FALSE)</f>
        <v>18.67122148799422</v>
      </c>
      <c r="I55" s="88">
        <f t="shared" si="17"/>
        <v>0</v>
      </c>
      <c r="J55" s="300"/>
      <c r="K55" s="88">
        <f t="shared" si="18"/>
        <v>0</v>
      </c>
      <c r="L55" s="215"/>
      <c r="M55" s="294"/>
      <c r="N55" s="294"/>
      <c r="O55" s="294"/>
      <c r="P55" s="294"/>
      <c r="Q55" s="294"/>
      <c r="R55" s="294"/>
      <c r="S55" s="295"/>
      <c r="T55" s="495"/>
      <c r="U55" s="495"/>
      <c r="V55" s="495"/>
      <c r="W55" s="495"/>
      <c r="X55" s="495"/>
      <c r="Y55" s="434"/>
      <c r="Z55" s="434"/>
      <c r="AA55" s="434"/>
      <c r="AB55" s="434"/>
      <c r="AD55" s="495"/>
      <c r="AE55" s="495"/>
      <c r="AF55" s="495"/>
      <c r="AG55" s="495"/>
    </row>
    <row r="56" spans="2:42" s="520" customFormat="1" ht="12.75">
      <c r="B56" s="301"/>
      <c r="C56" s="989">
        <f t="shared" si="16"/>
        <v>9</v>
      </c>
      <c r="D56" s="168"/>
      <c r="E56" s="87" t="s">
        <v>1336</v>
      </c>
      <c r="F56" s="316"/>
      <c r="G56" s="866" t="str">
        <f>VLOOKUP(E56,Lists!$B$251:$C$252,2,FALSE)</f>
        <v>#13.17</v>
      </c>
      <c r="H56" s="1250">
        <f>VLOOKUP(G56,TOV!$C$533:$G$534,TOV_Rate_Ref,FALSE)</f>
        <v>18.67122148799422</v>
      </c>
      <c r="I56" s="88">
        <f t="shared" si="17"/>
        <v>0</v>
      </c>
      <c r="J56" s="300"/>
      <c r="K56" s="88">
        <f t="shared" si="18"/>
        <v>0</v>
      </c>
      <c r="L56" s="215"/>
      <c r="M56" s="294"/>
      <c r="N56" s="294"/>
      <c r="O56" s="294"/>
      <c r="P56" s="294"/>
      <c r="Q56" s="294"/>
      <c r="R56" s="294"/>
      <c r="S56" s="295"/>
      <c r="T56" s="495"/>
      <c r="U56" s="495"/>
      <c r="V56" s="495"/>
      <c r="W56" s="495"/>
      <c r="X56" s="495"/>
      <c r="Y56" s="434"/>
      <c r="Z56" s="434"/>
      <c r="AA56" s="434"/>
      <c r="AB56" s="434"/>
      <c r="AD56" s="495"/>
      <c r="AE56" s="495"/>
      <c r="AF56" s="495"/>
      <c r="AG56" s="495"/>
    </row>
    <row r="57" spans="2:42" s="520" customFormat="1" ht="12.75">
      <c r="B57" s="301"/>
      <c r="C57" s="989">
        <f t="shared" si="16"/>
        <v>10</v>
      </c>
      <c r="D57" s="168"/>
      <c r="E57" s="87" t="s">
        <v>1336</v>
      </c>
      <c r="F57" s="316"/>
      <c r="G57" s="866" t="str">
        <f>VLOOKUP(E57,Lists!$B$251:$C$252,2,FALSE)</f>
        <v>#13.17</v>
      </c>
      <c r="H57" s="1250">
        <f>VLOOKUP(G57,TOV!$C$533:$G$534,TOV_Rate_Ref,FALSE)</f>
        <v>18.67122148799422</v>
      </c>
      <c r="I57" s="88">
        <f t="shared" si="17"/>
        <v>0</v>
      </c>
      <c r="J57" s="300"/>
      <c r="K57" s="88">
        <f t="shared" si="18"/>
        <v>0</v>
      </c>
      <c r="L57" s="215"/>
      <c r="M57" s="294"/>
      <c r="N57" s="294"/>
      <c r="O57" s="294"/>
      <c r="P57" s="294"/>
      <c r="Q57" s="294"/>
      <c r="R57" s="294"/>
      <c r="S57" s="295"/>
      <c r="T57" s="495"/>
      <c r="U57" s="495"/>
      <c r="V57" s="495"/>
      <c r="W57" s="495"/>
      <c r="X57" s="495"/>
      <c r="Y57" s="434"/>
      <c r="Z57" s="434"/>
      <c r="AA57" s="434"/>
      <c r="AB57" s="434"/>
      <c r="AD57" s="495"/>
      <c r="AE57" s="495"/>
      <c r="AF57" s="495"/>
      <c r="AG57" s="495"/>
    </row>
    <row r="58" spans="2:42" ht="18" customHeight="1">
      <c r="E58" s="475"/>
      <c r="F58" s="1123"/>
      <c r="G58" s="475"/>
      <c r="H58" s="475"/>
      <c r="I58" s="475"/>
      <c r="K58" s="475"/>
      <c r="L58" s="475"/>
      <c r="M58" s="475"/>
      <c r="R58" s="434"/>
      <c r="S58" s="434"/>
      <c r="T58" s="434"/>
      <c r="U58" s="434"/>
      <c r="V58" s="434"/>
      <c r="W58" s="434"/>
      <c r="X58" s="434"/>
      <c r="Y58" s="434"/>
      <c r="Z58" s="434"/>
      <c r="AA58" s="434"/>
      <c r="AB58" s="434"/>
      <c r="AD58" s="434"/>
      <c r="AE58" s="434"/>
      <c r="AF58" s="434"/>
      <c r="AG58" s="434"/>
    </row>
    <row r="59" spans="2:42" ht="19.149999999999999" customHeight="1">
      <c r="D59" s="848"/>
      <c r="E59" s="475"/>
      <c r="F59" s="372">
        <f>SUM(F47:F58)</f>
        <v>0</v>
      </c>
      <c r="G59" s="475"/>
      <c r="H59" s="475"/>
      <c r="I59" s="1251">
        <f>SUM(I48:I57)</f>
        <v>0</v>
      </c>
      <c r="J59" s="1252">
        <f>SUM(J48:J57)</f>
        <v>0</v>
      </c>
      <c r="K59" s="1251">
        <f>SUM(K48:K57)</f>
        <v>0</v>
      </c>
      <c r="L59" s="882">
        <f>IF(F59=0,0,K59/F59)</f>
        <v>0</v>
      </c>
      <c r="M59" s="434" t="s">
        <v>33</v>
      </c>
      <c r="R59" s="434"/>
      <c r="S59" s="434"/>
      <c r="T59" s="434"/>
      <c r="U59" s="434"/>
      <c r="V59" s="434"/>
      <c r="W59" s="434"/>
      <c r="X59" s="434"/>
      <c r="Y59" s="434"/>
      <c r="Z59" s="434"/>
      <c r="AA59" s="434"/>
      <c r="AB59" s="434"/>
      <c r="AF59" s="434"/>
      <c r="AG59" s="434"/>
      <c r="AH59" s="434"/>
      <c r="AI59" s="434"/>
    </row>
    <row r="60" spans="2:42" ht="18.600000000000001" customHeight="1">
      <c r="M60" s="434"/>
      <c r="N60" s="434"/>
    </row>
    <row r="61" spans="2:42" ht="18" customHeight="1">
      <c r="B61" s="286" t="s">
        <v>26</v>
      </c>
      <c r="C61" s="1038" t="s">
        <v>2477</v>
      </c>
      <c r="D61" s="1253"/>
      <c r="E61" s="475"/>
      <c r="H61" s="475"/>
      <c r="I61" s="434"/>
      <c r="J61" s="434"/>
      <c r="K61" s="434"/>
      <c r="L61" s="434"/>
      <c r="M61" s="434"/>
      <c r="N61" s="434"/>
      <c r="O61" s="434"/>
      <c r="P61" s="434"/>
      <c r="Q61" s="434"/>
      <c r="R61" s="434"/>
      <c r="S61" s="434"/>
      <c r="T61" s="434"/>
      <c r="U61" s="434"/>
      <c r="V61" s="434"/>
      <c r="W61" s="434"/>
      <c r="X61" s="434"/>
      <c r="Y61" s="639"/>
      <c r="Z61" s="639"/>
      <c r="AA61" s="434"/>
      <c r="AB61" s="434"/>
      <c r="AC61" s="434"/>
      <c r="AD61" s="434"/>
      <c r="AE61" s="434"/>
      <c r="AF61" s="434"/>
      <c r="AG61" s="434"/>
      <c r="AH61" s="434"/>
      <c r="AI61" s="434"/>
      <c r="AJ61" s="434"/>
      <c r="AK61" s="434"/>
      <c r="AL61" s="434"/>
    </row>
    <row r="62" spans="2:42" ht="135.6" customHeight="1">
      <c r="B62" s="773" t="s">
        <v>1517</v>
      </c>
      <c r="C62" s="773" t="s">
        <v>27</v>
      </c>
      <c r="D62" s="773" t="s">
        <v>2456</v>
      </c>
      <c r="E62" s="812" t="s">
        <v>2478</v>
      </c>
      <c r="F62" s="773" t="s">
        <v>2479</v>
      </c>
      <c r="G62" s="773" t="s">
        <v>1521</v>
      </c>
      <c r="H62" s="773" t="s">
        <v>35</v>
      </c>
      <c r="I62" s="775" t="s">
        <v>83</v>
      </c>
      <c r="J62" s="773" t="s">
        <v>2480</v>
      </c>
      <c r="K62" s="775" t="s">
        <v>2466</v>
      </c>
      <c r="L62" s="776" t="s">
        <v>1526</v>
      </c>
      <c r="M62" s="777"/>
      <c r="N62" s="777"/>
      <c r="O62" s="777"/>
      <c r="P62" s="777"/>
      <c r="Q62" s="777"/>
      <c r="R62" s="777"/>
      <c r="S62" s="778"/>
      <c r="Y62" s="1254" t="str" cm="1">
        <f t="array" ref="Y62:AH62">TRANSPOSE(Contaminants_and_waste)</f>
        <v>Asbestos (ACM)</v>
      </c>
      <c r="Z62" s="1254" t="str">
        <v>Asbestos in soil</v>
      </c>
      <c r="AA62" s="1254" t="str">
        <v>Low Level Petroleum Hydrocarbons in soil</v>
      </c>
      <c r="AB62" s="1254" t="str">
        <v>High Level Petroleum Hydrocarbons in soil</v>
      </c>
      <c r="AC62" s="1254" t="str">
        <v>Low Level Inorganics in soil</v>
      </c>
      <c r="AD62" s="1254" t="str">
        <v>High Level Inorganics in soil</v>
      </c>
      <c r="AE62" s="1254" t="str">
        <v>Sludge</v>
      </c>
      <c r="AF62" s="1254" t="str">
        <v>General Waste</v>
      </c>
      <c r="AG62" s="1254" t="str">
        <v>Construction / building waste</v>
      </c>
      <c r="AH62" s="1254" t="str">
        <v>Regulated waste (e.g. tires and belts)</v>
      </c>
      <c r="AI62" s="434"/>
      <c r="AJ62" s="434"/>
      <c r="AK62" s="434"/>
      <c r="AL62" s="434"/>
      <c r="AO62" s="1255">
        <v>1</v>
      </c>
    </row>
    <row r="63" spans="2:42" ht="18" customHeight="1">
      <c r="B63" s="768"/>
      <c r="C63" s="474"/>
      <c r="D63" s="1179" t="s">
        <v>1846</v>
      </c>
      <c r="E63" s="125" t="s">
        <v>1646</v>
      </c>
      <c r="F63" s="82" t="s">
        <v>33</v>
      </c>
      <c r="G63" s="824"/>
      <c r="H63" s="824" t="s">
        <v>34</v>
      </c>
      <c r="I63" s="824" t="s">
        <v>76</v>
      </c>
      <c r="J63" s="824" t="s">
        <v>76</v>
      </c>
      <c r="K63" s="824" t="s">
        <v>76</v>
      </c>
      <c r="N63" s="474"/>
      <c r="O63" s="474"/>
      <c r="P63" s="474"/>
      <c r="Q63" s="474"/>
      <c r="R63" s="474"/>
      <c r="S63" s="474"/>
      <c r="AI63" s="434"/>
      <c r="AJ63" s="434"/>
      <c r="AK63" s="434"/>
      <c r="AL63" s="434"/>
      <c r="AO63" s="1255">
        <f>AO62+1</f>
        <v>2</v>
      </c>
    </row>
    <row r="64" spans="2:42" s="520" customFormat="1" ht="12.75">
      <c r="B64" s="301"/>
      <c r="C64" s="1164">
        <v>1</v>
      </c>
      <c r="D64" s="168"/>
      <c r="E64" s="87" t="s">
        <v>2481</v>
      </c>
      <c r="F64" s="316"/>
      <c r="G64" s="866" t="str">
        <f>VLOOKUP(E64,Lists!$B$578:$C$587,2,FALSE)</f>
        <v>#13.04</v>
      </c>
      <c r="H64" s="103">
        <f>VLOOKUP(G64,TOV!$C$520:$F$529,TOV_Rate_Ref,FALSE)</f>
        <v>143.80632622483392</v>
      </c>
      <c r="I64" s="143">
        <f t="shared" ref="I64:I73" si="19">F64*H64</f>
        <v>0</v>
      </c>
      <c r="J64" s="300"/>
      <c r="K64" s="143">
        <f t="shared" ref="K64:K73" si="20">IF(J64="",I64,J64)</f>
        <v>0</v>
      </c>
      <c r="L64" s="215"/>
      <c r="M64" s="294"/>
      <c r="N64" s="294"/>
      <c r="O64" s="294"/>
      <c r="P64" s="294"/>
      <c r="Q64" s="294"/>
      <c r="R64" s="294"/>
      <c r="S64" s="295"/>
      <c r="Y64" s="990">
        <f t="shared" ref="Y64:AH73" si="21">IF($E64=Y$62,$F64,"")</f>
        <v>0</v>
      </c>
      <c r="Z64" s="990" t="str">
        <f t="shared" si="21"/>
        <v/>
      </c>
      <c r="AA64" s="990" t="str">
        <f t="shared" si="21"/>
        <v/>
      </c>
      <c r="AB64" s="990" t="str">
        <f t="shared" si="21"/>
        <v/>
      </c>
      <c r="AC64" s="990" t="str">
        <f t="shared" si="21"/>
        <v/>
      </c>
      <c r="AD64" s="990" t="str">
        <f t="shared" si="21"/>
        <v/>
      </c>
      <c r="AE64" s="990" t="str">
        <f t="shared" si="21"/>
        <v/>
      </c>
      <c r="AF64" s="990" t="str">
        <f t="shared" si="21"/>
        <v/>
      </c>
      <c r="AG64" s="990" t="str">
        <f t="shared" si="21"/>
        <v/>
      </c>
      <c r="AH64" s="990" t="str">
        <f t="shared" si="21"/>
        <v/>
      </c>
      <c r="AI64" s="434"/>
      <c r="AJ64" s="434"/>
      <c r="AK64" s="434"/>
      <c r="AL64" s="434"/>
      <c r="AO64" s="1255">
        <f t="shared" ref="AO64:AO75" si="22">AO63+1</f>
        <v>3</v>
      </c>
    </row>
    <row r="65" spans="2:41" s="520" customFormat="1" ht="12.75">
      <c r="B65" s="301"/>
      <c r="C65" s="1164">
        <f t="shared" ref="C65:C73" si="23">C64+1</f>
        <v>2</v>
      </c>
      <c r="D65" s="168"/>
      <c r="E65" s="87" t="s">
        <v>2482</v>
      </c>
      <c r="F65" s="316"/>
      <c r="G65" s="866" t="str">
        <f>VLOOKUP(E65,Lists!$B$578:$C$587,2,FALSE)</f>
        <v>#13.05</v>
      </c>
      <c r="H65" s="103">
        <f>VLOOKUP(G65,TOV!$C$520:$F$529,TOV_Rate_Ref,FALSE)</f>
        <v>145.06632622483394</v>
      </c>
      <c r="I65" s="143">
        <f t="shared" si="19"/>
        <v>0</v>
      </c>
      <c r="J65" s="300"/>
      <c r="K65" s="143">
        <f t="shared" si="20"/>
        <v>0</v>
      </c>
      <c r="L65" s="215"/>
      <c r="M65" s="294"/>
      <c r="N65" s="294"/>
      <c r="O65" s="294"/>
      <c r="P65" s="294"/>
      <c r="Q65" s="294"/>
      <c r="R65" s="294"/>
      <c r="S65" s="295"/>
      <c r="Y65" s="990" t="str">
        <f t="shared" si="21"/>
        <v/>
      </c>
      <c r="Z65" s="990">
        <f t="shared" si="21"/>
        <v>0</v>
      </c>
      <c r="AA65" s="990" t="str">
        <f t="shared" si="21"/>
        <v/>
      </c>
      <c r="AB65" s="990" t="str">
        <f t="shared" si="21"/>
        <v/>
      </c>
      <c r="AC65" s="990" t="str">
        <f t="shared" si="21"/>
        <v/>
      </c>
      <c r="AD65" s="990" t="str">
        <f t="shared" si="21"/>
        <v/>
      </c>
      <c r="AE65" s="990" t="str">
        <f t="shared" si="21"/>
        <v/>
      </c>
      <c r="AF65" s="990" t="str">
        <f t="shared" si="21"/>
        <v/>
      </c>
      <c r="AG65" s="990" t="str">
        <f t="shared" si="21"/>
        <v/>
      </c>
      <c r="AH65" s="990" t="str">
        <f t="shared" si="21"/>
        <v/>
      </c>
      <c r="AI65" s="434"/>
      <c r="AJ65" s="434"/>
      <c r="AK65" s="434"/>
      <c r="AL65" s="434"/>
      <c r="AO65" s="1255">
        <f t="shared" si="22"/>
        <v>4</v>
      </c>
    </row>
    <row r="66" spans="2:41" s="520" customFormat="1" ht="12.75">
      <c r="B66" s="301"/>
      <c r="C66" s="1164">
        <f t="shared" si="23"/>
        <v>3</v>
      </c>
      <c r="D66" s="168"/>
      <c r="E66" s="87" t="s">
        <v>2483</v>
      </c>
      <c r="F66" s="316"/>
      <c r="G66" s="866" t="str">
        <f>VLOOKUP(E66,Lists!$B$578:$C$587,2,FALSE)</f>
        <v>#13.06</v>
      </c>
      <c r="H66" s="103">
        <f>VLOOKUP(G66,TOV!$C$520:$F$529,TOV_Rate_Ref,FALSE)</f>
        <v>117.37632622483393</v>
      </c>
      <c r="I66" s="143">
        <f t="shared" si="19"/>
        <v>0</v>
      </c>
      <c r="J66" s="300"/>
      <c r="K66" s="143">
        <f t="shared" si="20"/>
        <v>0</v>
      </c>
      <c r="L66" s="215"/>
      <c r="M66" s="294"/>
      <c r="N66" s="294"/>
      <c r="O66" s="294"/>
      <c r="P66" s="294"/>
      <c r="Q66" s="294"/>
      <c r="R66" s="294"/>
      <c r="S66" s="295"/>
      <c r="Y66" s="990" t="str">
        <f t="shared" si="21"/>
        <v/>
      </c>
      <c r="Z66" s="990" t="str">
        <f t="shared" si="21"/>
        <v/>
      </c>
      <c r="AA66" s="990">
        <f t="shared" si="21"/>
        <v>0</v>
      </c>
      <c r="AB66" s="990" t="str">
        <f t="shared" si="21"/>
        <v/>
      </c>
      <c r="AC66" s="990" t="str">
        <f t="shared" si="21"/>
        <v/>
      </c>
      <c r="AD66" s="990" t="str">
        <f t="shared" si="21"/>
        <v/>
      </c>
      <c r="AE66" s="990" t="str">
        <f t="shared" si="21"/>
        <v/>
      </c>
      <c r="AF66" s="990" t="str">
        <f t="shared" si="21"/>
        <v/>
      </c>
      <c r="AG66" s="990" t="str">
        <f t="shared" si="21"/>
        <v/>
      </c>
      <c r="AH66" s="990" t="str">
        <f t="shared" si="21"/>
        <v/>
      </c>
      <c r="AI66" s="434"/>
      <c r="AJ66" s="434"/>
      <c r="AK66" s="434"/>
      <c r="AL66" s="434"/>
      <c r="AO66" s="1255">
        <f t="shared" si="22"/>
        <v>5</v>
      </c>
    </row>
    <row r="67" spans="2:41" s="520" customFormat="1" ht="12.75">
      <c r="B67" s="301"/>
      <c r="C67" s="1164">
        <f t="shared" si="23"/>
        <v>4</v>
      </c>
      <c r="D67" s="168"/>
      <c r="E67" s="87" t="s">
        <v>2484</v>
      </c>
      <c r="F67" s="316"/>
      <c r="G67" s="866" t="str">
        <f>VLOOKUP(E67,Lists!$B$578:$C$587,2,FALSE)</f>
        <v>#13.07</v>
      </c>
      <c r="H67" s="103">
        <f>VLOOKUP(G67,TOV!$C$520:$F$529,TOV_Rate_Ref,FALSE)</f>
        <v>233.94632622483394</v>
      </c>
      <c r="I67" s="143">
        <f t="shared" si="19"/>
        <v>0</v>
      </c>
      <c r="J67" s="300"/>
      <c r="K67" s="143">
        <f t="shared" si="20"/>
        <v>0</v>
      </c>
      <c r="L67" s="215"/>
      <c r="M67" s="294"/>
      <c r="N67" s="294"/>
      <c r="O67" s="294"/>
      <c r="P67" s="294"/>
      <c r="Q67" s="294"/>
      <c r="R67" s="294"/>
      <c r="S67" s="295"/>
      <c r="Y67" s="990" t="str">
        <f t="shared" si="21"/>
        <v/>
      </c>
      <c r="Z67" s="990" t="str">
        <f t="shared" si="21"/>
        <v/>
      </c>
      <c r="AA67" s="990" t="str">
        <f t="shared" si="21"/>
        <v/>
      </c>
      <c r="AB67" s="990">
        <f t="shared" si="21"/>
        <v>0</v>
      </c>
      <c r="AC67" s="990" t="str">
        <f t="shared" si="21"/>
        <v/>
      </c>
      <c r="AD67" s="990" t="str">
        <f t="shared" si="21"/>
        <v/>
      </c>
      <c r="AE67" s="990" t="str">
        <f t="shared" si="21"/>
        <v/>
      </c>
      <c r="AF67" s="990" t="str">
        <f t="shared" si="21"/>
        <v/>
      </c>
      <c r="AG67" s="990" t="str">
        <f t="shared" si="21"/>
        <v/>
      </c>
      <c r="AH67" s="990" t="str">
        <f t="shared" si="21"/>
        <v/>
      </c>
      <c r="AI67" s="434"/>
      <c r="AJ67" s="434"/>
      <c r="AK67" s="434"/>
      <c r="AL67" s="434"/>
      <c r="AO67" s="1255">
        <f t="shared" si="22"/>
        <v>6</v>
      </c>
    </row>
    <row r="68" spans="2:41" s="520" customFormat="1" ht="12.75">
      <c r="B68" s="301"/>
      <c r="C68" s="1164">
        <f t="shared" si="23"/>
        <v>5</v>
      </c>
      <c r="D68" s="168"/>
      <c r="E68" s="87" t="s">
        <v>2485</v>
      </c>
      <c r="F68" s="316"/>
      <c r="G68" s="866" t="str">
        <f>VLOOKUP(E68,Lists!$B$578:$C$587,2,FALSE)</f>
        <v>#13.08</v>
      </c>
      <c r="H68" s="103">
        <f>VLOOKUP(G68,TOV!$C$520:$F$529,TOV_Rate_Ref,FALSE)</f>
        <v>117.37632622483393</v>
      </c>
      <c r="I68" s="143">
        <f t="shared" si="19"/>
        <v>0</v>
      </c>
      <c r="J68" s="300"/>
      <c r="K68" s="143">
        <f t="shared" si="20"/>
        <v>0</v>
      </c>
      <c r="L68" s="215"/>
      <c r="M68" s="294"/>
      <c r="N68" s="294"/>
      <c r="O68" s="294"/>
      <c r="P68" s="294"/>
      <c r="Q68" s="294"/>
      <c r="R68" s="294"/>
      <c r="S68" s="295"/>
      <c r="Y68" s="990" t="str">
        <f t="shared" si="21"/>
        <v/>
      </c>
      <c r="Z68" s="990" t="str">
        <f t="shared" si="21"/>
        <v/>
      </c>
      <c r="AA68" s="990" t="str">
        <f t="shared" si="21"/>
        <v/>
      </c>
      <c r="AB68" s="990" t="str">
        <f t="shared" si="21"/>
        <v/>
      </c>
      <c r="AC68" s="990">
        <f t="shared" si="21"/>
        <v>0</v>
      </c>
      <c r="AD68" s="990" t="str">
        <f t="shared" si="21"/>
        <v/>
      </c>
      <c r="AE68" s="990" t="str">
        <f t="shared" si="21"/>
        <v/>
      </c>
      <c r="AF68" s="990" t="str">
        <f t="shared" si="21"/>
        <v/>
      </c>
      <c r="AG68" s="990" t="str">
        <f t="shared" si="21"/>
        <v/>
      </c>
      <c r="AH68" s="990" t="str">
        <f t="shared" si="21"/>
        <v/>
      </c>
      <c r="AI68" s="434"/>
      <c r="AJ68" s="434"/>
      <c r="AK68" s="434"/>
      <c r="AL68" s="434"/>
      <c r="AO68" s="1255">
        <f t="shared" si="22"/>
        <v>7</v>
      </c>
    </row>
    <row r="69" spans="2:41" s="520" customFormat="1" ht="12.75">
      <c r="B69" s="301"/>
      <c r="C69" s="1164">
        <f t="shared" si="23"/>
        <v>6</v>
      </c>
      <c r="D69" s="168"/>
      <c r="E69" s="87" t="s">
        <v>2486</v>
      </c>
      <c r="F69" s="316"/>
      <c r="G69" s="866" t="str">
        <f>VLOOKUP(E69,Lists!$B$578:$C$587,2,FALSE)</f>
        <v>#13.09</v>
      </c>
      <c r="H69" s="103">
        <f>VLOOKUP(G69,TOV!$C$520:$F$529,TOV_Rate_Ref,FALSE)</f>
        <v>233.94632622483394</v>
      </c>
      <c r="I69" s="143">
        <f t="shared" si="19"/>
        <v>0</v>
      </c>
      <c r="J69" s="300"/>
      <c r="K69" s="143">
        <f t="shared" si="20"/>
        <v>0</v>
      </c>
      <c r="L69" s="215"/>
      <c r="M69" s="294"/>
      <c r="N69" s="294"/>
      <c r="O69" s="294"/>
      <c r="P69" s="294"/>
      <c r="Q69" s="294"/>
      <c r="R69" s="294"/>
      <c r="S69" s="295"/>
      <c r="Y69" s="990" t="str">
        <f t="shared" si="21"/>
        <v/>
      </c>
      <c r="Z69" s="990" t="str">
        <f t="shared" si="21"/>
        <v/>
      </c>
      <c r="AA69" s="990" t="str">
        <f t="shared" si="21"/>
        <v/>
      </c>
      <c r="AB69" s="990" t="str">
        <f t="shared" si="21"/>
        <v/>
      </c>
      <c r="AC69" s="990" t="str">
        <f t="shared" si="21"/>
        <v/>
      </c>
      <c r="AD69" s="990">
        <f t="shared" si="21"/>
        <v>0</v>
      </c>
      <c r="AE69" s="990" t="str">
        <f t="shared" si="21"/>
        <v/>
      </c>
      <c r="AF69" s="990" t="str">
        <f t="shared" si="21"/>
        <v/>
      </c>
      <c r="AG69" s="990" t="str">
        <f t="shared" si="21"/>
        <v/>
      </c>
      <c r="AH69" s="990" t="str">
        <f t="shared" si="21"/>
        <v/>
      </c>
      <c r="AI69" s="434"/>
      <c r="AJ69" s="434"/>
      <c r="AK69" s="434"/>
      <c r="AL69" s="434"/>
      <c r="AO69" s="1255">
        <f t="shared" si="22"/>
        <v>8</v>
      </c>
    </row>
    <row r="70" spans="2:41" s="520" customFormat="1" ht="12.75">
      <c r="B70" s="301"/>
      <c r="C70" s="1164">
        <f t="shared" si="23"/>
        <v>7</v>
      </c>
      <c r="D70" s="168"/>
      <c r="E70" s="87" t="s">
        <v>23</v>
      </c>
      <c r="F70" s="316"/>
      <c r="G70" s="866" t="str">
        <f>VLOOKUP(E70,Lists!$B$578:$C$587,2,FALSE)</f>
        <v>#13.10</v>
      </c>
      <c r="H70" s="103">
        <f>VLOOKUP(G70,TOV!$C$520:$F$529,TOV_Rate_Ref,FALSE)</f>
        <v>138.94632622483394</v>
      </c>
      <c r="I70" s="143">
        <f t="shared" si="19"/>
        <v>0</v>
      </c>
      <c r="J70" s="300"/>
      <c r="K70" s="143">
        <f t="shared" si="20"/>
        <v>0</v>
      </c>
      <c r="L70" s="215"/>
      <c r="M70" s="294"/>
      <c r="N70" s="294"/>
      <c r="O70" s="294"/>
      <c r="P70" s="294"/>
      <c r="Q70" s="294"/>
      <c r="R70" s="294"/>
      <c r="S70" s="295"/>
      <c r="Y70" s="990" t="str">
        <f t="shared" si="21"/>
        <v/>
      </c>
      <c r="Z70" s="990" t="str">
        <f t="shared" si="21"/>
        <v/>
      </c>
      <c r="AA70" s="990" t="str">
        <f t="shared" si="21"/>
        <v/>
      </c>
      <c r="AB70" s="990" t="str">
        <f t="shared" si="21"/>
        <v/>
      </c>
      <c r="AC70" s="990" t="str">
        <f t="shared" si="21"/>
        <v/>
      </c>
      <c r="AD70" s="990" t="str">
        <f t="shared" si="21"/>
        <v/>
      </c>
      <c r="AE70" s="990">
        <f t="shared" si="21"/>
        <v>0</v>
      </c>
      <c r="AF70" s="990" t="str">
        <f t="shared" si="21"/>
        <v/>
      </c>
      <c r="AG70" s="990" t="str">
        <f t="shared" si="21"/>
        <v/>
      </c>
      <c r="AH70" s="990" t="str">
        <f t="shared" si="21"/>
        <v/>
      </c>
      <c r="AI70" s="434"/>
      <c r="AJ70" s="434"/>
      <c r="AK70" s="434"/>
      <c r="AL70" s="434"/>
      <c r="AO70" s="1255">
        <f t="shared" si="22"/>
        <v>9</v>
      </c>
    </row>
    <row r="71" spans="2:41" s="520" customFormat="1" ht="12.75">
      <c r="B71" s="301"/>
      <c r="C71" s="1164">
        <f t="shared" si="23"/>
        <v>8</v>
      </c>
      <c r="D71" s="168"/>
      <c r="E71" s="87" t="s">
        <v>2487</v>
      </c>
      <c r="F71" s="316"/>
      <c r="G71" s="866" t="str">
        <f>VLOOKUP(E71,Lists!$B$578:$C$587,2,FALSE)</f>
        <v>#13.11</v>
      </c>
      <c r="H71" s="103">
        <f>VLOOKUP(G71,TOV!$C$520:$F$529,TOV_Rate_Ref,FALSE)</f>
        <v>118.94632622483394</v>
      </c>
      <c r="I71" s="143">
        <f t="shared" si="19"/>
        <v>0</v>
      </c>
      <c r="J71" s="300"/>
      <c r="K71" s="143">
        <f t="shared" si="20"/>
        <v>0</v>
      </c>
      <c r="L71" s="215"/>
      <c r="M71" s="294"/>
      <c r="N71" s="294"/>
      <c r="O71" s="294"/>
      <c r="P71" s="294"/>
      <c r="Q71" s="294"/>
      <c r="R71" s="294"/>
      <c r="S71" s="295"/>
      <c r="Y71" s="990" t="str">
        <f t="shared" si="21"/>
        <v/>
      </c>
      <c r="Z71" s="990" t="str">
        <f t="shared" si="21"/>
        <v/>
      </c>
      <c r="AA71" s="990" t="str">
        <f t="shared" si="21"/>
        <v/>
      </c>
      <c r="AB71" s="990" t="str">
        <f t="shared" si="21"/>
        <v/>
      </c>
      <c r="AC71" s="990" t="str">
        <f t="shared" si="21"/>
        <v/>
      </c>
      <c r="AD71" s="990" t="str">
        <f t="shared" si="21"/>
        <v/>
      </c>
      <c r="AE71" s="990" t="str">
        <f t="shared" si="21"/>
        <v/>
      </c>
      <c r="AF71" s="990">
        <f t="shared" si="21"/>
        <v>0</v>
      </c>
      <c r="AG71" s="990" t="str">
        <f t="shared" si="21"/>
        <v/>
      </c>
      <c r="AH71" s="990" t="str">
        <f t="shared" si="21"/>
        <v/>
      </c>
      <c r="AI71" s="434"/>
      <c r="AJ71" s="434"/>
      <c r="AK71" s="434"/>
      <c r="AL71" s="434"/>
      <c r="AO71" s="1255">
        <f t="shared" si="22"/>
        <v>10</v>
      </c>
    </row>
    <row r="72" spans="2:41" s="520" customFormat="1" ht="12.75">
      <c r="B72" s="301"/>
      <c r="C72" s="1164">
        <f t="shared" si="23"/>
        <v>9</v>
      </c>
      <c r="D72" s="168"/>
      <c r="E72" s="87" t="s">
        <v>2488</v>
      </c>
      <c r="F72" s="316"/>
      <c r="G72" s="866" t="str">
        <f>VLOOKUP(E72,Lists!$B$578:$C$587,2,FALSE)</f>
        <v>#13.12</v>
      </c>
      <c r="H72" s="103">
        <f>VLOOKUP(G72,TOV!$C$520:$F$529,TOV_Rate_Ref,FALSE)</f>
        <v>118.94632622483394</v>
      </c>
      <c r="I72" s="143">
        <f t="shared" si="19"/>
        <v>0</v>
      </c>
      <c r="J72" s="300"/>
      <c r="K72" s="143">
        <f t="shared" si="20"/>
        <v>0</v>
      </c>
      <c r="L72" s="215"/>
      <c r="M72" s="294"/>
      <c r="N72" s="294"/>
      <c r="O72" s="294"/>
      <c r="P72" s="294"/>
      <c r="Q72" s="294"/>
      <c r="R72" s="294"/>
      <c r="S72" s="295"/>
      <c r="Y72" s="990" t="str">
        <f t="shared" si="21"/>
        <v/>
      </c>
      <c r="Z72" s="990" t="str">
        <f t="shared" si="21"/>
        <v/>
      </c>
      <c r="AA72" s="990" t="str">
        <f t="shared" si="21"/>
        <v/>
      </c>
      <c r="AB72" s="990" t="str">
        <f t="shared" si="21"/>
        <v/>
      </c>
      <c r="AC72" s="990" t="str">
        <f t="shared" si="21"/>
        <v/>
      </c>
      <c r="AD72" s="990" t="str">
        <f t="shared" si="21"/>
        <v/>
      </c>
      <c r="AE72" s="990" t="str">
        <f t="shared" si="21"/>
        <v/>
      </c>
      <c r="AF72" s="990" t="str">
        <f t="shared" si="21"/>
        <v/>
      </c>
      <c r="AG72" s="990">
        <f t="shared" si="21"/>
        <v>0</v>
      </c>
      <c r="AH72" s="990" t="str">
        <f t="shared" si="21"/>
        <v/>
      </c>
      <c r="AI72" s="434"/>
      <c r="AJ72" s="434"/>
      <c r="AK72" s="434"/>
      <c r="AL72" s="434"/>
      <c r="AO72" s="1255">
        <f t="shared" si="22"/>
        <v>11</v>
      </c>
    </row>
    <row r="73" spans="2:41" s="520" customFormat="1" ht="12.75">
      <c r="B73" s="301"/>
      <c r="C73" s="1164">
        <f t="shared" si="23"/>
        <v>10</v>
      </c>
      <c r="D73" s="168"/>
      <c r="E73" s="87" t="s">
        <v>2489</v>
      </c>
      <c r="F73" s="316"/>
      <c r="G73" s="866" t="str">
        <f>VLOOKUP(E73,Lists!$B$578:$C$587,2,FALSE)</f>
        <v>#13.13</v>
      </c>
      <c r="H73" s="103">
        <f>VLOOKUP(G73,TOV!$C$520:$F$529,TOV_Rate_Ref,FALSE)</f>
        <v>233.94632622483394</v>
      </c>
      <c r="I73" s="143">
        <f t="shared" si="19"/>
        <v>0</v>
      </c>
      <c r="J73" s="300"/>
      <c r="K73" s="143">
        <f t="shared" si="20"/>
        <v>0</v>
      </c>
      <c r="L73" s="215"/>
      <c r="M73" s="294"/>
      <c r="N73" s="294"/>
      <c r="O73" s="294"/>
      <c r="P73" s="294"/>
      <c r="Q73" s="294"/>
      <c r="R73" s="294"/>
      <c r="S73" s="295"/>
      <c r="Y73" s="990" t="str">
        <f t="shared" si="21"/>
        <v/>
      </c>
      <c r="Z73" s="990" t="str">
        <f t="shared" si="21"/>
        <v/>
      </c>
      <c r="AA73" s="990" t="str">
        <f t="shared" si="21"/>
        <v/>
      </c>
      <c r="AB73" s="990" t="str">
        <f t="shared" si="21"/>
        <v/>
      </c>
      <c r="AC73" s="990" t="str">
        <f t="shared" si="21"/>
        <v/>
      </c>
      <c r="AD73" s="990" t="str">
        <f t="shared" si="21"/>
        <v/>
      </c>
      <c r="AE73" s="990" t="str">
        <f t="shared" si="21"/>
        <v/>
      </c>
      <c r="AF73" s="990" t="str">
        <f t="shared" si="21"/>
        <v/>
      </c>
      <c r="AG73" s="990" t="str">
        <f t="shared" si="21"/>
        <v/>
      </c>
      <c r="AH73" s="990">
        <f t="shared" si="21"/>
        <v>0</v>
      </c>
      <c r="AI73" s="434"/>
      <c r="AJ73" s="434"/>
      <c r="AK73" s="434"/>
      <c r="AL73" s="434"/>
      <c r="AO73" s="1255">
        <f t="shared" si="22"/>
        <v>12</v>
      </c>
    </row>
    <row r="74" spans="2:41" ht="12.75">
      <c r="F74" s="795"/>
      <c r="H74" s="953"/>
      <c r="I74" s="953"/>
      <c r="J74" s="1105"/>
      <c r="K74" s="1105"/>
      <c r="L74" s="475"/>
      <c r="M74" s="475"/>
      <c r="AI74" s="434"/>
      <c r="AJ74" s="434"/>
      <c r="AK74" s="434"/>
      <c r="AL74" s="434"/>
      <c r="AO74" s="1255">
        <f t="shared" si="22"/>
        <v>13</v>
      </c>
    </row>
    <row r="75" spans="2:41" ht="16.149999999999999" customHeight="1">
      <c r="E75" s="475"/>
      <c r="F75" s="372">
        <f>SUM(F63:F74)</f>
        <v>0</v>
      </c>
      <c r="H75" s="1105"/>
      <c r="I75" s="122">
        <f>SUM(I63:I74)</f>
        <v>0</v>
      </c>
      <c r="J75" s="1252">
        <f>SUM(J63:J74)</f>
        <v>0</v>
      </c>
      <c r="K75" s="122">
        <f>SUM(K64:K73)</f>
        <v>0</v>
      </c>
      <c r="L75" s="882">
        <f>IF(F75=0,0,K75/F75)</f>
        <v>0</v>
      </c>
      <c r="M75" s="434" t="s">
        <v>33</v>
      </c>
      <c r="Y75" s="980">
        <f>SUM(Y63:Y74)</f>
        <v>0</v>
      </c>
      <c r="Z75" s="980">
        <f t="shared" ref="Z75:AB75" si="24">SUM(Z63:Z74)</f>
        <v>0</v>
      </c>
      <c r="AA75" s="980">
        <f t="shared" si="24"/>
        <v>0</v>
      </c>
      <c r="AB75" s="980">
        <f t="shared" si="24"/>
        <v>0</v>
      </c>
      <c r="AC75" s="980">
        <f t="shared" ref="AC75" si="25">SUM(AC63:AC74)</f>
        <v>0</v>
      </c>
      <c r="AD75" s="980">
        <f t="shared" ref="AD75:AE75" si="26">SUM(AD63:AD74)</f>
        <v>0</v>
      </c>
      <c r="AE75" s="980">
        <f t="shared" si="26"/>
        <v>0</v>
      </c>
      <c r="AF75" s="980">
        <f>SUM(AF63:AF74)</f>
        <v>0</v>
      </c>
      <c r="AG75" s="980">
        <f t="shared" ref="AG75" si="27">SUM(AG63:AG74)</f>
        <v>0</v>
      </c>
      <c r="AH75" s="980">
        <f t="shared" ref="AH75" si="28">SUM(AH63:AH74)</f>
        <v>0</v>
      </c>
      <c r="AI75" s="434"/>
      <c r="AJ75" s="434"/>
      <c r="AK75" s="434"/>
      <c r="AL75" s="434"/>
      <c r="AO75" s="1255">
        <f t="shared" si="22"/>
        <v>14</v>
      </c>
    </row>
    <row r="76" spans="2:41" ht="18.600000000000001" customHeight="1">
      <c r="K76" s="882"/>
      <c r="M76" s="475"/>
      <c r="N76" s="434"/>
    </row>
    <row r="77" spans="2:41" ht="18" customHeight="1">
      <c r="B77" s="286" t="s">
        <v>26</v>
      </c>
      <c r="C77" s="1038" t="s">
        <v>2490</v>
      </c>
      <c r="D77" s="1070"/>
      <c r="G77" s="819" t="s">
        <v>2491</v>
      </c>
      <c r="H77" s="1157" t="str">
        <f>IF(Registration!$C$23="","Not selected",Registration!$C$23)</f>
        <v>Not selected</v>
      </c>
      <c r="J77" s="339" t="s">
        <v>2492</v>
      </c>
      <c r="K77" s="434"/>
      <c r="L77" s="434"/>
      <c r="M77" s="434"/>
      <c r="N77" s="434"/>
      <c r="O77" s="434"/>
      <c r="P77" s="434"/>
      <c r="Q77" s="434"/>
      <c r="R77" s="434"/>
      <c r="S77" s="434"/>
      <c r="T77" s="434"/>
      <c r="U77" s="434"/>
      <c r="V77" s="434"/>
      <c r="W77" s="434"/>
      <c r="X77" s="434"/>
      <c r="Y77" s="434"/>
      <c r="Z77" s="434"/>
      <c r="AA77" s="639"/>
      <c r="AB77" s="639"/>
      <c r="AC77" s="434"/>
      <c r="AD77" s="434"/>
      <c r="AE77" s="434"/>
      <c r="AF77" s="434"/>
      <c r="AG77" s="434"/>
      <c r="AH77" s="434"/>
      <c r="AI77" s="434"/>
      <c r="AJ77" s="434"/>
      <c r="AK77" s="434"/>
      <c r="AM77" s="434"/>
      <c r="AN77" s="434"/>
      <c r="AO77" s="434"/>
    </row>
    <row r="78" spans="2:41" ht="135.6" customHeight="1">
      <c r="B78" s="773" t="s">
        <v>1517</v>
      </c>
      <c r="C78" s="773" t="s">
        <v>27</v>
      </c>
      <c r="D78" s="773" t="s">
        <v>2493</v>
      </c>
      <c r="E78" s="812" t="s">
        <v>512</v>
      </c>
      <c r="F78" s="773" t="s">
        <v>2494</v>
      </c>
      <c r="G78" s="773" t="s">
        <v>2495</v>
      </c>
      <c r="H78" s="773" t="s">
        <v>2496</v>
      </c>
      <c r="I78" s="773" t="s">
        <v>2497</v>
      </c>
      <c r="J78" s="775" t="s">
        <v>2466</v>
      </c>
      <c r="K78" s="475"/>
      <c r="L78" s="475"/>
      <c r="M78" s="475"/>
      <c r="O78" s="434"/>
      <c r="P78" s="434"/>
      <c r="Q78" s="434"/>
      <c r="R78" s="434"/>
      <c r="S78" s="434"/>
      <c r="T78" s="434"/>
      <c r="U78" s="434"/>
      <c r="V78" s="434"/>
      <c r="W78" s="434"/>
      <c r="X78" s="434"/>
      <c r="AC78" s="434"/>
      <c r="AD78" s="434"/>
      <c r="AE78" s="434"/>
      <c r="AF78" s="434"/>
      <c r="AG78" s="434"/>
      <c r="AH78" s="434"/>
      <c r="AI78" s="434"/>
      <c r="AJ78" s="434"/>
      <c r="AK78" s="434"/>
      <c r="AM78" s="434"/>
      <c r="AN78" s="434"/>
      <c r="AO78" s="434"/>
    </row>
    <row r="79" spans="2:41" ht="18" customHeight="1">
      <c r="B79" s="768"/>
      <c r="D79" s="1179"/>
      <c r="E79" s="1179"/>
      <c r="F79" s="824" t="s">
        <v>34</v>
      </c>
      <c r="G79" s="824" t="s">
        <v>34</v>
      </c>
      <c r="H79" s="824" t="s">
        <v>34</v>
      </c>
      <c r="I79" s="82" t="s">
        <v>33</v>
      </c>
      <c r="J79" s="824" t="s">
        <v>76</v>
      </c>
      <c r="K79" s="475"/>
      <c r="L79" s="475"/>
      <c r="M79" s="475"/>
      <c r="O79" s="434"/>
      <c r="P79" s="434"/>
      <c r="Q79" s="434"/>
      <c r="R79" s="434"/>
      <c r="S79" s="434"/>
      <c r="T79" s="434"/>
      <c r="U79" s="434"/>
      <c r="V79" s="434"/>
      <c r="W79" s="434"/>
      <c r="X79" s="434"/>
      <c r="AC79" s="434"/>
      <c r="AD79" s="434"/>
      <c r="AE79" s="434"/>
      <c r="AF79" s="434"/>
      <c r="AG79" s="434"/>
      <c r="AH79" s="434"/>
      <c r="AI79" s="434"/>
      <c r="AJ79" s="434"/>
      <c r="AK79" s="434"/>
      <c r="AM79" s="434"/>
      <c r="AN79" s="434"/>
      <c r="AO79" s="434"/>
    </row>
    <row r="80" spans="2:41" s="520" customFormat="1" ht="12.75">
      <c r="B80" s="301"/>
      <c r="C80" s="1164">
        <v>1</v>
      </c>
      <c r="D80" s="168"/>
      <c r="E80" s="1256" t="str">
        <f>Lists!B577</f>
        <v>Concrete</v>
      </c>
      <c r="F80" s="81">
        <f>VLOOKUP($E80,Subrates!$B$186:$E$205,Subrates!$C$5,FALSE)</f>
        <v>105</v>
      </c>
      <c r="G80" s="81">
        <f>VLOOKUP($E80,Subrates!$B$186:$E$205,Subrates!$D$5,FALSE)</f>
        <v>91</v>
      </c>
      <c r="H80" s="81">
        <f>IF(Registration!$C$23=Lists!$B$5,'13. Investigation Contamination'!F80,IF(Registration!$C$23=Lists!$B$6,'13. Investigation Contamination'!G80,0))</f>
        <v>0</v>
      </c>
      <c r="I80" s="1257">
        <f>IF(OR(Registration!$C$23=Lists!$B$5,Registration!$C$23=Lists!$B$6),'Waste Register'!$H$47,0)</f>
        <v>0</v>
      </c>
      <c r="J80" s="144">
        <f>H80*I80</f>
        <v>0</v>
      </c>
      <c r="K80" s="808"/>
      <c r="O80" s="495"/>
      <c r="P80" s="495"/>
      <c r="Q80" s="495"/>
      <c r="R80" s="495"/>
      <c r="S80" s="495"/>
      <c r="T80" s="495"/>
      <c r="U80" s="495"/>
      <c r="V80" s="495"/>
      <c r="W80" s="495"/>
      <c r="X80" s="495"/>
      <c r="AC80" s="495"/>
      <c r="AD80" s="495"/>
      <c r="AE80" s="495"/>
      <c r="AF80" s="495"/>
      <c r="AG80" s="495"/>
      <c r="AH80" s="495"/>
      <c r="AI80" s="495"/>
      <c r="AJ80" s="495"/>
      <c r="AK80" s="495"/>
      <c r="AM80" s="495"/>
      <c r="AN80" s="495"/>
      <c r="AO80" s="495"/>
    </row>
    <row r="81" spans="2:41" s="520" customFormat="1" ht="12.75">
      <c r="B81" s="301"/>
      <c r="C81" s="1164">
        <f>C80+1</f>
        <v>2</v>
      </c>
      <c r="D81" s="168"/>
      <c r="E81" s="1256" t="str">
        <f>Lists!B578</f>
        <v>Asbestos (ACM)</v>
      </c>
      <c r="F81" s="81">
        <f>VLOOKUP($E81,Subrates!$B$186:$E$205,Subrates!$C$5,FALSE)</f>
        <v>135</v>
      </c>
      <c r="G81" s="81">
        <f>VLOOKUP($E81,Subrates!$B$186:$E$205,Subrates!$D$5,FALSE)</f>
        <v>124</v>
      </c>
      <c r="H81" s="81">
        <f>IF(Registration!$C$23=Lists!$B$5,'13. Investigation Contamination'!F81,IF(Registration!$C$23=Lists!$B$6,'13. Investigation Contamination'!G81,0))</f>
        <v>0</v>
      </c>
      <c r="I81" s="1257">
        <f>IF(OR(Registration!$C$23=Lists!$B$5,Registration!$C$23=Lists!$B$6),'Waste Register'!$H51,0)</f>
        <v>0</v>
      </c>
      <c r="J81" s="144">
        <f t="shared" ref="J81:J87" si="29">H81*I81</f>
        <v>0</v>
      </c>
      <c r="K81" s="808"/>
      <c r="O81" s="495"/>
      <c r="P81" s="495"/>
      <c r="Q81" s="495"/>
      <c r="R81" s="495"/>
      <c r="S81" s="495"/>
      <c r="T81" s="495"/>
      <c r="U81" s="495"/>
      <c r="V81" s="495"/>
      <c r="W81" s="495"/>
      <c r="X81" s="495"/>
      <c r="AC81" s="495"/>
      <c r="AD81" s="495"/>
      <c r="AE81" s="495"/>
      <c r="AF81" s="495"/>
      <c r="AG81" s="495"/>
      <c r="AH81" s="495"/>
      <c r="AI81" s="495"/>
      <c r="AJ81" s="495"/>
      <c r="AK81" s="495"/>
      <c r="AM81" s="495"/>
      <c r="AN81" s="495"/>
      <c r="AO81" s="495"/>
    </row>
    <row r="82" spans="2:41" s="520" customFormat="1" ht="12.75">
      <c r="B82" s="301"/>
      <c r="C82" s="1164">
        <f>C81+1</f>
        <v>3</v>
      </c>
      <c r="D82" s="168"/>
      <c r="E82" s="1256" t="str">
        <f>Lists!B579</f>
        <v>Asbestos in soil</v>
      </c>
      <c r="F82" s="81">
        <f>VLOOKUP($E82,Subrates!$B$186:$E$205,Subrates!$C$5,FALSE)</f>
        <v>135</v>
      </c>
      <c r="G82" s="81">
        <f>VLOOKUP($E82,Subrates!$B$186:$E$205,Subrates!$D$5,FALSE)</f>
        <v>124</v>
      </c>
      <c r="H82" s="81">
        <f>IF(Registration!$C$23=Lists!$B$5,'13. Investigation Contamination'!F82,IF(Registration!$C$23=Lists!$B$6,'13. Investigation Contamination'!G82,0))</f>
        <v>0</v>
      </c>
      <c r="I82" s="1257">
        <f>IF(OR(Registration!$C$23=Lists!$B$5,Registration!$C$23=Lists!$B$6),'Waste Register'!$H52,0)</f>
        <v>0</v>
      </c>
      <c r="J82" s="144">
        <f t="shared" si="29"/>
        <v>0</v>
      </c>
      <c r="K82" s="808"/>
      <c r="O82" s="495"/>
      <c r="P82" s="495"/>
      <c r="Q82" s="495"/>
      <c r="R82" s="495"/>
      <c r="S82" s="495"/>
      <c r="T82" s="495"/>
      <c r="U82" s="495"/>
      <c r="V82" s="495"/>
      <c r="W82" s="495"/>
      <c r="X82" s="495"/>
      <c r="AC82" s="495"/>
      <c r="AD82" s="495"/>
      <c r="AE82" s="495"/>
      <c r="AF82" s="495"/>
    </row>
    <row r="83" spans="2:41" s="520" customFormat="1" ht="12.75">
      <c r="B83" s="301"/>
      <c r="C83" s="1164">
        <f>C82+1</f>
        <v>4</v>
      </c>
      <c r="D83" s="168"/>
      <c r="E83" s="1256" t="str">
        <f>Lists!B581</f>
        <v>High Level Petroleum Hydrocarbons in soil</v>
      </c>
      <c r="F83" s="81">
        <f>VLOOKUP($E83,Subrates!$B$186:$E$205,Subrates!$C$5,FALSE)</f>
        <v>185</v>
      </c>
      <c r="G83" s="81">
        <f>VLOOKUP($E83,Subrates!$B$186:$E$205,Subrates!$D$5,FALSE)</f>
        <v>179</v>
      </c>
      <c r="H83" s="81">
        <f>IF(Registration!$C$23=Lists!$B$5,'13. Investigation Contamination'!F83,IF(Registration!$C$23=Lists!$B$6,'13. Investigation Contamination'!G83,0))</f>
        <v>0</v>
      </c>
      <c r="I83" s="1257">
        <f>IF(OR(Registration!$C$23=Lists!$B$5,Registration!$C$23=Lists!$B$6),'Waste Register'!$H53,0)</f>
        <v>0</v>
      </c>
      <c r="J83" s="144">
        <f t="shared" si="29"/>
        <v>0</v>
      </c>
      <c r="K83" s="808"/>
      <c r="O83" s="495"/>
      <c r="P83" s="495"/>
      <c r="Q83" s="495"/>
      <c r="R83" s="495"/>
      <c r="S83" s="495"/>
      <c r="T83" s="495"/>
      <c r="U83" s="495"/>
      <c r="V83" s="495"/>
      <c r="W83" s="495"/>
      <c r="X83" s="495"/>
      <c r="AC83" s="495"/>
      <c r="AD83" s="495"/>
      <c r="AE83" s="495"/>
      <c r="AF83" s="495"/>
    </row>
    <row r="84" spans="2:41" s="520" customFormat="1" ht="12.75">
      <c r="B84" s="301"/>
      <c r="C84" s="1164">
        <f t="shared" ref="C84:C87" si="30">C83+1</f>
        <v>5</v>
      </c>
      <c r="D84" s="168"/>
      <c r="E84" s="1256" t="str">
        <f>Lists!B583</f>
        <v>High Level Inorganics in soil</v>
      </c>
      <c r="F84" s="81">
        <f>VLOOKUP($E84,Subrates!$B$186:$E$205,Subrates!$C$5,FALSE)</f>
        <v>135</v>
      </c>
      <c r="G84" s="81">
        <f>VLOOKUP($E84,Subrates!$B$186:$E$205,Subrates!$D$5,FALSE)</f>
        <v>124</v>
      </c>
      <c r="H84" s="81">
        <f>IF(Registration!$C$23=Lists!$B$5,'13. Investigation Contamination'!F84,IF(Registration!$C$23=Lists!$B$6,'13. Investigation Contamination'!G84,0))</f>
        <v>0</v>
      </c>
      <c r="I84" s="1257">
        <f>IF(OR(Registration!$C$23=Lists!$B$5,Registration!$C$23=Lists!$B$6),'Waste Register'!$H54,0)</f>
        <v>0</v>
      </c>
      <c r="J84" s="144">
        <f t="shared" si="29"/>
        <v>0</v>
      </c>
      <c r="K84" s="808"/>
      <c r="O84" s="495"/>
      <c r="P84" s="495"/>
      <c r="Q84" s="495"/>
      <c r="R84" s="495"/>
      <c r="S84" s="495"/>
      <c r="T84" s="495"/>
      <c r="U84" s="495"/>
      <c r="V84" s="495"/>
      <c r="W84" s="495"/>
      <c r="X84" s="495"/>
      <c r="AC84" s="495"/>
      <c r="AD84" s="495"/>
      <c r="AE84" s="495"/>
      <c r="AF84" s="495"/>
    </row>
    <row r="85" spans="2:41" s="520" customFormat="1" ht="12.75">
      <c r="B85" s="301"/>
      <c r="C85" s="1164">
        <f t="shared" si="30"/>
        <v>6</v>
      </c>
      <c r="D85" s="168"/>
      <c r="E85" s="1256" t="str">
        <f>Lists!B585</f>
        <v>General Waste</v>
      </c>
      <c r="F85" s="81">
        <f>VLOOKUP($E85,Subrates!$B$186:$E$205,Subrates!$C$5,FALSE)</f>
        <v>105</v>
      </c>
      <c r="G85" s="81">
        <f>VLOOKUP($E85,Subrates!$B$186:$E$205,Subrates!$D$5,FALSE)</f>
        <v>91</v>
      </c>
      <c r="H85" s="81">
        <f>IF(Registration!$C$23=Lists!$B$5,'13. Investigation Contamination'!F85,IF(Registration!$C$23=Lists!$B$6,'13. Investigation Contamination'!G85,0))</f>
        <v>0</v>
      </c>
      <c r="I85" s="1257">
        <f>IF(OR(Registration!$C$23=Lists!$B$5,Registration!$C$23=Lists!$B$6),'Waste Register'!$H59,0)</f>
        <v>0</v>
      </c>
      <c r="J85" s="144">
        <f t="shared" si="29"/>
        <v>0</v>
      </c>
      <c r="K85" s="808"/>
      <c r="O85" s="495"/>
      <c r="P85" s="495"/>
      <c r="Q85" s="495"/>
      <c r="R85" s="495"/>
      <c r="S85" s="495"/>
      <c r="T85" s="495"/>
      <c r="U85" s="495"/>
      <c r="V85" s="495"/>
      <c r="W85" s="495"/>
      <c r="X85" s="495"/>
      <c r="AC85" s="495"/>
      <c r="AD85" s="495"/>
      <c r="AE85" s="495"/>
      <c r="AF85" s="495"/>
    </row>
    <row r="86" spans="2:41" s="520" customFormat="1" ht="12.75">
      <c r="B86" s="301"/>
      <c r="C86" s="1164">
        <f t="shared" si="30"/>
        <v>7</v>
      </c>
      <c r="D86" s="168"/>
      <c r="E86" s="1256" t="str">
        <f>Lists!B586</f>
        <v>Construction / building waste</v>
      </c>
      <c r="F86" s="81">
        <f>VLOOKUP($E86,Subrates!$B$186:$E$205,Subrates!$C$5,FALSE)</f>
        <v>105</v>
      </c>
      <c r="G86" s="81">
        <f>VLOOKUP($E86,Subrates!$B$186:$E$205,Subrates!$D$5,FALSE)</f>
        <v>91</v>
      </c>
      <c r="H86" s="81">
        <f>IF(Registration!$C$23=Lists!$B$5,'13. Investigation Contamination'!F86,IF(Registration!$C$23=Lists!$B$6,'13. Investigation Contamination'!G86,0))</f>
        <v>0</v>
      </c>
      <c r="I86" s="1257">
        <f>IF(OR(Registration!$C$23=Lists!$B$5,Registration!$C$23=Lists!$B$6),'Waste Register'!$H60,0)</f>
        <v>0</v>
      </c>
      <c r="J86" s="144">
        <f t="shared" si="29"/>
        <v>0</v>
      </c>
      <c r="K86" s="808"/>
      <c r="O86" s="495"/>
      <c r="P86" s="495"/>
      <c r="Q86" s="495"/>
      <c r="R86" s="495"/>
      <c r="S86" s="495"/>
      <c r="T86" s="495"/>
      <c r="U86" s="495"/>
      <c r="V86" s="495"/>
      <c r="W86" s="495"/>
      <c r="X86" s="495"/>
      <c r="AC86" s="495"/>
      <c r="AD86" s="495"/>
      <c r="AE86" s="495"/>
      <c r="AF86" s="495"/>
    </row>
    <row r="87" spans="2:41" s="520" customFormat="1" ht="12.75">
      <c r="B87" s="301"/>
      <c r="C87" s="1164">
        <f t="shared" si="30"/>
        <v>8</v>
      </c>
      <c r="D87" s="168"/>
      <c r="E87" s="1256" t="str">
        <f>Lists!B587</f>
        <v>Regulated waste (e.g. tires and belts)</v>
      </c>
      <c r="F87" s="81">
        <f>VLOOKUP($E87,Subrates!$B$186:$E$205,Subrates!$C$5,FALSE)</f>
        <v>135</v>
      </c>
      <c r="G87" s="81">
        <f>VLOOKUP($E87,Subrates!$B$186:$E$205,Subrates!$D$5,FALSE)</f>
        <v>124</v>
      </c>
      <c r="H87" s="81">
        <f>IF(Registration!$C$23=Lists!$B$5,'13. Investigation Contamination'!F87,IF(Registration!$C$23=Lists!$B$6,'13. Investigation Contamination'!G87,0))</f>
        <v>0</v>
      </c>
      <c r="I87" s="1257">
        <f>IF(OR(Registration!$C$23=Lists!$B$5,Registration!$C$23=Lists!$B$6),'Waste Register'!$H61,0)</f>
        <v>0</v>
      </c>
      <c r="J87" s="144">
        <f t="shared" si="29"/>
        <v>0</v>
      </c>
      <c r="K87" s="808"/>
      <c r="O87" s="495"/>
      <c r="P87" s="495"/>
      <c r="Q87" s="495"/>
      <c r="R87" s="495"/>
      <c r="S87" s="495"/>
      <c r="T87" s="495"/>
      <c r="U87" s="495"/>
      <c r="V87" s="495"/>
      <c r="W87" s="495"/>
      <c r="X87" s="495"/>
      <c r="AC87" s="495"/>
      <c r="AD87" s="495"/>
      <c r="AE87" s="495"/>
      <c r="AF87" s="495"/>
    </row>
    <row r="88" spans="2:41" ht="12.75">
      <c r="F88" s="1258"/>
      <c r="G88" s="1258"/>
      <c r="H88" s="1258"/>
      <c r="J88" s="1245"/>
      <c r="K88" s="434"/>
      <c r="L88" s="475"/>
      <c r="M88" s="475"/>
    </row>
    <row r="89" spans="2:41" ht="16.149999999999999" customHeight="1">
      <c r="F89" s="1258"/>
      <c r="G89" s="1258"/>
      <c r="H89" s="1258"/>
      <c r="I89" s="373">
        <f>SUM(I79:I88)</f>
        <v>0</v>
      </c>
      <c r="J89" s="1259">
        <f>SUM(J79:J88)</f>
        <v>0</v>
      </c>
      <c r="K89" s="882">
        <f>IF(I89=0,0,J89/I89)</f>
        <v>0</v>
      </c>
      <c r="L89" s="520" t="s">
        <v>33</v>
      </c>
      <c r="M89" s="475"/>
    </row>
    <row r="90" spans="2:41" ht="16.899999999999999" customHeight="1">
      <c r="I90" s="475"/>
      <c r="J90" s="475"/>
      <c r="L90" s="475"/>
      <c r="M90" s="475"/>
    </row>
    <row r="91" spans="2:41" ht="12.75">
      <c r="J91" s="434"/>
      <c r="K91" s="434"/>
      <c r="L91" s="475"/>
      <c r="M91" s="475"/>
    </row>
    <row r="92" spans="2:41" ht="18.600000000000001" customHeight="1">
      <c r="E92" s="475"/>
      <c r="F92" s="475"/>
      <c r="J92" s="882"/>
      <c r="K92" s="475"/>
      <c r="M92" s="434"/>
      <c r="N92" s="434"/>
      <c r="O92" s="434"/>
    </row>
    <row r="93" spans="2:41" ht="18" customHeight="1">
      <c r="B93" s="286" t="s">
        <v>26</v>
      </c>
      <c r="C93" s="1038" t="s">
        <v>2498</v>
      </c>
      <c r="D93" s="1070"/>
      <c r="H93" s="475"/>
      <c r="I93" s="434"/>
      <c r="J93" s="434"/>
      <c r="K93" s="434"/>
      <c r="L93" s="434"/>
      <c r="M93" s="434"/>
      <c r="N93" s="434"/>
      <c r="O93" s="434"/>
      <c r="P93" s="434"/>
      <c r="Q93" s="434"/>
      <c r="R93" s="434"/>
      <c r="S93" s="434"/>
      <c r="T93" s="434"/>
      <c r="U93" s="434"/>
      <c r="V93" s="434"/>
      <c r="W93" s="434"/>
      <c r="X93" s="434"/>
      <c r="Y93" s="639"/>
      <c r="Z93" s="639"/>
      <c r="AA93" s="434"/>
      <c r="AB93" s="434"/>
      <c r="AC93" s="434"/>
      <c r="AD93" s="434"/>
      <c r="AE93" s="434"/>
      <c r="AF93" s="434"/>
      <c r="AG93" s="434"/>
      <c r="AH93" s="434"/>
      <c r="AI93" s="434"/>
      <c r="AK93" s="434"/>
      <c r="AL93" s="434"/>
      <c r="AM93" s="434"/>
    </row>
    <row r="94" spans="2:41" ht="135.6" customHeight="1">
      <c r="B94" s="773" t="s">
        <v>1517</v>
      </c>
      <c r="C94" s="773" t="s">
        <v>27</v>
      </c>
      <c r="D94" s="773" t="s">
        <v>2456</v>
      </c>
      <c r="E94" s="812" t="s">
        <v>178</v>
      </c>
      <c r="F94" s="773" t="s">
        <v>2499</v>
      </c>
      <c r="G94" s="773" t="s">
        <v>1521</v>
      </c>
      <c r="H94" s="773" t="s">
        <v>35</v>
      </c>
      <c r="I94" s="775" t="s">
        <v>83</v>
      </c>
      <c r="J94" s="773" t="s">
        <v>2500</v>
      </c>
      <c r="K94" s="775" t="s">
        <v>2466</v>
      </c>
      <c r="L94" s="776" t="s">
        <v>1526</v>
      </c>
      <c r="M94" s="777"/>
      <c r="N94" s="777"/>
      <c r="O94" s="777"/>
      <c r="P94" s="777"/>
      <c r="Q94" s="777"/>
      <c r="R94" s="777"/>
      <c r="S94" s="778"/>
      <c r="T94" s="434"/>
      <c r="U94" s="434"/>
      <c r="V94" s="434"/>
      <c r="W94" s="434"/>
      <c r="X94" s="434"/>
      <c r="Y94" s="639"/>
      <c r="Z94" s="639"/>
      <c r="AA94" s="434"/>
      <c r="AD94" s="434"/>
      <c r="AE94" s="434"/>
      <c r="AF94" s="434"/>
      <c r="AG94" s="434"/>
      <c r="AH94" s="434"/>
      <c r="AI94" s="434"/>
      <c r="AK94" s="434"/>
      <c r="AL94" s="434"/>
      <c r="AM94" s="434"/>
    </row>
    <row r="95" spans="2:41" ht="18" customHeight="1">
      <c r="B95" s="768"/>
      <c r="D95" s="1179" t="s">
        <v>1846</v>
      </c>
      <c r="E95" s="768"/>
      <c r="F95" s="82" t="s">
        <v>15</v>
      </c>
      <c r="G95" s="824"/>
      <c r="H95" s="824" t="s">
        <v>29</v>
      </c>
      <c r="I95" s="824" t="s">
        <v>76</v>
      </c>
      <c r="J95" s="824" t="s">
        <v>76</v>
      </c>
      <c r="K95" s="824" t="s">
        <v>76</v>
      </c>
      <c r="N95" s="474"/>
      <c r="O95" s="474"/>
      <c r="P95" s="474"/>
      <c r="Q95" s="474"/>
      <c r="R95" s="474"/>
      <c r="S95" s="474"/>
      <c r="T95" s="434"/>
      <c r="U95" s="434"/>
      <c r="V95" s="434"/>
      <c r="W95" s="434"/>
      <c r="X95" s="434"/>
      <c r="Y95" s="639"/>
      <c r="Z95" s="639"/>
      <c r="AA95" s="434"/>
      <c r="AD95" s="434"/>
      <c r="AE95" s="434"/>
      <c r="AF95" s="434"/>
      <c r="AG95" s="434"/>
      <c r="AH95" s="434"/>
      <c r="AI95" s="434"/>
      <c r="AK95" s="434"/>
      <c r="AL95" s="434"/>
      <c r="AM95" s="434"/>
    </row>
    <row r="96" spans="2:41" s="520" customFormat="1" ht="12.75">
      <c r="B96" s="301"/>
      <c r="C96" s="1164">
        <v>1</v>
      </c>
      <c r="D96" s="168"/>
      <c r="E96" s="1260" t="str">
        <f>VLOOKUP(G96,TOV!$C$530:$F$532,TOV!$E$1,FALSE)</f>
        <v>On-site remediation of hydrocarbon contaminated soils (&lt;=100m3 soil) -  landfarming / bioremediation.</v>
      </c>
      <c r="F96" s="316"/>
      <c r="G96" s="1093" t="str">
        <f>TOV!$C$530</f>
        <v>#13.14</v>
      </c>
      <c r="H96" s="103">
        <f>VLOOKUP(G96,TOV!$C$530:$F$532,TOV_Rate_Ref,FALSE)</f>
        <v>117.36225495323527</v>
      </c>
      <c r="I96" s="143">
        <f t="shared" ref="I96:I110" si="31">F96*H96</f>
        <v>0</v>
      </c>
      <c r="J96" s="300"/>
      <c r="K96" s="143">
        <f>IF(J96="",I96,J96)</f>
        <v>0</v>
      </c>
      <c r="L96" s="215"/>
      <c r="M96" s="294"/>
      <c r="N96" s="294"/>
      <c r="O96" s="294"/>
      <c r="P96" s="294"/>
      <c r="Q96" s="294"/>
      <c r="R96" s="294"/>
      <c r="S96" s="295"/>
      <c r="T96" s="434"/>
      <c r="U96" s="434"/>
      <c r="V96" s="434"/>
      <c r="W96" s="434"/>
      <c r="X96" s="434"/>
      <c r="Y96" s="639"/>
      <c r="Z96" s="639"/>
      <c r="AA96" s="434"/>
      <c r="AD96" s="495"/>
      <c r="AE96" s="495"/>
      <c r="AF96" s="495"/>
      <c r="AG96" s="495"/>
      <c r="AH96" s="495"/>
      <c r="AI96" s="495"/>
      <c r="AK96" s="495"/>
      <c r="AL96" s="495"/>
      <c r="AM96" s="495"/>
    </row>
    <row r="97" spans="2:39" s="520" customFormat="1" ht="12.75">
      <c r="B97" s="301"/>
      <c r="C97" s="1164">
        <f t="shared" ref="C97:C113" si="32">C96+1</f>
        <v>2</v>
      </c>
      <c r="D97" s="168"/>
      <c r="E97" s="1260" t="str">
        <f>VLOOKUP(G97,TOV!$C$530:$F$532,TOV!$E$1,FALSE)</f>
        <v>On-site remediation of hydrocarbon contaminated soils (&lt;=100m3 soil) -  landfarming / bioremediation.</v>
      </c>
      <c r="F97" s="316"/>
      <c r="G97" s="1093" t="str">
        <f>TOV!$C$530</f>
        <v>#13.14</v>
      </c>
      <c r="H97" s="103">
        <f>VLOOKUP(G97,TOV!$C$530:$F$532,TOV_Rate_Ref,FALSE)</f>
        <v>117.36225495323527</v>
      </c>
      <c r="I97" s="143">
        <f t="shared" si="31"/>
        <v>0</v>
      </c>
      <c r="J97" s="300"/>
      <c r="K97" s="143">
        <f t="shared" ref="K97:K110" si="33">IF(J97="",I97,J97)</f>
        <v>0</v>
      </c>
      <c r="L97" s="215"/>
      <c r="M97" s="294"/>
      <c r="N97" s="294"/>
      <c r="O97" s="294"/>
      <c r="P97" s="294"/>
      <c r="Q97" s="294"/>
      <c r="R97" s="294"/>
      <c r="S97" s="295"/>
      <c r="T97" s="434"/>
      <c r="U97" s="434"/>
      <c r="V97" s="434"/>
      <c r="W97" s="434"/>
      <c r="X97" s="434"/>
      <c r="Y97" s="639"/>
      <c r="Z97" s="639"/>
      <c r="AA97" s="434"/>
      <c r="AD97" s="495"/>
      <c r="AE97" s="495"/>
      <c r="AF97" s="495"/>
      <c r="AG97" s="495"/>
      <c r="AH97" s="495"/>
      <c r="AI97" s="495"/>
      <c r="AK97" s="495"/>
      <c r="AL97" s="495"/>
      <c r="AM97" s="495"/>
    </row>
    <row r="98" spans="2:39" s="520" customFormat="1" ht="12.75">
      <c r="B98" s="301"/>
      <c r="C98" s="1164">
        <f t="shared" si="32"/>
        <v>3</v>
      </c>
      <c r="D98" s="168"/>
      <c r="E98" s="1260" t="str">
        <f>VLOOKUP(G98,TOV!$C$530:$F$532,TOV!$E$1,FALSE)</f>
        <v>On-site remediation of hydrocarbon contaminated soils (&lt;=100m3 soil) -  landfarming / bioremediation.</v>
      </c>
      <c r="F98" s="316"/>
      <c r="G98" s="1093" t="str">
        <f>TOV!$C$530</f>
        <v>#13.14</v>
      </c>
      <c r="H98" s="103">
        <f>VLOOKUP(G98,TOV!$C$530:$F$532,TOV_Rate_Ref,FALSE)</f>
        <v>117.36225495323527</v>
      </c>
      <c r="I98" s="143">
        <f t="shared" si="31"/>
        <v>0</v>
      </c>
      <c r="J98" s="300"/>
      <c r="K98" s="143">
        <f t="shared" si="33"/>
        <v>0</v>
      </c>
      <c r="L98" s="215"/>
      <c r="M98" s="294"/>
      <c r="N98" s="294"/>
      <c r="O98" s="294"/>
      <c r="P98" s="294"/>
      <c r="Q98" s="294"/>
      <c r="R98" s="294"/>
      <c r="S98" s="295"/>
      <c r="T98" s="434"/>
      <c r="U98" s="434"/>
      <c r="V98" s="434"/>
      <c r="W98" s="434"/>
      <c r="X98" s="434"/>
      <c r="Y98" s="639"/>
      <c r="Z98" s="639"/>
      <c r="AA98" s="434"/>
      <c r="AD98" s="495"/>
      <c r="AE98" s="495"/>
      <c r="AF98" s="495"/>
      <c r="AG98" s="495"/>
      <c r="AH98" s="495"/>
      <c r="AI98" s="495"/>
      <c r="AK98" s="495"/>
      <c r="AL98" s="495"/>
      <c r="AM98" s="495"/>
    </row>
    <row r="99" spans="2:39" s="520" customFormat="1" ht="12.75">
      <c r="B99" s="301"/>
      <c r="C99" s="1164">
        <f t="shared" si="32"/>
        <v>4</v>
      </c>
      <c r="D99" s="168"/>
      <c r="E99" s="1260" t="str">
        <f>VLOOKUP(G99,TOV!$C$530:$F$532,TOV!$E$1,FALSE)</f>
        <v>On-site remediation of hydrocarbon contaminated soils (&lt;=100m3 soil) -  landfarming / bioremediation.</v>
      </c>
      <c r="F99" s="316"/>
      <c r="G99" s="1093" t="str">
        <f>TOV!$C$530</f>
        <v>#13.14</v>
      </c>
      <c r="H99" s="103">
        <f>VLOOKUP(G99,TOV!$C$530:$F$532,TOV_Rate_Ref,FALSE)</f>
        <v>117.36225495323527</v>
      </c>
      <c r="I99" s="143">
        <f t="shared" si="31"/>
        <v>0</v>
      </c>
      <c r="J99" s="300"/>
      <c r="K99" s="143">
        <f t="shared" si="33"/>
        <v>0</v>
      </c>
      <c r="L99" s="215"/>
      <c r="M99" s="294"/>
      <c r="N99" s="294"/>
      <c r="O99" s="294"/>
      <c r="P99" s="294"/>
      <c r="Q99" s="294"/>
      <c r="R99" s="294"/>
      <c r="S99" s="295"/>
      <c r="T99" s="434"/>
      <c r="U99" s="434"/>
      <c r="V99" s="434"/>
      <c r="W99" s="434"/>
      <c r="X99" s="434"/>
      <c r="Y99" s="639"/>
      <c r="Z99" s="639"/>
      <c r="AA99" s="434"/>
      <c r="AD99" s="495"/>
      <c r="AE99" s="495"/>
      <c r="AF99" s="495"/>
      <c r="AG99" s="495"/>
      <c r="AH99" s="495"/>
      <c r="AI99" s="495"/>
      <c r="AK99" s="495"/>
      <c r="AL99" s="495"/>
      <c r="AM99" s="495"/>
    </row>
    <row r="100" spans="2:39" s="520" customFormat="1" ht="12.75">
      <c r="B100" s="301"/>
      <c r="C100" s="1164">
        <f t="shared" si="32"/>
        <v>5</v>
      </c>
      <c r="D100" s="168"/>
      <c r="E100" s="1260" t="str">
        <f>VLOOKUP(G100,TOV!$C$530:$F$532,TOV!$E$1,FALSE)</f>
        <v>On-site remediation of hydrocarbon contaminated soils (&lt;=100m3 soil) -  landfarming / bioremediation.</v>
      </c>
      <c r="F100" s="316"/>
      <c r="G100" s="1093" t="str">
        <f>TOV!$C$530</f>
        <v>#13.14</v>
      </c>
      <c r="H100" s="103">
        <f>VLOOKUP(G100,TOV!$C$530:$F$532,TOV_Rate_Ref,FALSE)</f>
        <v>117.36225495323527</v>
      </c>
      <c r="I100" s="143">
        <f t="shared" si="31"/>
        <v>0</v>
      </c>
      <c r="J100" s="300"/>
      <c r="K100" s="143">
        <f t="shared" si="33"/>
        <v>0</v>
      </c>
      <c r="L100" s="215"/>
      <c r="M100" s="294"/>
      <c r="N100" s="294"/>
      <c r="O100" s="294"/>
      <c r="P100" s="294"/>
      <c r="Q100" s="294"/>
      <c r="R100" s="294"/>
      <c r="S100" s="295"/>
      <c r="T100" s="434"/>
      <c r="U100" s="434"/>
      <c r="V100" s="434"/>
      <c r="W100" s="434"/>
      <c r="X100" s="434"/>
      <c r="Y100" s="639"/>
      <c r="Z100" s="639"/>
      <c r="AA100" s="434"/>
      <c r="AD100" s="495"/>
      <c r="AE100" s="495"/>
      <c r="AF100" s="495"/>
      <c r="AG100" s="495"/>
      <c r="AH100" s="495"/>
      <c r="AI100" s="495"/>
      <c r="AK100" s="495"/>
      <c r="AL100" s="495"/>
      <c r="AM100" s="495"/>
    </row>
    <row r="101" spans="2:39" s="520" customFormat="1" ht="12.75">
      <c r="B101" s="301"/>
      <c r="C101" s="1164">
        <f t="shared" si="32"/>
        <v>6</v>
      </c>
      <c r="D101" s="168"/>
      <c r="E101" s="1260" t="str">
        <f>VLOOKUP(G101,TOV!$C$530:$F$532,TOV!$E$1,FALSE)</f>
        <v>On-site remediation of hydrocarbon contaminated soils (&gt;100m3 to &lt;=500m3 soil) -  landfarming / bioremediation.</v>
      </c>
      <c r="F101" s="316"/>
      <c r="G101" s="1093" t="str">
        <f>TOV!$C$531</f>
        <v>#13.15</v>
      </c>
      <c r="H101" s="103">
        <f>VLOOKUP(G101,TOV!$C$530:$F$532,TOV_Rate_Ref,FALSE)</f>
        <v>80.275301369240935</v>
      </c>
      <c r="I101" s="143">
        <f t="shared" si="31"/>
        <v>0</v>
      </c>
      <c r="J101" s="300"/>
      <c r="K101" s="143">
        <f t="shared" si="33"/>
        <v>0</v>
      </c>
      <c r="L101" s="215"/>
      <c r="M101" s="294"/>
      <c r="N101" s="294"/>
      <c r="O101" s="294"/>
      <c r="P101" s="294"/>
      <c r="Q101" s="294"/>
      <c r="R101" s="294"/>
      <c r="S101" s="295"/>
      <c r="T101" s="434"/>
      <c r="U101" s="434"/>
      <c r="V101" s="434"/>
      <c r="W101" s="434"/>
      <c r="X101" s="434"/>
      <c r="Y101" s="639"/>
      <c r="Z101" s="639"/>
      <c r="AA101" s="434"/>
      <c r="AD101" s="495"/>
      <c r="AE101" s="495"/>
      <c r="AF101" s="495"/>
      <c r="AG101" s="495"/>
      <c r="AH101" s="495"/>
      <c r="AI101" s="495"/>
      <c r="AK101" s="495"/>
      <c r="AL101" s="495"/>
      <c r="AM101" s="495"/>
    </row>
    <row r="102" spans="2:39" s="520" customFormat="1" ht="12.75">
      <c r="B102" s="301"/>
      <c r="C102" s="1164">
        <f t="shared" si="32"/>
        <v>7</v>
      </c>
      <c r="D102" s="168"/>
      <c r="E102" s="1260" t="str">
        <f>VLOOKUP(G102,TOV!$C$530:$F$532,TOV!$E$1,FALSE)</f>
        <v>On-site remediation of hydrocarbon contaminated soils (&gt;100m3 to &lt;=500m3 soil) -  landfarming / bioremediation.</v>
      </c>
      <c r="F102" s="316"/>
      <c r="G102" s="1093" t="str">
        <f>TOV!$C$531</f>
        <v>#13.15</v>
      </c>
      <c r="H102" s="103">
        <f>VLOOKUP(G102,TOV!$C$530:$F$532,TOV_Rate_Ref,FALSE)</f>
        <v>80.275301369240935</v>
      </c>
      <c r="I102" s="143">
        <f t="shared" si="31"/>
        <v>0</v>
      </c>
      <c r="J102" s="300"/>
      <c r="K102" s="143">
        <f t="shared" si="33"/>
        <v>0</v>
      </c>
      <c r="L102" s="215"/>
      <c r="M102" s="294"/>
      <c r="N102" s="294"/>
      <c r="O102" s="294"/>
      <c r="P102" s="294"/>
      <c r="Q102" s="294"/>
      <c r="R102" s="294"/>
      <c r="S102" s="295"/>
      <c r="T102" s="434"/>
      <c r="U102" s="434"/>
      <c r="V102" s="434"/>
      <c r="W102" s="434"/>
      <c r="X102" s="434"/>
      <c r="Y102" s="639"/>
      <c r="Z102" s="639"/>
      <c r="AA102" s="434"/>
      <c r="AD102" s="495"/>
      <c r="AE102" s="495"/>
      <c r="AF102" s="495"/>
      <c r="AG102" s="495"/>
      <c r="AH102" s="495"/>
      <c r="AI102" s="495"/>
      <c r="AK102" s="495"/>
      <c r="AL102" s="495"/>
      <c r="AM102" s="495"/>
    </row>
    <row r="103" spans="2:39" s="520" customFormat="1" ht="12.75">
      <c r="B103" s="301"/>
      <c r="C103" s="1164">
        <f t="shared" si="32"/>
        <v>8</v>
      </c>
      <c r="D103" s="168"/>
      <c r="E103" s="1260" t="str">
        <f>VLOOKUP(G103,TOV!$C$530:$F$532,TOV!$E$1,FALSE)</f>
        <v>On-site remediation of hydrocarbon contaminated soils (&gt;100m3 to &lt;=500m3 soil) -  landfarming / bioremediation.</v>
      </c>
      <c r="F103" s="316"/>
      <c r="G103" s="1093" t="str">
        <f>TOV!$C$531</f>
        <v>#13.15</v>
      </c>
      <c r="H103" s="103">
        <f>VLOOKUP(G103,TOV!$C$530:$F$532,TOV_Rate_Ref,FALSE)</f>
        <v>80.275301369240935</v>
      </c>
      <c r="I103" s="143">
        <f t="shared" si="31"/>
        <v>0</v>
      </c>
      <c r="J103" s="300"/>
      <c r="K103" s="143">
        <f t="shared" si="33"/>
        <v>0</v>
      </c>
      <c r="L103" s="215"/>
      <c r="M103" s="294"/>
      <c r="N103" s="294"/>
      <c r="O103" s="294"/>
      <c r="P103" s="294"/>
      <c r="Q103" s="294"/>
      <c r="R103" s="294"/>
      <c r="S103" s="295"/>
      <c r="T103" s="434"/>
      <c r="U103" s="434"/>
      <c r="V103" s="434"/>
      <c r="W103" s="434"/>
      <c r="X103" s="434"/>
      <c r="Y103" s="639"/>
      <c r="Z103" s="639"/>
      <c r="AA103" s="434"/>
      <c r="AD103" s="495"/>
      <c r="AE103" s="495"/>
      <c r="AF103" s="495"/>
      <c r="AG103" s="495"/>
      <c r="AH103" s="495"/>
      <c r="AI103" s="495"/>
      <c r="AK103" s="495"/>
      <c r="AL103" s="495"/>
      <c r="AM103" s="495"/>
    </row>
    <row r="104" spans="2:39" s="520" customFormat="1" ht="12.75">
      <c r="B104" s="301"/>
      <c r="C104" s="1164">
        <f t="shared" si="32"/>
        <v>9</v>
      </c>
      <c r="D104" s="168"/>
      <c r="E104" s="1260" t="str">
        <f>VLOOKUP(G104,TOV!$C$530:$F$532,TOV!$E$1,FALSE)</f>
        <v>On-site remediation of hydrocarbon contaminated soils (&gt;100m3 to &lt;=500m3 soil) -  landfarming / bioremediation.</v>
      </c>
      <c r="F104" s="316"/>
      <c r="G104" s="1093" t="str">
        <f>TOV!$C$531</f>
        <v>#13.15</v>
      </c>
      <c r="H104" s="103">
        <f>VLOOKUP(G104,TOV!$C$530:$F$532,TOV_Rate_Ref,FALSE)</f>
        <v>80.275301369240935</v>
      </c>
      <c r="I104" s="143">
        <f t="shared" si="31"/>
        <v>0</v>
      </c>
      <c r="J104" s="300"/>
      <c r="K104" s="143">
        <f t="shared" si="33"/>
        <v>0</v>
      </c>
      <c r="L104" s="215"/>
      <c r="M104" s="294"/>
      <c r="N104" s="294"/>
      <c r="O104" s="294"/>
      <c r="P104" s="294"/>
      <c r="Q104" s="294"/>
      <c r="R104" s="294"/>
      <c r="S104" s="295"/>
      <c r="T104" s="434"/>
      <c r="U104" s="434"/>
      <c r="V104" s="434"/>
      <c r="W104" s="434"/>
      <c r="X104" s="434"/>
      <c r="Y104" s="639"/>
      <c r="Z104" s="639"/>
      <c r="AA104" s="434"/>
      <c r="AD104" s="495"/>
      <c r="AE104" s="495"/>
      <c r="AF104" s="495"/>
      <c r="AG104" s="495"/>
      <c r="AH104" s="495"/>
      <c r="AI104" s="495"/>
      <c r="AK104" s="495"/>
      <c r="AL104" s="495"/>
      <c r="AM104" s="495"/>
    </row>
    <row r="105" spans="2:39" s="520" customFormat="1" ht="12.75">
      <c r="B105" s="301"/>
      <c r="C105" s="1164">
        <f t="shared" si="32"/>
        <v>10</v>
      </c>
      <c r="D105" s="168"/>
      <c r="E105" s="1260" t="str">
        <f>VLOOKUP(G105,TOV!$C$530:$F$532,TOV!$E$1,FALSE)</f>
        <v>On-site remediation of hydrocarbon contaminated soils (&gt;100m3 to &lt;=500m3 soil) -  landfarming / bioremediation.</v>
      </c>
      <c r="F105" s="316"/>
      <c r="G105" s="1093" t="str">
        <f>TOV!$C$531</f>
        <v>#13.15</v>
      </c>
      <c r="H105" s="103">
        <f>VLOOKUP(G105,TOV!$C$530:$F$532,TOV_Rate_Ref,FALSE)</f>
        <v>80.275301369240935</v>
      </c>
      <c r="I105" s="143">
        <f t="shared" si="31"/>
        <v>0</v>
      </c>
      <c r="J105" s="300"/>
      <c r="K105" s="143">
        <f t="shared" si="33"/>
        <v>0</v>
      </c>
      <c r="L105" s="215"/>
      <c r="M105" s="294"/>
      <c r="N105" s="294"/>
      <c r="O105" s="294"/>
      <c r="P105" s="294"/>
      <c r="Q105" s="294"/>
      <c r="R105" s="294"/>
      <c r="S105" s="295"/>
      <c r="T105" s="434"/>
      <c r="U105" s="434"/>
      <c r="V105" s="434"/>
      <c r="W105" s="434"/>
      <c r="X105" s="434"/>
      <c r="Y105" s="639"/>
      <c r="Z105" s="639"/>
      <c r="AA105" s="434"/>
      <c r="AD105" s="495"/>
      <c r="AE105" s="495"/>
      <c r="AF105" s="495"/>
      <c r="AG105" s="495"/>
      <c r="AH105" s="495"/>
      <c r="AI105" s="495"/>
      <c r="AK105" s="495"/>
      <c r="AL105" s="495"/>
      <c r="AM105" s="495"/>
    </row>
    <row r="106" spans="2:39" s="520" customFormat="1" ht="12.75">
      <c r="B106" s="301"/>
      <c r="C106" s="1164">
        <f t="shared" si="32"/>
        <v>11</v>
      </c>
      <c r="D106" s="168"/>
      <c r="E106" s="1260" t="str">
        <f>VLOOKUP(G106,TOV!$C$530:$F$532,TOV!$E$1,FALSE)</f>
        <v>On-site remediation of hydrocarbon contaminated soils (&gt;500m3) -  landfarming / bioremediation.</v>
      </c>
      <c r="F106" s="316"/>
      <c r="G106" s="1093" t="str">
        <f>TOV!$C$532</f>
        <v>#13.16</v>
      </c>
      <c r="H106" s="103">
        <f>VLOOKUP(G106,TOV!$C$530:$F$532,TOV_Rate_Ref,FALSE)</f>
        <v>7.9561817110985285</v>
      </c>
      <c r="I106" s="143">
        <f t="shared" si="31"/>
        <v>0</v>
      </c>
      <c r="J106" s="300"/>
      <c r="K106" s="143">
        <f t="shared" si="33"/>
        <v>0</v>
      </c>
      <c r="L106" s="215"/>
      <c r="M106" s="294"/>
      <c r="N106" s="294"/>
      <c r="O106" s="294"/>
      <c r="P106" s="294"/>
      <c r="Q106" s="294"/>
      <c r="R106" s="294"/>
      <c r="S106" s="295"/>
      <c r="T106" s="434"/>
      <c r="U106" s="434"/>
      <c r="V106" s="434"/>
      <c r="W106" s="434"/>
      <c r="X106" s="434"/>
      <c r="Y106" s="639"/>
      <c r="Z106" s="639"/>
      <c r="AA106" s="434"/>
      <c r="AD106" s="495"/>
    </row>
    <row r="107" spans="2:39" s="520" customFormat="1" ht="12.75">
      <c r="B107" s="301"/>
      <c r="C107" s="1164">
        <f t="shared" si="32"/>
        <v>12</v>
      </c>
      <c r="D107" s="168"/>
      <c r="E107" s="1260" t="str">
        <f>VLOOKUP(G107,TOV!$C$530:$F$532,TOV!$E$1,FALSE)</f>
        <v>On-site remediation of hydrocarbon contaminated soils (&gt;500m3) -  landfarming / bioremediation.</v>
      </c>
      <c r="F107" s="316"/>
      <c r="G107" s="1093" t="str">
        <f>TOV!$C$532</f>
        <v>#13.16</v>
      </c>
      <c r="H107" s="103">
        <f>VLOOKUP(G107,TOV!$C$530:$F$532,TOV_Rate_Ref,FALSE)</f>
        <v>7.9561817110985285</v>
      </c>
      <c r="I107" s="143">
        <f t="shared" si="31"/>
        <v>0</v>
      </c>
      <c r="J107" s="300"/>
      <c r="K107" s="143">
        <f t="shared" si="33"/>
        <v>0</v>
      </c>
      <c r="L107" s="215"/>
      <c r="M107" s="294"/>
      <c r="N107" s="294"/>
      <c r="O107" s="294"/>
      <c r="P107" s="294"/>
      <c r="Q107" s="294"/>
      <c r="R107" s="294"/>
      <c r="S107" s="295"/>
      <c r="T107" s="434"/>
      <c r="U107" s="434"/>
      <c r="V107" s="434"/>
      <c r="W107" s="434"/>
      <c r="X107" s="434"/>
      <c r="Y107" s="639"/>
      <c r="Z107" s="639"/>
      <c r="AA107" s="434"/>
      <c r="AD107" s="495"/>
    </row>
    <row r="108" spans="2:39" s="520" customFormat="1" ht="12.75">
      <c r="B108" s="301"/>
      <c r="C108" s="1164">
        <f t="shared" si="32"/>
        <v>13</v>
      </c>
      <c r="D108" s="168"/>
      <c r="E108" s="1260" t="str">
        <f>VLOOKUP(G108,TOV!$C$530:$F$532,TOV!$E$1,FALSE)</f>
        <v>On-site remediation of hydrocarbon contaminated soils (&gt;500m3) -  landfarming / bioremediation.</v>
      </c>
      <c r="F108" s="316"/>
      <c r="G108" s="1093" t="str">
        <f>TOV!$C$532</f>
        <v>#13.16</v>
      </c>
      <c r="H108" s="103">
        <f>VLOOKUP(G108,TOV!$C$530:$F$532,TOV_Rate_Ref,FALSE)</f>
        <v>7.9561817110985285</v>
      </c>
      <c r="I108" s="143">
        <f t="shared" si="31"/>
        <v>0</v>
      </c>
      <c r="J108" s="300"/>
      <c r="K108" s="143">
        <f t="shared" si="33"/>
        <v>0</v>
      </c>
      <c r="L108" s="215"/>
      <c r="M108" s="294"/>
      <c r="N108" s="294"/>
      <c r="O108" s="294"/>
      <c r="P108" s="294"/>
      <c r="Q108" s="294"/>
      <c r="R108" s="294"/>
      <c r="S108" s="295"/>
      <c r="T108" s="434"/>
      <c r="U108" s="434"/>
      <c r="V108" s="434"/>
      <c r="W108" s="434"/>
      <c r="X108" s="434"/>
      <c r="Y108" s="639"/>
      <c r="Z108" s="639"/>
      <c r="AA108" s="434"/>
      <c r="AD108" s="495"/>
    </row>
    <row r="109" spans="2:39" s="520" customFormat="1" ht="12.75">
      <c r="B109" s="301"/>
      <c r="C109" s="1164">
        <f t="shared" si="32"/>
        <v>14</v>
      </c>
      <c r="D109" s="168"/>
      <c r="E109" s="1260" t="str">
        <f>VLOOKUP(G109,TOV!$C$530:$F$532,TOV!$E$1,FALSE)</f>
        <v>On-site remediation of hydrocarbon contaminated soils (&gt;500m3) -  landfarming / bioremediation.</v>
      </c>
      <c r="F109" s="316"/>
      <c r="G109" s="1093" t="str">
        <f>TOV!$C$532</f>
        <v>#13.16</v>
      </c>
      <c r="H109" s="103">
        <f>VLOOKUP(G109,TOV!$C$530:$F$532,TOV_Rate_Ref,FALSE)</f>
        <v>7.9561817110985285</v>
      </c>
      <c r="I109" s="143">
        <f t="shared" si="31"/>
        <v>0</v>
      </c>
      <c r="J109" s="300"/>
      <c r="K109" s="143">
        <f t="shared" si="33"/>
        <v>0</v>
      </c>
      <c r="L109" s="215"/>
      <c r="M109" s="294"/>
      <c r="N109" s="294"/>
      <c r="O109" s="294"/>
      <c r="P109" s="294"/>
      <c r="Q109" s="294"/>
      <c r="R109" s="294"/>
      <c r="S109" s="295"/>
      <c r="T109" s="434"/>
      <c r="U109" s="434"/>
      <c r="V109" s="434"/>
      <c r="W109" s="434"/>
      <c r="X109" s="434"/>
      <c r="Y109" s="639"/>
      <c r="Z109" s="639"/>
      <c r="AA109" s="434"/>
      <c r="AD109" s="495"/>
    </row>
    <row r="110" spans="2:39" s="520" customFormat="1" ht="12.75">
      <c r="B110" s="301"/>
      <c r="C110" s="1164">
        <f t="shared" si="32"/>
        <v>15</v>
      </c>
      <c r="D110" s="168"/>
      <c r="E110" s="1260" t="str">
        <f>VLOOKUP(G110,TOV!$C$530:$F$532,TOV!$E$1,FALSE)</f>
        <v>On-site remediation of hydrocarbon contaminated soils (&gt;500m3) -  landfarming / bioremediation.</v>
      </c>
      <c r="F110" s="316"/>
      <c r="G110" s="1093" t="str">
        <f>TOV!$C$532</f>
        <v>#13.16</v>
      </c>
      <c r="H110" s="103">
        <f>VLOOKUP(G110,TOV!$C$530:$F$532,TOV_Rate_Ref,FALSE)</f>
        <v>7.9561817110985285</v>
      </c>
      <c r="I110" s="143">
        <f t="shared" si="31"/>
        <v>0</v>
      </c>
      <c r="J110" s="300"/>
      <c r="K110" s="143">
        <f t="shared" si="33"/>
        <v>0</v>
      </c>
      <c r="L110" s="215"/>
      <c r="M110" s="294"/>
      <c r="N110" s="294"/>
      <c r="O110" s="294"/>
      <c r="P110" s="294"/>
      <c r="Q110" s="294"/>
      <c r="R110" s="294"/>
      <c r="S110" s="295"/>
      <c r="T110" s="434"/>
      <c r="U110" s="434"/>
      <c r="V110" s="434"/>
      <c r="W110" s="434"/>
      <c r="X110" s="434"/>
      <c r="Y110" s="639"/>
      <c r="Z110" s="639"/>
      <c r="AA110" s="434"/>
      <c r="AD110" s="495"/>
    </row>
    <row r="111" spans="2:39" s="520" customFormat="1" ht="12.75">
      <c r="B111" s="301"/>
      <c r="C111" s="1164">
        <f t="shared" si="32"/>
        <v>16</v>
      </c>
      <c r="D111" s="168"/>
      <c r="E111" s="196"/>
      <c r="F111" s="316"/>
      <c r="G111" s="474"/>
      <c r="H111" s="474"/>
      <c r="I111" s="1261" t="str">
        <f>IF(AND(F111&gt;0,OR(J111="",J111=0)),"Enter Rate","No Alert")</f>
        <v>No Alert</v>
      </c>
      <c r="J111" s="300"/>
      <c r="K111" s="143">
        <f>J111*F111</f>
        <v>0</v>
      </c>
      <c r="L111" s="215"/>
      <c r="M111" s="294"/>
      <c r="N111" s="294"/>
      <c r="O111" s="294"/>
      <c r="P111" s="294"/>
      <c r="Q111" s="294"/>
      <c r="R111" s="294"/>
      <c r="S111" s="295"/>
      <c r="T111" s="434"/>
      <c r="U111" s="434"/>
      <c r="V111" s="434"/>
      <c r="W111" s="434"/>
      <c r="X111" s="434"/>
      <c r="Y111" s="639"/>
      <c r="Z111" s="639"/>
      <c r="AA111" s="434"/>
      <c r="AD111" s="495"/>
    </row>
    <row r="112" spans="2:39" s="520" customFormat="1" ht="12.75">
      <c r="B112" s="301"/>
      <c r="C112" s="1164">
        <f t="shared" si="32"/>
        <v>17</v>
      </c>
      <c r="D112" s="168"/>
      <c r="E112" s="196"/>
      <c r="F112" s="316"/>
      <c r="G112" s="474"/>
      <c r="H112" s="474"/>
      <c r="I112" s="1261" t="str">
        <f t="shared" ref="I112:I113" si="34">IF(AND(F112&gt;0,OR(J112="",J112=0)),"Enter Rate","No Alert")</f>
        <v>No Alert</v>
      </c>
      <c r="J112" s="300"/>
      <c r="K112" s="143">
        <f t="shared" ref="K112:K113" si="35">J112*F112</f>
        <v>0</v>
      </c>
      <c r="L112" s="215"/>
      <c r="M112" s="294"/>
      <c r="N112" s="294"/>
      <c r="O112" s="294"/>
      <c r="P112" s="294"/>
      <c r="Q112" s="294"/>
      <c r="R112" s="294"/>
      <c r="S112" s="295"/>
      <c r="T112" s="434"/>
      <c r="U112" s="434"/>
      <c r="V112" s="434"/>
      <c r="W112" s="434"/>
      <c r="X112" s="434"/>
      <c r="Y112" s="639"/>
      <c r="Z112" s="639"/>
      <c r="AA112" s="434"/>
      <c r="AD112" s="495"/>
    </row>
    <row r="113" spans="2:31" s="520" customFormat="1" ht="12.75">
      <c r="B113" s="301"/>
      <c r="C113" s="1164">
        <f t="shared" si="32"/>
        <v>18</v>
      </c>
      <c r="D113" s="168"/>
      <c r="E113" s="196"/>
      <c r="F113" s="316"/>
      <c r="G113" s="474"/>
      <c r="H113" s="474"/>
      <c r="I113" s="1261" t="str">
        <f t="shared" si="34"/>
        <v>No Alert</v>
      </c>
      <c r="J113" s="300"/>
      <c r="K113" s="143">
        <f t="shared" si="35"/>
        <v>0</v>
      </c>
      <c r="L113" s="215"/>
      <c r="M113" s="294"/>
      <c r="N113" s="294"/>
      <c r="O113" s="294"/>
      <c r="P113" s="294"/>
      <c r="Q113" s="294"/>
      <c r="R113" s="294"/>
      <c r="S113" s="295"/>
      <c r="T113" s="434"/>
      <c r="U113" s="434"/>
      <c r="V113" s="434"/>
      <c r="W113" s="434"/>
      <c r="X113" s="434"/>
      <c r="Y113" s="639"/>
      <c r="Z113" s="639"/>
      <c r="AA113" s="434"/>
      <c r="AD113" s="495"/>
    </row>
    <row r="114" spans="2:31" ht="12.75">
      <c r="E114" s="475"/>
      <c r="F114" s="795"/>
      <c r="H114" s="434"/>
      <c r="I114" s="953"/>
      <c r="J114" s="1105"/>
      <c r="K114" s="1105"/>
      <c r="L114" s="475"/>
      <c r="M114" s="475"/>
      <c r="S114" s="434"/>
      <c r="T114" s="434"/>
      <c r="U114" s="434"/>
      <c r="V114" s="434"/>
      <c r="W114" s="434"/>
      <c r="X114" s="434"/>
      <c r="Y114" s="639"/>
      <c r="Z114" s="639"/>
      <c r="AA114" s="434"/>
    </row>
    <row r="115" spans="2:31" ht="16.149999999999999" customHeight="1">
      <c r="E115" s="475"/>
      <c r="F115" s="372">
        <f>SUM(F95:F114)</f>
        <v>0</v>
      </c>
      <c r="H115" s="475"/>
      <c r="I115" s="122">
        <f>SUM(I95:I114)</f>
        <v>0</v>
      </c>
      <c r="J115" s="1252">
        <f>SUM(J95:J114)</f>
        <v>0</v>
      </c>
      <c r="K115" s="122">
        <f>SUM(K96:K113)</f>
        <v>0</v>
      </c>
      <c r="L115" s="882">
        <f>IF(F115=0,0,K115/F115)</f>
        <v>0</v>
      </c>
      <c r="M115" s="474" t="s">
        <v>33</v>
      </c>
      <c r="S115" s="434"/>
      <c r="T115" s="434"/>
      <c r="U115" s="434"/>
      <c r="V115" s="434"/>
      <c r="W115" s="434"/>
      <c r="X115" s="434"/>
      <c r="Y115" s="639"/>
      <c r="Z115" s="639"/>
      <c r="AA115" s="434"/>
    </row>
    <row r="116" spans="2:31" ht="12.75">
      <c r="E116" s="475"/>
      <c r="F116" s="475"/>
      <c r="T116" s="434"/>
      <c r="U116" s="434"/>
      <c r="V116" s="434"/>
      <c r="W116" s="434"/>
      <c r="X116" s="434"/>
      <c r="Y116" s="639"/>
      <c r="Z116" s="639"/>
      <c r="AA116" s="434"/>
      <c r="AB116" s="434"/>
    </row>
    <row r="117" spans="2:31" ht="12.75">
      <c r="E117" s="475"/>
      <c r="F117" s="475"/>
      <c r="G117" s="475"/>
      <c r="H117" s="475"/>
      <c r="I117" s="475"/>
      <c r="N117" s="474"/>
      <c r="O117" s="474"/>
      <c r="P117" s="474"/>
      <c r="W117" s="434"/>
      <c r="X117" s="434"/>
      <c r="Y117" s="639"/>
      <c r="Z117" s="639"/>
      <c r="AA117" s="434"/>
      <c r="AB117" s="434"/>
      <c r="AC117" s="639"/>
      <c r="AD117" s="639"/>
      <c r="AE117" s="434"/>
    </row>
    <row r="118" spans="2:31" ht="12.75">
      <c r="E118" s="475"/>
      <c r="F118" s="475"/>
      <c r="G118" s="475"/>
      <c r="H118" s="475"/>
      <c r="I118" s="475"/>
      <c r="J118" s="475"/>
      <c r="N118" s="474"/>
      <c r="O118" s="474"/>
      <c r="P118" s="474"/>
      <c r="Q118" s="474"/>
      <c r="Y118" s="639"/>
      <c r="Z118" s="639"/>
      <c r="AA118" s="434"/>
    </row>
    <row r="119" spans="2:31" ht="12.75">
      <c r="E119" s="475"/>
      <c r="F119" s="475"/>
      <c r="G119" s="475"/>
      <c r="H119" s="475"/>
      <c r="I119" s="475"/>
      <c r="N119" s="474"/>
      <c r="O119" s="474"/>
      <c r="P119" s="474"/>
      <c r="Q119" s="474"/>
      <c r="R119" s="474"/>
      <c r="Y119" s="639"/>
      <c r="Z119" s="639"/>
      <c r="AA119" s="434"/>
    </row>
    <row r="120" spans="2:31" ht="12.75">
      <c r="E120" s="475"/>
      <c r="F120" s="475"/>
      <c r="N120" s="474"/>
      <c r="O120" s="474"/>
      <c r="P120" s="474"/>
      <c r="Y120" s="639"/>
      <c r="Z120" s="639"/>
      <c r="AA120" s="434"/>
    </row>
  </sheetData>
  <sheetProtection algorithmName="SHA-512" hashValue="pxElE/BQxQHHtFSnlTdqs7e/rOyJjXYVKHVn5rOQnRKkbpPZX/ovUEWzjKXC3GXwOllWx3vuOMiMGpdZi9GHHA==" saltValue="eXaM/udD9C1jc2jHc+6Dig==" spinCount="100000" sheet="1" objects="1" scenarios="1" autoFilter="0"/>
  <phoneticPr fontId="62" type="noConversion"/>
  <conditionalFormatting sqref="I27">
    <cfRule type="containsText" dxfId="66" priority="1" operator="containsText" text="ok">
      <formula>NOT(ISERROR(SEARCH("ok",I27)))</formula>
    </cfRule>
    <cfRule type="containsText" dxfId="65" priority="2" operator="containsText" text="Enter">
      <formula>NOT(ISERROR(SEARCH("Enter",I27)))</formula>
    </cfRule>
  </conditionalFormatting>
  <conditionalFormatting sqref="I111:I113">
    <cfRule type="containsText" dxfId="64" priority="52" operator="containsText" text="No Alert">
      <formula>NOT(ISERROR(SEARCH("No Alert",I111)))</formula>
    </cfRule>
  </conditionalFormatting>
  <conditionalFormatting sqref="K80:K87">
    <cfRule type="containsText" dxfId="63" priority="106" operator="containsText" text="No Alert">
      <formula>NOT(ISERROR(SEARCH("No Alert",K80)))</formula>
    </cfRule>
    <cfRule type="containsText" dxfId="62" priority="107" operator="containsText" text="Enter">
      <formula>NOT(ISERROR(SEARCH("Enter",K80)))</formula>
    </cfRule>
  </conditionalFormatting>
  <conditionalFormatting sqref="L30:L39 J48:J57 J64:J73 J96:J113">
    <cfRule type="cellIs" dxfId="61" priority="4" operator="notEqual">
      <formula>""</formula>
    </cfRule>
  </conditionalFormatting>
  <conditionalFormatting sqref="L48:S57 L64:S73">
    <cfRule type="expression" dxfId="60" priority="11">
      <formula>$J48&lt;&gt;""</formula>
    </cfRule>
  </conditionalFormatting>
  <conditionalFormatting sqref="L96:S113">
    <cfRule type="expression" dxfId="59" priority="5">
      <formula>$J96&lt;&gt;""</formula>
    </cfRule>
  </conditionalFormatting>
  <conditionalFormatting sqref="N6:P6">
    <cfRule type="containsText" dxfId="58" priority="22" operator="containsText" text="No Alert">
      <formula>NOT(ISERROR(SEARCH("No Alert",N6)))</formula>
    </cfRule>
    <cfRule type="containsText" dxfId="57" priority="23" operator="containsText" text="Enter">
      <formula>NOT(ISERROR(SEARCH("Enter",N6)))</formula>
    </cfRule>
  </conditionalFormatting>
  <conditionalFormatting sqref="N9:P9">
    <cfRule type="cellIs" dxfId="56" priority="3" operator="notEqual">
      <formula>""</formula>
    </cfRule>
  </conditionalFormatting>
  <conditionalFormatting sqref="N30:U39">
    <cfRule type="expression" dxfId="55" priority="15">
      <formula>$L30&lt;&gt;""</formula>
    </cfRule>
  </conditionalFormatting>
  <conditionalFormatting sqref="T13:T22">
    <cfRule type="cellIs" dxfId="54" priority="16" operator="notEqual">
      <formula>""</formula>
    </cfRule>
  </conditionalFormatting>
  <conditionalFormatting sqref="V13:AC22">
    <cfRule type="expression" dxfId="53" priority="20">
      <formula>$T13&lt;&gt;""</formula>
    </cfRule>
  </conditionalFormatting>
  <dataValidations count="4">
    <dataValidation type="list" allowBlank="1" showInputMessage="1" showErrorMessage="1" sqref="E30:E39" xr:uid="{CE388764-EEA9-4CD6-93C0-4880E4C480DC}">
      <formula1>Load_and_Haul</formula1>
    </dataValidation>
    <dataValidation type="list" allowBlank="1" showInputMessage="1" showErrorMessage="1" sqref="E64:E73" xr:uid="{A26F51DE-9DE9-4989-8B43-D83CF178E6DF}">
      <formula1>Contaminants_and_waste</formula1>
    </dataValidation>
    <dataValidation type="decimal" allowBlank="1" showInputMessage="1" showErrorMessage="1" errorTitle="LandInv" error="Number must be 0 to 1" sqref="F13:F22" xr:uid="{AA9FDE73-987A-43CD-99AC-F974AB78608F}">
      <formula1>0</formula1>
      <formula2>1</formula2>
    </dataValidation>
    <dataValidation allowBlank="1" showInputMessage="1" showErrorMessage="1" prompt="This is the multiplier on the one-costs for investigations. This value is typically set to 1 but can be less if it is reasonable to assume several areas will be investigated during the same mobe." sqref="F11" xr:uid="{0E98683A-DB0B-46B3-957C-9BA0B2521265}"/>
  </dataValidations>
  <hyperlinks>
    <hyperlink ref="B93" location="'13. Investigation Contamination'!B6" display="Top" xr:uid="{1FA13775-6C04-4D1A-8E8D-DB7D0A559752}"/>
    <hyperlink ref="B77" location="'13. Investigation Contamination'!B6" display="Top" xr:uid="{C9C7CE66-3079-41AC-B0F6-8C8EA976255C}"/>
    <hyperlink ref="B61" location="'13. Investigation Contamination'!B6" display="Top" xr:uid="{036DCA62-33E9-4152-AE76-DCCA2F9260C9}"/>
    <hyperlink ref="B45" location="'13. Investigation Contamination'!B6" display="Top" xr:uid="{3344800A-CBED-4088-86DC-87D54AF0972C}"/>
    <hyperlink ref="B27" location="'13. Investigation Contamination'!B6" display="Top" xr:uid="{16C757F4-FDC4-49D9-866B-D7BDCD1F5482}"/>
    <hyperlink ref="B2" location="CONTENTS!A1" display="Contents" xr:uid="{C6927E19-2A06-4B70-A91F-7F15D8CC16FA}"/>
    <hyperlink ref="J77" location="REGISTRATION" display="REGISTRATION" xr:uid="{84984B5E-53BB-4DD5-83B7-A3841930FD18}"/>
    <hyperlink ref="I27" location="Subrates!B7" display="Subrates!B7" xr:uid="{0D8227D9-F0DA-430C-8C3D-6256E30868CE}"/>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1EA724C-6967-4579-925D-A01292D2C798}">
          <x14:formula1>
            <xm:f>Subrates!$E$9:$G$9</xm:f>
          </x14:formula1>
          <xm:sqref>G30:G39</xm:sqref>
        </x14:dataValidation>
        <x14:dataValidation type="list" allowBlank="1" showInputMessage="1" showErrorMessage="1" xr:uid="{30AB5B14-F4A0-4161-B3F8-F149F0516738}">
          <x14:formula1>
            <xm:f>Lists!$B$251:$B$252</xm:f>
          </x14:formula1>
          <xm:sqref>E48:E57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9" tint="-0.249977111117893"/>
  </sheetPr>
  <dimension ref="B1:G66"/>
  <sheetViews>
    <sheetView showGridLines="0" tabSelected="1" zoomScaleNormal="100" workbookViewId="0">
      <pane xSplit="1" ySplit="2" topLeftCell="B54" activePane="bottomRight" state="frozen"/>
      <selection pane="topRight" activeCell="E26" sqref="E26"/>
      <selection pane="bottomLeft" activeCell="E26" sqref="E26"/>
      <selection pane="bottomRight" activeCell="G77" sqref="G77"/>
    </sheetView>
  </sheetViews>
  <sheetFormatPr defaultColWidth="9" defaultRowHeight="12.75"/>
  <cols>
    <col min="1" max="1" width="3.42578125" style="434" customWidth="1"/>
    <col min="2" max="2" width="88.28515625" style="434" customWidth="1"/>
    <col min="3" max="4" width="9" style="434"/>
    <col min="5" max="5" width="11.7109375" style="434" customWidth="1"/>
    <col min="6" max="6" width="37.28515625" style="434" customWidth="1"/>
    <col min="7" max="7" width="72.7109375" style="434" customWidth="1"/>
    <col min="8" max="16384" width="9" style="434"/>
  </cols>
  <sheetData>
    <row r="1" spans="2:7" s="475" customFormat="1" ht="15" customHeight="1">
      <c r="B1" s="433" t="s">
        <v>0</v>
      </c>
      <c r="C1" s="474"/>
      <c r="D1" s="474"/>
      <c r="E1" s="474"/>
      <c r="F1" s="474"/>
      <c r="G1" s="474"/>
    </row>
    <row r="2" spans="2:7" s="475" customFormat="1" ht="18" customHeight="1">
      <c r="B2" s="476" t="s">
        <v>256</v>
      </c>
      <c r="C2" s="474"/>
      <c r="D2" s="474"/>
      <c r="E2" s="476" t="s">
        <v>259</v>
      </c>
      <c r="F2" s="477"/>
      <c r="G2" s="477"/>
    </row>
    <row r="3" spans="2:7" s="475" customFormat="1" ht="18" customHeight="1">
      <c r="C3" s="474"/>
      <c r="D3" s="474"/>
      <c r="E3" s="474"/>
      <c r="F3" s="474"/>
      <c r="G3" s="474"/>
    </row>
    <row r="4" spans="2:7" ht="18" customHeight="1">
      <c r="B4" s="478" t="s">
        <v>260</v>
      </c>
      <c r="E4" s="479" t="s">
        <v>261</v>
      </c>
      <c r="F4" s="479" t="s">
        <v>262</v>
      </c>
      <c r="G4" s="479" t="s">
        <v>139</v>
      </c>
    </row>
    <row r="5" spans="2:7" ht="18" customHeight="1">
      <c r="B5" s="274" t="str">
        <f>'Terms-con'!G7</f>
        <v>Terms and Conditions of Use</v>
      </c>
      <c r="C5" s="480"/>
      <c r="E5" s="481">
        <v>43556</v>
      </c>
      <c r="F5" s="482">
        <v>4</v>
      </c>
      <c r="G5" s="483" t="s">
        <v>263</v>
      </c>
    </row>
    <row r="6" spans="2:7" ht="18" customHeight="1">
      <c r="B6" s="274" t="str">
        <f>Registration!$B$2</f>
        <v>Registration</v>
      </c>
      <c r="E6" s="484">
        <v>43589</v>
      </c>
      <c r="F6" s="485">
        <v>4.01</v>
      </c>
      <c r="G6" s="486" t="s">
        <v>264</v>
      </c>
    </row>
    <row r="7" spans="2:7" ht="18" customHeight="1">
      <c r="B7" s="274" t="str">
        <f>Subrates!$B$2</f>
        <v>Subrates</v>
      </c>
      <c r="E7" s="487"/>
      <c r="F7" s="488"/>
      <c r="G7" s="489" t="s">
        <v>265</v>
      </c>
    </row>
    <row r="8" spans="2:7" ht="18" customHeight="1">
      <c r="B8" s="274" t="str">
        <f>TOV!D3</f>
        <v>Table Of Values</v>
      </c>
      <c r="E8" s="490"/>
      <c r="F8" s="491"/>
      <c r="G8" s="489" t="s">
        <v>266</v>
      </c>
    </row>
    <row r="9" spans="2:7" ht="18" customHeight="1">
      <c r="B9" s="274" t="str">
        <f>Summary!C2</f>
        <v>Summary</v>
      </c>
      <c r="C9" s="480"/>
      <c r="E9" s="484">
        <v>43600</v>
      </c>
      <c r="F9" s="485">
        <v>4.0199999999999996</v>
      </c>
      <c r="G9" s="492" t="s">
        <v>267</v>
      </c>
    </row>
    <row r="10" spans="2:7" ht="18" customHeight="1">
      <c r="B10" s="274" t="str">
        <f>'1. Eligible Mining Activities'!C2</f>
        <v>1. Eligible Mining Activities</v>
      </c>
      <c r="C10" s="480"/>
      <c r="E10" s="490"/>
      <c r="F10" s="491"/>
      <c r="G10" s="493" t="s">
        <v>268</v>
      </c>
    </row>
    <row r="11" spans="2:7" ht="18" customHeight="1">
      <c r="B11" s="274" t="str">
        <f>'2. Exploration'!C2</f>
        <v>2. Exploration</v>
      </c>
      <c r="C11" s="480"/>
      <c r="E11" s="484">
        <v>43614</v>
      </c>
      <c r="F11" s="485">
        <v>4.03</v>
      </c>
      <c r="G11" s="492" t="s">
        <v>269</v>
      </c>
    </row>
    <row r="12" spans="2:7" ht="18" customHeight="1">
      <c r="B12" s="274" t="str">
        <f>'3. Infrastructure'!C2</f>
        <v>3. Infrastructure</v>
      </c>
      <c r="C12" s="480"/>
      <c r="E12" s="490"/>
      <c r="F12" s="491"/>
      <c r="G12" s="493" t="s">
        <v>270</v>
      </c>
    </row>
    <row r="13" spans="2:7" ht="18" customHeight="1">
      <c r="B13" s="274" t="str">
        <f>'4. Process Equipment'!C2</f>
        <v>4. Process and Heavy Equipment</v>
      </c>
      <c r="C13" s="480"/>
      <c r="E13" s="484">
        <v>43661</v>
      </c>
      <c r="F13" s="485">
        <v>4.04</v>
      </c>
      <c r="G13" s="492" t="s">
        <v>271</v>
      </c>
    </row>
    <row r="14" spans="2:7" ht="18" customHeight="1">
      <c r="B14" s="274" t="str">
        <f>_5._WATER_STORAGE</f>
        <v>5. Water Storage</v>
      </c>
      <c r="E14" s="487"/>
      <c r="F14" s="488"/>
      <c r="G14" s="487" t="s">
        <v>272</v>
      </c>
    </row>
    <row r="15" spans="2:7" ht="18" customHeight="1">
      <c r="B15" s="274" t="str">
        <f>'6. Water Treatment'!C2</f>
        <v>6. Water Treatment and Pumping</v>
      </c>
      <c r="C15" s="480"/>
      <c r="E15" s="484">
        <v>44020</v>
      </c>
      <c r="F15" s="494">
        <v>4.05</v>
      </c>
      <c r="G15" s="492" t="s">
        <v>271</v>
      </c>
    </row>
    <row r="16" spans="2:7" ht="18" customHeight="1">
      <c r="B16" s="274" t="str">
        <f>'7. Overburden Dumps Piles'!C2</f>
        <v>7. Waste Rock Dumps, Overburden Dumps, Spoil Piles and Stockpiles</v>
      </c>
      <c r="C16" s="480"/>
      <c r="E16" s="490"/>
      <c r="F16" s="490"/>
      <c r="G16" s="490"/>
    </row>
    <row r="17" spans="2:7" ht="18" customHeight="1">
      <c r="B17" s="274" t="str">
        <f>'8. Heap Leach Pads'!C2</f>
        <v>8. Heap Leach Pads</v>
      </c>
      <c r="E17" s="484">
        <v>44105</v>
      </c>
      <c r="F17" s="485">
        <v>4.0599999999999996</v>
      </c>
      <c r="G17" s="492" t="s">
        <v>273</v>
      </c>
    </row>
    <row r="18" spans="2:7" ht="18" customHeight="1">
      <c r="B18" s="274" t="str">
        <f>'9. Tailings Storage Facilities'!C2</f>
        <v>9. Tailings Storage Facilities, Rejects, Slimes, Slimes Storage Facilities</v>
      </c>
      <c r="E18" s="487"/>
      <c r="F18" s="488"/>
      <c r="G18" s="487" t="s">
        <v>274</v>
      </c>
    </row>
    <row r="19" spans="2:7" ht="18" customHeight="1">
      <c r="B19" s="274" t="str">
        <f>'10. Pits'!C2</f>
        <v>10. Pits</v>
      </c>
      <c r="E19" s="487"/>
      <c r="F19" s="488"/>
      <c r="G19" s="487" t="s">
        <v>275</v>
      </c>
    </row>
    <row r="20" spans="2:7" ht="18" customHeight="1">
      <c r="B20" s="274" t="str">
        <f>'11.Underground Mines'!C2</f>
        <v>11. Underground Mines</v>
      </c>
      <c r="E20" s="487"/>
      <c r="F20" s="487"/>
      <c r="G20" s="487" t="s">
        <v>276</v>
      </c>
    </row>
    <row r="21" spans="2:7" ht="18" customHeight="1">
      <c r="B21" s="274" t="str">
        <f>_12._PORTS</f>
        <v>12. Ports</v>
      </c>
      <c r="E21" s="487"/>
      <c r="F21" s="487"/>
      <c r="G21" s="487" t="s">
        <v>277</v>
      </c>
    </row>
    <row r="22" spans="2:7" ht="18" customHeight="1">
      <c r="B22" s="274" t="str">
        <f>'13. Investigation Contamination'!C2</f>
        <v>13. Investigation, Contamination, Scrap, Waste Levy</v>
      </c>
      <c r="E22" s="487"/>
      <c r="F22" s="487"/>
      <c r="G22" s="487" t="s">
        <v>278</v>
      </c>
    </row>
    <row r="23" spans="2:7" ht="18" customHeight="1">
      <c r="B23" s="274" t="str">
        <f>'14. General Land Rehabilitation'!C2</f>
        <v>14. General Land Rehabilitation</v>
      </c>
      <c r="E23" s="487"/>
      <c r="F23" s="487"/>
      <c r="G23" s="487" t="s">
        <v>279</v>
      </c>
    </row>
    <row r="24" spans="2:7" ht="18" customHeight="1">
      <c r="B24" s="274" t="str">
        <f>'15. Mobilisation and User'!C2</f>
        <v>15. Mobilisation / Demobilisation and Additional User Items</v>
      </c>
      <c r="E24" s="487"/>
      <c r="F24" s="487"/>
      <c r="G24" s="487" t="s">
        <v>280</v>
      </c>
    </row>
    <row r="25" spans="2:7" ht="18" customHeight="1">
      <c r="B25" s="274" t="str">
        <f>QUANTITY_SUMMARY</f>
        <v>Quantity Summary</v>
      </c>
      <c r="E25" s="487"/>
      <c r="F25" s="487"/>
      <c r="G25" s="487" t="s">
        <v>281</v>
      </c>
    </row>
    <row r="26" spans="2:7" ht="18" customHeight="1">
      <c r="B26" s="274" t="str">
        <f>'Waste Register'!C2</f>
        <v>Waste Levy Register</v>
      </c>
      <c r="E26" s="487"/>
      <c r="F26" s="487"/>
      <c r="G26" s="487" t="s">
        <v>282</v>
      </c>
    </row>
    <row r="27" spans="2:7" ht="18" customHeight="1">
      <c r="B27" s="274" t="str">
        <f>'Capping Alerts'!C2</f>
        <v>Capping Alerts</v>
      </c>
      <c r="E27" s="487"/>
      <c r="F27" s="487"/>
      <c r="G27" s="487" t="s">
        <v>283</v>
      </c>
    </row>
    <row r="28" spans="2:7" ht="18" customHeight="1">
      <c r="B28" s="274" t="str">
        <f>LISTS</f>
        <v>Lists</v>
      </c>
      <c r="E28" s="487"/>
      <c r="F28" s="487"/>
      <c r="G28" s="487" t="s">
        <v>284</v>
      </c>
    </row>
    <row r="29" spans="2:7" ht="18" customHeight="1">
      <c r="E29" s="487"/>
      <c r="F29" s="487"/>
      <c r="G29" s="487" t="s">
        <v>285</v>
      </c>
    </row>
    <row r="30" spans="2:7" ht="18" customHeight="1">
      <c r="E30" s="487"/>
      <c r="F30" s="487"/>
      <c r="G30" s="487" t="s">
        <v>286</v>
      </c>
    </row>
    <row r="31" spans="2:7" ht="18" customHeight="1">
      <c r="B31" s="495" t="s">
        <v>287</v>
      </c>
      <c r="E31" s="487"/>
      <c r="F31" s="487"/>
      <c r="G31" s="487" t="s">
        <v>288</v>
      </c>
    </row>
    <row r="32" spans="2:7" ht="18" customHeight="1">
      <c r="B32" s="496" t="s">
        <v>289</v>
      </c>
      <c r="E32" s="487"/>
      <c r="F32" s="487"/>
      <c r="G32" s="487" t="s">
        <v>290</v>
      </c>
    </row>
    <row r="33" spans="2:7" ht="18" customHeight="1">
      <c r="B33" s="434" t="s">
        <v>291</v>
      </c>
      <c r="E33" s="487"/>
      <c r="F33" s="487"/>
      <c r="G33" s="487" t="s">
        <v>292</v>
      </c>
    </row>
    <row r="34" spans="2:7" ht="18" customHeight="1">
      <c r="E34" s="487"/>
      <c r="F34" s="487"/>
      <c r="G34" s="487" t="s">
        <v>293</v>
      </c>
    </row>
    <row r="35" spans="2:7" ht="18" customHeight="1">
      <c r="B35" s="497"/>
      <c r="E35" s="487"/>
      <c r="F35" s="487"/>
      <c r="G35" s="487" t="s">
        <v>294</v>
      </c>
    </row>
    <row r="36" spans="2:7" ht="18" customHeight="1">
      <c r="E36" s="487"/>
      <c r="F36" s="487"/>
      <c r="G36" s="487" t="s">
        <v>295</v>
      </c>
    </row>
    <row r="37" spans="2:7" ht="18" customHeight="1">
      <c r="E37" s="487"/>
      <c r="F37" s="487"/>
      <c r="G37" s="487" t="s">
        <v>296</v>
      </c>
    </row>
    <row r="38" spans="2:7" ht="18" customHeight="1">
      <c r="E38" s="487"/>
      <c r="F38" s="487"/>
      <c r="G38" s="487" t="s">
        <v>297</v>
      </c>
    </row>
    <row r="39" spans="2:7" ht="18" customHeight="1">
      <c r="E39" s="487"/>
      <c r="F39" s="487"/>
      <c r="G39" s="487" t="s">
        <v>298</v>
      </c>
    </row>
    <row r="40" spans="2:7" ht="18" customHeight="1">
      <c r="E40" s="487"/>
      <c r="F40" s="487"/>
      <c r="G40" s="487" t="s">
        <v>299</v>
      </c>
    </row>
    <row r="41" spans="2:7" ht="18" customHeight="1">
      <c r="E41" s="487"/>
      <c r="F41" s="487"/>
      <c r="G41" s="487" t="s">
        <v>300</v>
      </c>
    </row>
    <row r="42" spans="2:7" ht="18" customHeight="1">
      <c r="E42" s="487"/>
      <c r="F42" s="487"/>
      <c r="G42" s="487" t="s">
        <v>301</v>
      </c>
    </row>
    <row r="43" spans="2:7" ht="18" customHeight="1">
      <c r="E43" s="487"/>
      <c r="F43" s="487"/>
      <c r="G43" s="489" t="s">
        <v>302</v>
      </c>
    </row>
    <row r="44" spans="2:7" ht="18" customHeight="1">
      <c r="B44" s="498" t="s">
        <v>303</v>
      </c>
      <c r="E44" s="499"/>
      <c r="F44" s="487"/>
      <c r="G44" s="487" t="s">
        <v>304</v>
      </c>
    </row>
    <row r="45" spans="2:7" ht="18" customHeight="1">
      <c r="B45" s="500"/>
      <c r="E45" s="501"/>
      <c r="F45" s="502"/>
      <c r="G45" s="487" t="s">
        <v>305</v>
      </c>
    </row>
    <row r="46" spans="2:7" ht="18" customHeight="1">
      <c r="B46" s="500"/>
      <c r="E46" s="499"/>
      <c r="F46" s="487"/>
      <c r="G46" s="487" t="s">
        <v>306</v>
      </c>
    </row>
    <row r="47" spans="2:7" ht="18" customHeight="1">
      <c r="E47" s="487"/>
      <c r="F47" s="487"/>
      <c r="G47" s="487" t="s">
        <v>307</v>
      </c>
    </row>
    <row r="48" spans="2:7" ht="18" customHeight="1">
      <c r="B48" s="500"/>
      <c r="E48" s="487"/>
      <c r="F48" s="487"/>
      <c r="G48" s="487" t="s">
        <v>308</v>
      </c>
    </row>
    <row r="49" spans="2:7" ht="18" customHeight="1">
      <c r="B49" s="500"/>
      <c r="E49" s="487"/>
      <c r="F49" s="487"/>
      <c r="G49" s="487" t="s">
        <v>309</v>
      </c>
    </row>
    <row r="50" spans="2:7" ht="18" customHeight="1">
      <c r="E50" s="490"/>
      <c r="F50" s="490"/>
      <c r="G50" s="487" t="s">
        <v>310</v>
      </c>
    </row>
    <row r="51" spans="2:7">
      <c r="E51" s="503">
        <v>44113</v>
      </c>
      <c r="F51" s="504">
        <v>4.07</v>
      </c>
      <c r="G51" s="492" t="s">
        <v>311</v>
      </c>
    </row>
    <row r="52" spans="2:7">
      <c r="E52" s="505"/>
      <c r="F52" s="490"/>
      <c r="G52" s="506"/>
    </row>
    <row r="53" spans="2:7">
      <c r="E53" s="507">
        <v>44835</v>
      </c>
      <c r="F53" s="508">
        <v>5</v>
      </c>
      <c r="G53" s="509" t="s">
        <v>312</v>
      </c>
    </row>
    <row r="54" spans="2:7">
      <c r="E54" s="499"/>
      <c r="F54" s="487"/>
      <c r="G54" s="489" t="s">
        <v>313</v>
      </c>
    </row>
    <row r="55" spans="2:7">
      <c r="E55" s="499"/>
      <c r="F55" s="487"/>
      <c r="G55" s="489" t="s">
        <v>314</v>
      </c>
    </row>
    <row r="56" spans="2:7">
      <c r="E56" s="505"/>
      <c r="F56" s="490"/>
      <c r="G56" s="493"/>
    </row>
    <row r="57" spans="2:7">
      <c r="E57" s="507">
        <v>44883</v>
      </c>
      <c r="F57" s="510">
        <v>5.01</v>
      </c>
      <c r="G57" s="511" t="s">
        <v>2739</v>
      </c>
    </row>
    <row r="58" spans="2:7">
      <c r="E58" s="505"/>
      <c r="F58" s="490"/>
      <c r="G58" s="512"/>
    </row>
    <row r="59" spans="2:7">
      <c r="E59" s="507">
        <v>45113</v>
      </c>
      <c r="F59" s="510">
        <v>5.0199999999999996</v>
      </c>
      <c r="G59" s="511" t="s">
        <v>3284</v>
      </c>
    </row>
    <row r="60" spans="2:7">
      <c r="E60" s="505"/>
      <c r="F60" s="490"/>
      <c r="G60" s="512"/>
    </row>
    <row r="61" spans="2:7">
      <c r="E61" s="507">
        <v>45245</v>
      </c>
      <c r="F61" s="510">
        <v>5.03</v>
      </c>
      <c r="G61" s="511" t="s">
        <v>3285</v>
      </c>
    </row>
    <row r="62" spans="2:7">
      <c r="E62" s="1360"/>
      <c r="F62" s="510"/>
      <c r="G62" s="511" t="s">
        <v>3286</v>
      </c>
    </row>
    <row r="63" spans="2:7">
      <c r="E63" s="505"/>
      <c r="F63" s="490"/>
      <c r="G63" s="512"/>
    </row>
    <row r="64" spans="2:7">
      <c r="E64" s="507">
        <v>45336</v>
      </c>
      <c r="F64" s="510">
        <v>5.04</v>
      </c>
      <c r="G64" s="511" t="s">
        <v>3289</v>
      </c>
    </row>
    <row r="65" spans="5:7">
      <c r="E65" s="1360"/>
      <c r="F65" s="510"/>
      <c r="G65" s="511"/>
    </row>
    <row r="66" spans="5:7">
      <c r="E66" s="505"/>
      <c r="F66" s="490"/>
      <c r="G66" s="512"/>
    </row>
  </sheetData>
  <sheetProtection algorithmName="SHA-512" hashValue="gPOJkgG4ynMNFDqt1ku02EN55TINcYm07p0/gDpKXBsIsVK282Zk7G3u5c//lyM4zHOmo0c6gXguPxip5zktHw==" saltValue="T6hZV+OFLq1xJ011qAZEOg==" spinCount="100000" sheet="1" objects="1" scenarios="1" autoFilter="0"/>
  <hyperlinks>
    <hyperlink ref="B10" location="ELIGIBLE_MINING_ACTIVITIES" display="ELIGIBLE_MINING_ACTIVITIES" xr:uid="{00000000-0004-0000-0000-000000000000}"/>
    <hyperlink ref="B12" location="_3._INFRASTRUCTURE" display="_3._INFRASTRUCTURE" xr:uid="{00000000-0004-0000-0000-000002000000}"/>
    <hyperlink ref="B14" location="_5._WATER_STORAGE" display="5. WATER STORAGE" xr:uid="{00000000-0004-0000-0000-000003000000}"/>
    <hyperlink ref="B15" location="_6._WATER_TREATMENT_AND_PUMPING" display="_6._WATER_TREATMENT_AND_PUMPING" xr:uid="{00000000-0004-0000-0000-000004000000}"/>
    <hyperlink ref="B13" location="_4._PROCESS_AND_HEAVY_EQUIPMENT" display="_4._PROCESS_AND_HEAVY_EQUIPMENT" xr:uid="{00000000-0004-0000-0000-000005000000}"/>
    <hyperlink ref="B16" location="_7._WASTE_ROCK_DUMPS__OVERBURDEN_DUMPS__SPOIL_PILES_AND_STOCKPILES" display="_7._WASTE_ROCK_DUMPS__OVERBURDEN_DUMPS__SPOIL_PILES_AND_STOCKPILES" xr:uid="{00000000-0004-0000-0000-000006000000}"/>
    <hyperlink ref="B17" location="_8._HEAP_LEACH_PADS" display="_8._HEAP_LEACH_PADS" xr:uid="{00000000-0004-0000-0000-000007000000}"/>
    <hyperlink ref="B18" location="_9._TAILING_STORAGE_FACILITIES__REJECTS__SLIMES__SLIMES_STORAGE_FACILITIES" display="_9._TAILING_STORAGE_FACILITIES__REJECTS__SLIMES__SLIMES_STORAGE_FACILITIES" xr:uid="{00000000-0004-0000-0000-000008000000}"/>
    <hyperlink ref="B19" location="_10._PITS" display="_10._PITS" xr:uid="{00000000-0004-0000-0000-000009000000}"/>
    <hyperlink ref="B20" location="_11_UNDERGROUND_MINES" display="_11_UNDERGROUND_MINES" xr:uid="{00000000-0004-0000-0000-00000A000000}"/>
    <hyperlink ref="B9" location="SUMMARY" display="SUMMARY" xr:uid="{00000000-0004-0000-0000-00000B000000}"/>
    <hyperlink ref="B25" location="QUANTITY_SUMMARY" display="QUANTITY_SUMMARY" xr:uid="{00000000-0004-0000-0000-00000C000000}"/>
    <hyperlink ref="B7" location="SUBRATES" display="SUBRATES" xr:uid="{00000000-0004-0000-0000-00000E000000}"/>
    <hyperlink ref="B6" location="REGISTRATION" display="REGISTRATION" xr:uid="{00000000-0004-0000-0000-00000F000000}"/>
    <hyperlink ref="B23" location="_14._GENERAL_LAND_REHABILITATION" display="_14._GENERAL_LAND_REHABILITATION" xr:uid="{00000000-0004-0000-0000-000010000000}"/>
    <hyperlink ref="B5" location="TERMS_AND_CONDITIONS_OF_USE" display="TERMS_AND_CONDITIONS_OF_USE" xr:uid="{00000000-0004-0000-0000-000011000000}"/>
    <hyperlink ref="B24" location="_15._MOBILISATION___DEMOBILISATION_AND_ADDITIONAL_USER_ITEMS" display="_15._MOBILISATION___DEMOBILISATION_AND_ADDITIONAL_USER_ITEMS" xr:uid="{48589B38-8ED9-45DC-8473-57D0F1055653}"/>
    <hyperlink ref="B26" location="'Waste Register'!A1" display="'Waste Register'!A1" xr:uid="{8FBCEA16-A17A-40AF-B1E4-247156D82CFE}"/>
    <hyperlink ref="B8" location="TABLE_OF_VALUES" display="TABLE_OF_VALUES" xr:uid="{3D709FBF-08DA-434D-8885-A56A8261B3F4}"/>
    <hyperlink ref="B27" location="CAPPING_ALERTS" display="CAPPING_ALERTS" xr:uid="{77151FC1-DC55-4C8E-8224-4ABEBD5CD7BA}"/>
    <hyperlink ref="B11" location="_2._EXPLORATION" display="_2._EXPLORATION" xr:uid="{B5899C8C-8E7D-42EA-863C-3F2EBFEA4CFD}"/>
    <hyperlink ref="B21" location="_12._PORTS" display="12._PORTS" xr:uid="{DD2B2388-D716-4386-AB56-9472713715C0}"/>
    <hyperlink ref="B28" location="LISTS" display="LISTS" xr:uid="{44D587D7-64D8-4539-BB32-17611634E93E}"/>
    <hyperlink ref="B22" location="_13._INVESTIGATION_CONTAMINATION_SCRAP_LEVY" display="_13._INVESTIGATION_CONTAMINATION_SCRAP_LEVY" xr:uid="{00000000-0004-0000-0000-000012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theme="9" tint="-0.249977111117893"/>
  </sheetPr>
  <dimension ref="A1:AT180"/>
  <sheetViews>
    <sheetView showGridLines="0" zoomScaleNormal="100" zoomScaleSheetLayoutView="100" workbookViewId="0">
      <pane xSplit="5" ySplit="4" topLeftCell="F5" activePane="bottomRight" state="frozen"/>
      <selection pane="topRight" activeCell="F1" sqref="F1"/>
      <selection pane="bottomLeft" activeCell="A5" sqref="A5"/>
      <selection pane="bottomRight"/>
    </sheetView>
  </sheetViews>
  <sheetFormatPr defaultColWidth="9" defaultRowHeight="12"/>
  <cols>
    <col min="1" max="1" width="3.42578125" style="475" customWidth="1"/>
    <col min="2" max="2" width="20.7109375" style="475" customWidth="1"/>
    <col min="3" max="3" width="18.7109375" style="475" customWidth="1"/>
    <col min="4" max="4" width="46" style="475" customWidth="1"/>
    <col min="5" max="5" width="18.7109375" style="474" customWidth="1"/>
    <col min="6" max="7" width="24.42578125" style="474" customWidth="1"/>
    <col min="8" max="14" width="18.7109375" style="474" customWidth="1"/>
    <col min="15" max="45" width="18.7109375" style="475" customWidth="1"/>
    <col min="46" max="16384" width="9" style="475"/>
  </cols>
  <sheetData>
    <row r="1" spans="1:42" ht="14.25">
      <c r="B1" s="433" t="s">
        <v>0</v>
      </c>
      <c r="D1" s="808"/>
      <c r="E1" s="520"/>
      <c r="O1" s="474"/>
      <c r="P1" s="474"/>
    </row>
    <row r="2" spans="1:42" ht="18" customHeight="1">
      <c r="B2" s="286" t="s">
        <v>256</v>
      </c>
      <c r="C2" s="476" t="s">
        <v>2501</v>
      </c>
      <c r="D2" s="944"/>
      <c r="E2" s="944"/>
      <c r="F2" s="944"/>
      <c r="G2" s="944"/>
      <c r="H2" s="944"/>
      <c r="I2" s="944"/>
      <c r="J2" s="944"/>
      <c r="K2" s="944"/>
      <c r="L2" s="944"/>
      <c r="M2" s="944"/>
      <c r="O2" s="474"/>
      <c r="P2" s="474"/>
      <c r="Q2" s="474"/>
      <c r="R2" s="474"/>
      <c r="S2" s="474"/>
      <c r="T2" s="474"/>
      <c r="U2" s="474"/>
      <c r="V2" s="474"/>
      <c r="W2" s="474"/>
    </row>
    <row r="3" spans="1:42" ht="18" customHeight="1">
      <c r="B3" s="1033">
        <f>AE23+X43+AE83+Y63+AG104+Y124+R143+S160+Q176</f>
        <v>0</v>
      </c>
      <c r="C3" s="736" t="s">
        <v>1516</v>
      </c>
      <c r="M3" s="475"/>
      <c r="O3" s="474"/>
      <c r="P3" s="474"/>
      <c r="Q3" s="474"/>
      <c r="R3" s="474"/>
      <c r="S3" s="474"/>
      <c r="T3" s="474"/>
      <c r="U3" s="474"/>
      <c r="V3" s="474"/>
      <c r="W3" s="474"/>
    </row>
    <row r="4" spans="1:42" ht="18" customHeight="1">
      <c r="B4" s="1033">
        <f>Summary!$G$122</f>
        <v>0</v>
      </c>
      <c r="C4" s="736" t="s">
        <v>1484</v>
      </c>
      <c r="M4" s="475"/>
      <c r="O4" s="474"/>
      <c r="P4" s="474"/>
      <c r="Q4" s="474"/>
      <c r="R4" s="474"/>
      <c r="S4" s="474"/>
      <c r="T4" s="474"/>
      <c r="U4" s="474"/>
      <c r="V4" s="474"/>
      <c r="W4" s="474"/>
    </row>
    <row r="5" spans="1:42" ht="83.25" customHeight="1">
      <c r="E5" s="475"/>
      <c r="F5" s="475"/>
      <c r="G5" s="475"/>
      <c r="H5" s="475"/>
      <c r="I5" s="475"/>
      <c r="J5" s="475"/>
      <c r="K5" s="475"/>
      <c r="L5" s="475"/>
      <c r="M5" s="475"/>
      <c r="N5" s="475"/>
      <c r="Q5" s="1263" t="str">
        <f>IF(Q8="","No Alert","Enter justification")</f>
        <v>No Alert</v>
      </c>
      <c r="R5" s="1263" t="str">
        <f t="shared" ref="R5:Y5" si="0">IF(R8="","No Alert","Enter justification")</f>
        <v>No Alert</v>
      </c>
      <c r="S5" s="1263" t="str">
        <f t="shared" si="0"/>
        <v>No Alert</v>
      </c>
      <c r="T5" s="1263" t="str">
        <f t="shared" si="0"/>
        <v>No Alert</v>
      </c>
      <c r="U5" s="1263" t="str">
        <f t="shared" si="0"/>
        <v>No Alert</v>
      </c>
      <c r="V5" s="1263" t="str">
        <f t="shared" si="0"/>
        <v>No Alert</v>
      </c>
      <c r="W5" s="1263" t="str">
        <f t="shared" si="0"/>
        <v>No Alert</v>
      </c>
      <c r="X5" s="1263" t="str">
        <f t="shared" si="0"/>
        <v>No Alert</v>
      </c>
      <c r="Y5" s="1263" t="str">
        <f t="shared" si="0"/>
        <v>No Alert</v>
      </c>
    </row>
    <row r="6" spans="1:42" ht="18" customHeight="1">
      <c r="B6" s="639"/>
      <c r="C6" s="639"/>
      <c r="D6" s="1179"/>
      <c r="H6" s="747"/>
      <c r="I6" s="747"/>
      <c r="J6" s="747"/>
      <c r="K6" s="747"/>
      <c r="L6" s="747"/>
      <c r="M6" s="747"/>
      <c r="P6" s="848" t="s">
        <v>1596</v>
      </c>
      <c r="Q6" s="828" t="str">
        <f>TOV!$C536</f>
        <v>#14.01</v>
      </c>
      <c r="R6" s="828" t="str">
        <f>TOV!$C537</f>
        <v>#14.02</v>
      </c>
      <c r="S6" s="828" t="str">
        <f>TOV!$C538</f>
        <v>#14.03</v>
      </c>
      <c r="T6" s="828" t="str">
        <f>TOV!$C539</f>
        <v>#14.04</v>
      </c>
      <c r="U6" s="828" t="str">
        <f>TOV!$C540</f>
        <v>#14.05</v>
      </c>
      <c r="V6" s="828" t="str">
        <f>TOV!$C541</f>
        <v>#14.06</v>
      </c>
      <c r="W6" s="828" t="str">
        <f>TOV!$C542</f>
        <v>#14.07</v>
      </c>
      <c r="X6" s="828" t="str">
        <f>TOV!$C543</f>
        <v>#14.08</v>
      </c>
    </row>
    <row r="7" spans="1:42" ht="18" customHeight="1">
      <c r="A7" s="1264"/>
      <c r="B7" s="1264"/>
      <c r="C7" s="1264"/>
      <c r="D7" s="1264"/>
      <c r="G7" s="747"/>
      <c r="H7" s="747"/>
      <c r="I7" s="747"/>
      <c r="J7" s="747"/>
      <c r="K7" s="747"/>
      <c r="L7" s="747"/>
      <c r="M7" s="747"/>
      <c r="P7" s="848" t="s">
        <v>35</v>
      </c>
      <c r="Q7" s="81">
        <f>VLOOKUP(Q6,TOV!$C$536:$G$585,4,FALSE)</f>
        <v>2300.398592849217</v>
      </c>
      <c r="R7" s="81">
        <f>VLOOKUP(R6,TOV!$C$536:$G$585,4,FALSE)</f>
        <v>1233.0732545349679</v>
      </c>
      <c r="S7" s="81">
        <f>VLOOKUP(S6,TOV!$C$536:$G$585,4,FALSE)</f>
        <v>1803.8145649227899</v>
      </c>
      <c r="T7" s="81">
        <f>VLOOKUP(T6,TOV!$C$536:$G$585,4,FALSE)</f>
        <v>2945.2971856984341</v>
      </c>
      <c r="U7" s="81">
        <f>VLOOKUP(U6,TOV!$C$536:$G$585,4,FALSE)</f>
        <v>28124.047294401727</v>
      </c>
      <c r="V7" s="81">
        <f>VLOOKUP(V6,TOV!$C$536:$G$585,4,FALSE)</f>
        <v>12040.517085721645</v>
      </c>
      <c r="W7" s="81">
        <f>VLOOKUP(W6,TOV!$C$536:$G$585,4,FALSE)</f>
        <v>495.00000000000006</v>
      </c>
      <c r="X7" s="81">
        <f>VLOOKUP(X6,TOV!$C$536:$G$585,4,FALSE)</f>
        <v>150</v>
      </c>
    </row>
    <row r="8" spans="1:42" ht="18" customHeight="1">
      <c r="B8" s="1264"/>
      <c r="C8" s="639"/>
      <c r="D8" s="1264"/>
      <c r="E8" s="1264"/>
      <c r="F8" s="1264"/>
      <c r="G8" s="1264"/>
      <c r="H8" s="1264"/>
      <c r="I8" s="747"/>
      <c r="J8" s="747"/>
      <c r="K8" s="747"/>
      <c r="L8" s="747"/>
      <c r="M8" s="747"/>
      <c r="P8" s="848" t="s">
        <v>2502</v>
      </c>
      <c r="Q8" s="291"/>
      <c r="R8" s="291"/>
      <c r="S8" s="291"/>
      <c r="T8" s="291"/>
      <c r="U8" s="291"/>
      <c r="V8" s="291"/>
      <c r="W8" s="291"/>
      <c r="X8" s="291"/>
      <c r="Y8" s="291"/>
      <c r="Z8" s="830" t="s">
        <v>2503</v>
      </c>
    </row>
    <row r="9" spans="1:42" ht="18" customHeight="1">
      <c r="C9" s="1038" t="s">
        <v>2504</v>
      </c>
      <c r="D9" s="1265"/>
      <c r="E9" s="475"/>
      <c r="F9" s="639"/>
      <c r="G9" s="639"/>
      <c r="H9" s="639"/>
      <c r="I9" s="639"/>
      <c r="J9" s="639"/>
      <c r="K9" s="639"/>
      <c r="L9" s="639"/>
      <c r="M9" s="639"/>
      <c r="N9" s="639"/>
      <c r="O9" s="639"/>
      <c r="P9" s="848" t="s">
        <v>1597</v>
      </c>
      <c r="Q9" s="82" t="str">
        <f>E11</f>
        <v>ha</v>
      </c>
      <c r="R9" s="82" t="str">
        <f t="shared" ref="R9:Y9" si="1">F11</f>
        <v>ha</v>
      </c>
      <c r="S9" s="82" t="str">
        <f t="shared" si="1"/>
        <v>ha</v>
      </c>
      <c r="T9" s="82" t="str">
        <f t="shared" si="1"/>
        <v>ha</v>
      </c>
      <c r="U9" s="82" t="str">
        <f t="shared" si="1"/>
        <v>ha</v>
      </c>
      <c r="V9" s="82" t="str">
        <f t="shared" si="1"/>
        <v>ha</v>
      </c>
      <c r="W9" s="82" t="str">
        <f t="shared" si="1"/>
        <v>ha</v>
      </c>
      <c r="X9" s="82" t="str">
        <f t="shared" si="1"/>
        <v>ha</v>
      </c>
      <c r="Y9" s="82" t="str">
        <f t="shared" si="1"/>
        <v>Enter Unit</v>
      </c>
      <c r="AD9" s="639"/>
      <c r="AE9" s="639"/>
      <c r="AF9" s="639"/>
      <c r="AG9" s="434"/>
      <c r="AH9" s="434"/>
      <c r="AI9" s="434"/>
      <c r="AJ9" s="434"/>
      <c r="AK9" s="434"/>
      <c r="AL9" s="434"/>
      <c r="AM9" s="434"/>
      <c r="AN9" s="434"/>
      <c r="AO9" s="434"/>
      <c r="AP9" s="434"/>
    </row>
    <row r="10" spans="1:42" ht="113.65" customHeight="1">
      <c r="B10" s="773" t="s">
        <v>1517</v>
      </c>
      <c r="C10" s="773" t="s">
        <v>27</v>
      </c>
      <c r="D10" s="773" t="s">
        <v>2456</v>
      </c>
      <c r="E10" s="773" t="str">
        <f>VLOOKUP(Q6,TOV!$C$536:$G$585,3,FALSE)</f>
        <v>Maintenance of rehabilitated areas</v>
      </c>
      <c r="F10" s="773" t="str">
        <f>VLOOKUP(R6,TOV!$C$536:$G$585,3,FALSE)</f>
        <v>Existing rehabilitation repair - minor</v>
      </c>
      <c r="G10" s="773" t="str">
        <f>VLOOKUP(S6,TOV!$C$536:$G$585,3,FALSE)</f>
        <v>Existing rehabilitation repair - moderate</v>
      </c>
      <c r="H10" s="773" t="str">
        <f>VLOOKUP(T6,TOV!$C$536:$G$585,3,FALSE)</f>
        <v>Existing rehabilitation repair - major</v>
      </c>
      <c r="I10" s="773" t="str">
        <f>VLOOKUP(U6,TOV!$C$536:$G$585,3,FALSE)</f>
        <v>Existing rehabilitation repair - total failure of intended landform</v>
      </c>
      <c r="J10" s="773" t="str">
        <f>VLOOKUP(V6,TOV!$C$536:$G$585,3,FALSE)</f>
        <v>Rehabilitation of miscellaneous footprints</v>
      </c>
      <c r="K10" s="773" t="str">
        <f>VLOOKUP(W6,TOV!$C$536:$G$585,3,FALSE)</f>
        <v xml:space="preserve">Land management of undisturbed areas (e.g., weed management, feral animal control, erosion and sediment control works)
</v>
      </c>
      <c r="L10" s="773" t="str">
        <f>VLOOKUP(X6,TOV!$C$536:$G$585,3,FALSE)</f>
        <v>Pest management on buffer lands, non-disturbed, and rehabilitated areas</v>
      </c>
      <c r="M10" s="773" t="s">
        <v>2505</v>
      </c>
      <c r="N10" s="812" t="s">
        <v>2506</v>
      </c>
      <c r="O10" s="822"/>
      <c r="P10" s="823"/>
      <c r="Q10" s="773" t="str">
        <f>CONCATENATE(E10," ($)")</f>
        <v>Maintenance of rehabilitated areas ($)</v>
      </c>
      <c r="R10" s="773" t="str">
        <f>CONCATENATE(F10," ($)")</f>
        <v>Existing rehabilitation repair - minor ($)</v>
      </c>
      <c r="S10" s="773" t="str">
        <f t="shared" ref="S10:Y10" si="2">CONCATENATE(G10," ($)")</f>
        <v>Existing rehabilitation repair - moderate ($)</v>
      </c>
      <c r="T10" s="773" t="str">
        <f t="shared" si="2"/>
        <v>Existing rehabilitation repair - major ($)</v>
      </c>
      <c r="U10" s="773" t="str">
        <f t="shared" si="2"/>
        <v>Existing rehabilitation repair - total failure of intended landform ($)</v>
      </c>
      <c r="V10" s="773" t="str">
        <f t="shared" si="2"/>
        <v>Rehabilitation of miscellaneous footprints ($)</v>
      </c>
      <c r="W10" s="773" t="str">
        <f t="shared" si="2"/>
        <v>Land management of undisturbed areas (e.g., weed management, feral animal control, erosion and sediment control works)
 ($)</v>
      </c>
      <c r="X10" s="773" t="str">
        <f t="shared" si="2"/>
        <v>Pest management on buffer lands, non-disturbed, and rehabilitated areas ($)</v>
      </c>
      <c r="Y10" s="773" t="str">
        <f t="shared" si="2"/>
        <v>Subsidence in Third-Party Land* ($)</v>
      </c>
      <c r="Z10" s="773" t="s">
        <v>2507</v>
      </c>
      <c r="AA10" s="773" t="s">
        <v>2507</v>
      </c>
      <c r="AB10" s="773" t="s">
        <v>2508</v>
      </c>
      <c r="AC10" s="775" t="s">
        <v>83</v>
      </c>
      <c r="AD10" s="773" t="s">
        <v>2509</v>
      </c>
      <c r="AE10" s="775" t="s">
        <v>2466</v>
      </c>
      <c r="AF10" s="776" t="s">
        <v>1526</v>
      </c>
      <c r="AG10" s="777"/>
      <c r="AH10" s="777"/>
      <c r="AI10" s="777"/>
      <c r="AJ10" s="777"/>
      <c r="AK10" s="777"/>
      <c r="AL10" s="777"/>
      <c r="AM10" s="778"/>
      <c r="AN10" s="434"/>
      <c r="AO10" s="434"/>
      <c r="AP10" s="434"/>
    </row>
    <row r="11" spans="1:42" ht="18" customHeight="1">
      <c r="E11" s="82" t="str">
        <f>VLOOKUP(Q6,TOV!$C$536:$G$585,5,FALSE)</f>
        <v>ha</v>
      </c>
      <c r="F11" s="82" t="str">
        <f>VLOOKUP(R6,TOV!$C$536:$G$585,5,FALSE)</f>
        <v>ha</v>
      </c>
      <c r="G11" s="82" t="str">
        <f>VLOOKUP(S6,TOV!$C$536:$G$585,5,FALSE)</f>
        <v>ha</v>
      </c>
      <c r="H11" s="82" t="str">
        <f>VLOOKUP(T6,TOV!$C$536:$G$585,5,FALSE)</f>
        <v>ha</v>
      </c>
      <c r="I11" s="82" t="str">
        <f>VLOOKUP(U6,TOV!$C$536:$G$585,5,FALSE)</f>
        <v>ha</v>
      </c>
      <c r="J11" s="82" t="str">
        <f>VLOOKUP(V6,TOV!$C$536:$G$585,5,FALSE)</f>
        <v>ha</v>
      </c>
      <c r="K11" s="82" t="str">
        <f>VLOOKUP(W6,TOV!$C$536:$G$585,5,FALSE)</f>
        <v>ha</v>
      </c>
      <c r="L11" s="82" t="str">
        <f>VLOOKUP(X6,TOV!$C$536:$G$585,5,FALSE)</f>
        <v>ha</v>
      </c>
      <c r="M11" s="1057" t="s">
        <v>1865</v>
      </c>
      <c r="N11" s="475"/>
      <c r="Z11" s="1282"/>
      <c r="AA11" s="1282"/>
      <c r="AB11" s="1282"/>
      <c r="AC11" s="520"/>
      <c r="AD11" s="520"/>
      <c r="AE11" s="520"/>
      <c r="AF11" s="474"/>
      <c r="AG11" s="474"/>
      <c r="AH11" s="474"/>
      <c r="AI11" s="474"/>
      <c r="AJ11" s="474"/>
      <c r="AK11" s="474"/>
      <c r="AL11" s="474"/>
      <c r="AM11" s="474"/>
      <c r="AN11" s="434"/>
      <c r="AO11" s="434"/>
      <c r="AP11" s="434"/>
    </row>
    <row r="12" spans="1:42" s="520" customFormat="1" ht="15">
      <c r="B12" s="301"/>
      <c r="C12" s="989">
        <v>1</v>
      </c>
      <c r="D12" s="168"/>
      <c r="E12" s="316"/>
      <c r="F12" s="316"/>
      <c r="G12" s="316"/>
      <c r="H12" s="316"/>
      <c r="I12" s="316"/>
      <c r="J12" s="316"/>
      <c r="K12" s="316"/>
      <c r="L12" s="316"/>
      <c r="M12" s="316"/>
      <c r="N12" s="20"/>
      <c r="O12" s="21"/>
      <c r="P12" s="19"/>
      <c r="Q12" s="227">
        <f t="shared" ref="Q12:X12" si="3">E12*IF(Q$8="",Q$7,Q$8)</f>
        <v>0</v>
      </c>
      <c r="R12" s="227">
        <f t="shared" si="3"/>
        <v>0</v>
      </c>
      <c r="S12" s="227">
        <f t="shared" si="3"/>
        <v>0</v>
      </c>
      <c r="T12" s="227">
        <f t="shared" si="3"/>
        <v>0</v>
      </c>
      <c r="U12" s="227">
        <f t="shared" si="3"/>
        <v>0</v>
      </c>
      <c r="V12" s="227">
        <f t="shared" si="3"/>
        <v>0</v>
      </c>
      <c r="W12" s="227">
        <f t="shared" si="3"/>
        <v>0</v>
      </c>
      <c r="X12" s="227">
        <f t="shared" si="3"/>
        <v>0</v>
      </c>
      <c r="Y12" s="227">
        <f>IF(M12="",0,M12*Y$8)</f>
        <v>0</v>
      </c>
      <c r="Z12" s="1283"/>
      <c r="AA12" s="1283"/>
      <c r="AB12" s="1283"/>
      <c r="AC12" s="122">
        <f>SUM(Q12:AB12)</f>
        <v>0</v>
      </c>
      <c r="AD12" s="291"/>
      <c r="AE12" s="122">
        <f>IF(AD12="",AC12,AD12)</f>
        <v>0</v>
      </c>
      <c r="AF12" s="215"/>
      <c r="AG12" s="217"/>
      <c r="AH12" s="217"/>
      <c r="AI12" s="217"/>
      <c r="AJ12" s="217"/>
      <c r="AK12" s="217"/>
      <c r="AL12" s="217"/>
      <c r="AM12" s="218"/>
      <c r="AN12" s="434"/>
      <c r="AO12" s="434"/>
      <c r="AP12" s="434"/>
    </row>
    <row r="13" spans="1:42" s="520" customFormat="1" ht="15">
      <c r="B13" s="301"/>
      <c r="C13" s="1266">
        <f t="shared" ref="C13" si="4">C12+1</f>
        <v>2</v>
      </c>
      <c r="D13" s="168"/>
      <c r="E13" s="316"/>
      <c r="F13" s="316"/>
      <c r="G13" s="316"/>
      <c r="H13" s="316"/>
      <c r="I13" s="316"/>
      <c r="J13" s="316"/>
      <c r="K13" s="316"/>
      <c r="L13" s="316"/>
      <c r="M13" s="316"/>
      <c r="N13" s="20"/>
      <c r="O13" s="21"/>
      <c r="P13" s="19"/>
      <c r="Q13" s="227">
        <f t="shared" ref="Q13:Q21" si="5">E13*IF(Q$8="",Q$7,Q$8)</f>
        <v>0</v>
      </c>
      <c r="R13" s="227">
        <f t="shared" ref="R13:X21" si="6">F13*IF(R$8="",R$7,R$8)</f>
        <v>0</v>
      </c>
      <c r="S13" s="227">
        <f t="shared" si="6"/>
        <v>0</v>
      </c>
      <c r="T13" s="227">
        <f t="shared" si="6"/>
        <v>0</v>
      </c>
      <c r="U13" s="227">
        <f t="shared" si="6"/>
        <v>0</v>
      </c>
      <c r="V13" s="227">
        <f t="shared" si="6"/>
        <v>0</v>
      </c>
      <c r="W13" s="227">
        <f t="shared" si="6"/>
        <v>0</v>
      </c>
      <c r="X13" s="227">
        <f t="shared" si="6"/>
        <v>0</v>
      </c>
      <c r="Y13" s="227">
        <f t="shared" ref="Y13:Y21" si="7">IF(M13="",0,M13*Y$8)</f>
        <v>0</v>
      </c>
      <c r="Z13" s="1262"/>
      <c r="AA13" s="1262"/>
      <c r="AB13" s="1262"/>
      <c r="AC13" s="122">
        <f t="shared" ref="AC13:AC21" si="8">SUM(Q13:AB13)</f>
        <v>0</v>
      </c>
      <c r="AD13" s="291"/>
      <c r="AE13" s="122">
        <f t="shared" ref="AE13:AE21" si="9">IF(AD13="",AC13,AD13)</f>
        <v>0</v>
      </c>
      <c r="AF13" s="215"/>
      <c r="AG13" s="217"/>
      <c r="AH13" s="217"/>
      <c r="AI13" s="217"/>
      <c r="AJ13" s="217"/>
      <c r="AK13" s="217"/>
      <c r="AL13" s="217"/>
      <c r="AM13" s="218"/>
      <c r="AN13" s="434"/>
      <c r="AO13" s="434"/>
      <c r="AP13" s="434"/>
    </row>
    <row r="14" spans="1:42" s="520" customFormat="1" ht="15">
      <c r="B14" s="301"/>
      <c r="C14" s="1266">
        <f t="shared" ref="C14:C21" si="10">C13+1</f>
        <v>3</v>
      </c>
      <c r="D14" s="168"/>
      <c r="E14" s="316"/>
      <c r="F14" s="316"/>
      <c r="G14" s="316"/>
      <c r="H14" s="316"/>
      <c r="I14" s="316"/>
      <c r="J14" s="316"/>
      <c r="K14" s="316"/>
      <c r="L14" s="316"/>
      <c r="M14" s="316"/>
      <c r="N14" s="20"/>
      <c r="O14" s="21"/>
      <c r="P14" s="19"/>
      <c r="Q14" s="227">
        <f t="shared" si="5"/>
        <v>0</v>
      </c>
      <c r="R14" s="227">
        <f t="shared" si="6"/>
        <v>0</v>
      </c>
      <c r="S14" s="227">
        <f t="shared" si="6"/>
        <v>0</v>
      </c>
      <c r="T14" s="227">
        <f t="shared" si="6"/>
        <v>0</v>
      </c>
      <c r="U14" s="227">
        <f t="shared" si="6"/>
        <v>0</v>
      </c>
      <c r="V14" s="227">
        <f t="shared" si="6"/>
        <v>0</v>
      </c>
      <c r="W14" s="227">
        <f t="shared" si="6"/>
        <v>0</v>
      </c>
      <c r="X14" s="227">
        <f t="shared" si="6"/>
        <v>0</v>
      </c>
      <c r="Y14" s="227">
        <f t="shared" si="7"/>
        <v>0</v>
      </c>
      <c r="Z14" s="1262"/>
      <c r="AA14" s="1262"/>
      <c r="AB14" s="1262"/>
      <c r="AC14" s="122">
        <f t="shared" si="8"/>
        <v>0</v>
      </c>
      <c r="AD14" s="291"/>
      <c r="AE14" s="122">
        <f t="shared" si="9"/>
        <v>0</v>
      </c>
      <c r="AF14" s="215"/>
      <c r="AG14" s="217"/>
      <c r="AH14" s="217"/>
      <c r="AI14" s="217"/>
      <c r="AJ14" s="217"/>
      <c r="AK14" s="217"/>
      <c r="AL14" s="217"/>
      <c r="AM14" s="218"/>
      <c r="AN14" s="434"/>
      <c r="AO14" s="434"/>
      <c r="AP14" s="434"/>
    </row>
    <row r="15" spans="1:42" s="520" customFormat="1" ht="15">
      <c r="B15" s="301"/>
      <c r="C15" s="1266">
        <f t="shared" si="10"/>
        <v>4</v>
      </c>
      <c r="D15" s="168"/>
      <c r="E15" s="316"/>
      <c r="F15" s="316"/>
      <c r="G15" s="316"/>
      <c r="H15" s="316"/>
      <c r="I15" s="316"/>
      <c r="J15" s="316"/>
      <c r="K15" s="316"/>
      <c r="L15" s="316"/>
      <c r="M15" s="316"/>
      <c r="N15" s="20"/>
      <c r="O15" s="21"/>
      <c r="P15" s="19"/>
      <c r="Q15" s="227">
        <f t="shared" si="5"/>
        <v>0</v>
      </c>
      <c r="R15" s="227">
        <f t="shared" si="6"/>
        <v>0</v>
      </c>
      <c r="S15" s="227">
        <f t="shared" si="6"/>
        <v>0</v>
      </c>
      <c r="T15" s="227">
        <f t="shared" si="6"/>
        <v>0</v>
      </c>
      <c r="U15" s="227">
        <f t="shared" si="6"/>
        <v>0</v>
      </c>
      <c r="V15" s="227">
        <f t="shared" si="6"/>
        <v>0</v>
      </c>
      <c r="W15" s="227">
        <f t="shared" si="6"/>
        <v>0</v>
      </c>
      <c r="X15" s="227">
        <f t="shared" si="6"/>
        <v>0</v>
      </c>
      <c r="Y15" s="227">
        <f t="shared" si="7"/>
        <v>0</v>
      </c>
      <c r="Z15" s="1262"/>
      <c r="AA15" s="1262"/>
      <c r="AB15" s="1262"/>
      <c r="AC15" s="122">
        <f t="shared" si="8"/>
        <v>0</v>
      </c>
      <c r="AD15" s="291"/>
      <c r="AE15" s="122">
        <f t="shared" si="9"/>
        <v>0</v>
      </c>
      <c r="AF15" s="215"/>
      <c r="AG15" s="217"/>
      <c r="AH15" s="217"/>
      <c r="AI15" s="217"/>
      <c r="AJ15" s="217"/>
      <c r="AK15" s="217"/>
      <c r="AL15" s="217"/>
      <c r="AM15" s="218"/>
      <c r="AN15" s="434"/>
      <c r="AO15" s="434"/>
      <c r="AP15" s="434"/>
    </row>
    <row r="16" spans="1:42" s="520" customFormat="1" ht="15">
      <c r="B16" s="301"/>
      <c r="C16" s="1266">
        <f t="shared" si="10"/>
        <v>5</v>
      </c>
      <c r="D16" s="168"/>
      <c r="E16" s="316"/>
      <c r="F16" s="316"/>
      <c r="G16" s="316"/>
      <c r="H16" s="316"/>
      <c r="I16" s="316"/>
      <c r="J16" s="316"/>
      <c r="K16" s="316"/>
      <c r="L16" s="316"/>
      <c r="M16" s="316"/>
      <c r="N16" s="20"/>
      <c r="O16" s="21"/>
      <c r="P16" s="19"/>
      <c r="Q16" s="227">
        <f t="shared" si="5"/>
        <v>0</v>
      </c>
      <c r="R16" s="227">
        <f t="shared" si="6"/>
        <v>0</v>
      </c>
      <c r="S16" s="227">
        <f t="shared" si="6"/>
        <v>0</v>
      </c>
      <c r="T16" s="227">
        <f t="shared" si="6"/>
        <v>0</v>
      </c>
      <c r="U16" s="227">
        <f t="shared" si="6"/>
        <v>0</v>
      </c>
      <c r="V16" s="227">
        <f t="shared" si="6"/>
        <v>0</v>
      </c>
      <c r="W16" s="227">
        <f t="shared" si="6"/>
        <v>0</v>
      </c>
      <c r="X16" s="227">
        <f t="shared" si="6"/>
        <v>0</v>
      </c>
      <c r="Y16" s="227">
        <f t="shared" si="7"/>
        <v>0</v>
      </c>
      <c r="Z16" s="1262"/>
      <c r="AA16" s="1262"/>
      <c r="AB16" s="1262"/>
      <c r="AC16" s="122">
        <f t="shared" si="8"/>
        <v>0</v>
      </c>
      <c r="AD16" s="291"/>
      <c r="AE16" s="122">
        <f t="shared" si="9"/>
        <v>0</v>
      </c>
      <c r="AF16" s="215"/>
      <c r="AG16" s="217"/>
      <c r="AH16" s="217"/>
      <c r="AI16" s="217"/>
      <c r="AJ16" s="217"/>
      <c r="AK16" s="217"/>
      <c r="AL16" s="217"/>
      <c r="AM16" s="218"/>
      <c r="AN16" s="434"/>
      <c r="AO16" s="434"/>
      <c r="AP16" s="434"/>
    </row>
    <row r="17" spans="2:42" s="520" customFormat="1" ht="15">
      <c r="B17" s="301"/>
      <c r="C17" s="1266">
        <f t="shared" si="10"/>
        <v>6</v>
      </c>
      <c r="D17" s="168"/>
      <c r="E17" s="316"/>
      <c r="F17" s="316"/>
      <c r="G17" s="316"/>
      <c r="H17" s="316"/>
      <c r="I17" s="316"/>
      <c r="J17" s="316"/>
      <c r="K17" s="316"/>
      <c r="L17" s="316"/>
      <c r="M17" s="316"/>
      <c r="N17" s="20"/>
      <c r="O17" s="21"/>
      <c r="P17" s="19"/>
      <c r="Q17" s="227">
        <f t="shared" si="5"/>
        <v>0</v>
      </c>
      <c r="R17" s="227">
        <f t="shared" si="6"/>
        <v>0</v>
      </c>
      <c r="S17" s="227">
        <f t="shared" si="6"/>
        <v>0</v>
      </c>
      <c r="T17" s="227">
        <f t="shared" si="6"/>
        <v>0</v>
      </c>
      <c r="U17" s="227">
        <f t="shared" si="6"/>
        <v>0</v>
      </c>
      <c r="V17" s="227">
        <f t="shared" si="6"/>
        <v>0</v>
      </c>
      <c r="W17" s="227">
        <f t="shared" si="6"/>
        <v>0</v>
      </c>
      <c r="X17" s="227">
        <f t="shared" si="6"/>
        <v>0</v>
      </c>
      <c r="Y17" s="227">
        <f t="shared" si="7"/>
        <v>0</v>
      </c>
      <c r="Z17" s="1262"/>
      <c r="AA17" s="1262"/>
      <c r="AB17" s="1262"/>
      <c r="AC17" s="122">
        <f t="shared" si="8"/>
        <v>0</v>
      </c>
      <c r="AD17" s="291"/>
      <c r="AE17" s="122">
        <f t="shared" si="9"/>
        <v>0</v>
      </c>
      <c r="AF17" s="215"/>
      <c r="AG17" s="217"/>
      <c r="AH17" s="217"/>
      <c r="AI17" s="217"/>
      <c r="AJ17" s="217"/>
      <c r="AK17" s="217"/>
      <c r="AL17" s="217"/>
      <c r="AM17" s="218"/>
      <c r="AN17" s="434"/>
      <c r="AO17" s="434"/>
      <c r="AP17" s="434"/>
    </row>
    <row r="18" spans="2:42" s="520" customFormat="1" ht="15">
      <c r="B18" s="301"/>
      <c r="C18" s="1266">
        <f t="shared" si="10"/>
        <v>7</v>
      </c>
      <c r="D18" s="168"/>
      <c r="E18" s="316"/>
      <c r="F18" s="316"/>
      <c r="G18" s="316"/>
      <c r="H18" s="316"/>
      <c r="I18" s="316"/>
      <c r="J18" s="316"/>
      <c r="K18" s="316"/>
      <c r="L18" s="316"/>
      <c r="M18" s="316"/>
      <c r="N18" s="20"/>
      <c r="O18" s="21"/>
      <c r="P18" s="19"/>
      <c r="Q18" s="227">
        <f t="shared" si="5"/>
        <v>0</v>
      </c>
      <c r="R18" s="227">
        <f t="shared" si="6"/>
        <v>0</v>
      </c>
      <c r="S18" s="227">
        <f t="shared" si="6"/>
        <v>0</v>
      </c>
      <c r="T18" s="227">
        <f t="shared" si="6"/>
        <v>0</v>
      </c>
      <c r="U18" s="227">
        <f t="shared" si="6"/>
        <v>0</v>
      </c>
      <c r="V18" s="227">
        <f t="shared" si="6"/>
        <v>0</v>
      </c>
      <c r="W18" s="227">
        <f t="shared" si="6"/>
        <v>0</v>
      </c>
      <c r="X18" s="227">
        <f t="shared" si="6"/>
        <v>0</v>
      </c>
      <c r="Y18" s="227">
        <f t="shared" si="7"/>
        <v>0</v>
      </c>
      <c r="Z18" s="1262"/>
      <c r="AA18" s="1262"/>
      <c r="AB18" s="1262"/>
      <c r="AC18" s="122">
        <f t="shared" si="8"/>
        <v>0</v>
      </c>
      <c r="AD18" s="291"/>
      <c r="AE18" s="122">
        <f t="shared" si="9"/>
        <v>0</v>
      </c>
      <c r="AF18" s="215"/>
      <c r="AG18" s="217"/>
      <c r="AH18" s="217"/>
      <c r="AI18" s="217"/>
      <c r="AJ18" s="217"/>
      <c r="AK18" s="217"/>
      <c r="AL18" s="217"/>
      <c r="AM18" s="218"/>
      <c r="AN18" s="434"/>
      <c r="AO18" s="434"/>
      <c r="AP18" s="434"/>
    </row>
    <row r="19" spans="2:42" s="520" customFormat="1" ht="15">
      <c r="B19" s="301"/>
      <c r="C19" s="1266">
        <f t="shared" si="10"/>
        <v>8</v>
      </c>
      <c r="D19" s="168"/>
      <c r="E19" s="316"/>
      <c r="F19" s="316"/>
      <c r="G19" s="316"/>
      <c r="H19" s="316"/>
      <c r="I19" s="316"/>
      <c r="J19" s="316"/>
      <c r="K19" s="316"/>
      <c r="L19" s="316"/>
      <c r="M19" s="316"/>
      <c r="N19" s="20"/>
      <c r="O19" s="21"/>
      <c r="P19" s="19"/>
      <c r="Q19" s="227">
        <f t="shared" si="5"/>
        <v>0</v>
      </c>
      <c r="R19" s="227">
        <f t="shared" si="6"/>
        <v>0</v>
      </c>
      <c r="S19" s="227">
        <f t="shared" si="6"/>
        <v>0</v>
      </c>
      <c r="T19" s="227">
        <f t="shared" si="6"/>
        <v>0</v>
      </c>
      <c r="U19" s="227">
        <f t="shared" si="6"/>
        <v>0</v>
      </c>
      <c r="V19" s="227">
        <f t="shared" si="6"/>
        <v>0</v>
      </c>
      <c r="W19" s="227">
        <f t="shared" si="6"/>
        <v>0</v>
      </c>
      <c r="X19" s="227">
        <f t="shared" si="6"/>
        <v>0</v>
      </c>
      <c r="Y19" s="227">
        <f t="shared" si="7"/>
        <v>0</v>
      </c>
      <c r="Z19" s="1262"/>
      <c r="AA19" s="1262"/>
      <c r="AB19" s="1262"/>
      <c r="AC19" s="122">
        <f t="shared" si="8"/>
        <v>0</v>
      </c>
      <c r="AD19" s="291"/>
      <c r="AE19" s="122">
        <f t="shared" si="9"/>
        <v>0</v>
      </c>
      <c r="AF19" s="215"/>
      <c r="AG19" s="217"/>
      <c r="AH19" s="217"/>
      <c r="AI19" s="217"/>
      <c r="AJ19" s="217"/>
      <c r="AK19" s="217"/>
      <c r="AL19" s="217"/>
      <c r="AM19" s="218"/>
      <c r="AN19" s="434"/>
      <c r="AO19" s="434"/>
      <c r="AP19" s="434"/>
    </row>
    <row r="20" spans="2:42" s="520" customFormat="1" ht="15">
      <c r="B20" s="301"/>
      <c r="C20" s="1266">
        <f t="shared" si="10"/>
        <v>9</v>
      </c>
      <c r="D20" s="168"/>
      <c r="E20" s="316"/>
      <c r="F20" s="316"/>
      <c r="G20" s="316"/>
      <c r="H20" s="316"/>
      <c r="I20" s="316"/>
      <c r="J20" s="316"/>
      <c r="K20" s="316"/>
      <c r="L20" s="316"/>
      <c r="M20" s="316"/>
      <c r="N20" s="20"/>
      <c r="O20" s="21"/>
      <c r="P20" s="19"/>
      <c r="Q20" s="227">
        <f t="shared" si="5"/>
        <v>0</v>
      </c>
      <c r="R20" s="227">
        <f t="shared" si="6"/>
        <v>0</v>
      </c>
      <c r="S20" s="227">
        <f t="shared" si="6"/>
        <v>0</v>
      </c>
      <c r="T20" s="227">
        <f t="shared" si="6"/>
        <v>0</v>
      </c>
      <c r="U20" s="227">
        <f t="shared" si="6"/>
        <v>0</v>
      </c>
      <c r="V20" s="227">
        <f t="shared" si="6"/>
        <v>0</v>
      </c>
      <c r="W20" s="227">
        <f t="shared" si="6"/>
        <v>0</v>
      </c>
      <c r="X20" s="227">
        <f t="shared" si="6"/>
        <v>0</v>
      </c>
      <c r="Y20" s="227">
        <f t="shared" si="7"/>
        <v>0</v>
      </c>
      <c r="Z20" s="1262"/>
      <c r="AA20" s="1262"/>
      <c r="AB20" s="1262"/>
      <c r="AC20" s="122">
        <f t="shared" si="8"/>
        <v>0</v>
      </c>
      <c r="AD20" s="291"/>
      <c r="AE20" s="122">
        <f t="shared" si="9"/>
        <v>0</v>
      </c>
      <c r="AF20" s="215"/>
      <c r="AG20" s="217"/>
      <c r="AH20" s="217"/>
      <c r="AI20" s="217"/>
      <c r="AJ20" s="217"/>
      <c r="AK20" s="217"/>
      <c r="AL20" s="217"/>
      <c r="AM20" s="218"/>
      <c r="AN20" s="434"/>
      <c r="AO20" s="434"/>
      <c r="AP20" s="434"/>
    </row>
    <row r="21" spans="2:42" s="520" customFormat="1" ht="15">
      <c r="B21" s="301"/>
      <c r="C21" s="1266">
        <f t="shared" si="10"/>
        <v>10</v>
      </c>
      <c r="D21" s="168"/>
      <c r="E21" s="316"/>
      <c r="F21" s="316"/>
      <c r="G21" s="316"/>
      <c r="H21" s="316"/>
      <c r="I21" s="316"/>
      <c r="J21" s="316"/>
      <c r="K21" s="316"/>
      <c r="L21" s="316"/>
      <c r="M21" s="316"/>
      <c r="N21" s="20"/>
      <c r="O21" s="21"/>
      <c r="P21" s="19"/>
      <c r="Q21" s="227">
        <f t="shared" si="5"/>
        <v>0</v>
      </c>
      <c r="R21" s="227">
        <f t="shared" si="6"/>
        <v>0</v>
      </c>
      <c r="S21" s="227">
        <f t="shared" si="6"/>
        <v>0</v>
      </c>
      <c r="T21" s="227">
        <f t="shared" si="6"/>
        <v>0</v>
      </c>
      <c r="U21" s="227">
        <f t="shared" si="6"/>
        <v>0</v>
      </c>
      <c r="V21" s="227">
        <f t="shared" si="6"/>
        <v>0</v>
      </c>
      <c r="W21" s="227">
        <f t="shared" si="6"/>
        <v>0</v>
      </c>
      <c r="X21" s="227">
        <f t="shared" si="6"/>
        <v>0</v>
      </c>
      <c r="Y21" s="227">
        <f t="shared" si="7"/>
        <v>0</v>
      </c>
      <c r="Z21" s="1262"/>
      <c r="AA21" s="1262"/>
      <c r="AB21" s="1262"/>
      <c r="AC21" s="122">
        <f t="shared" si="8"/>
        <v>0</v>
      </c>
      <c r="AD21" s="291"/>
      <c r="AE21" s="122">
        <f t="shared" si="9"/>
        <v>0</v>
      </c>
      <c r="AF21" s="215"/>
      <c r="AG21" s="217"/>
      <c r="AH21" s="217"/>
      <c r="AI21" s="217"/>
      <c r="AJ21" s="217"/>
      <c r="AK21" s="217"/>
      <c r="AL21" s="217"/>
      <c r="AM21" s="218"/>
      <c r="AN21" s="434"/>
      <c r="AO21" s="434"/>
      <c r="AP21" s="434"/>
    </row>
    <row r="22" spans="2:42" ht="18" customHeight="1">
      <c r="E22" s="869"/>
      <c r="F22" s="869"/>
      <c r="G22" s="869"/>
      <c r="H22" s="869"/>
      <c r="I22" s="869"/>
      <c r="J22" s="869"/>
      <c r="K22" s="869"/>
      <c r="L22" s="869"/>
      <c r="M22" s="869"/>
      <c r="N22" s="475"/>
      <c r="Q22" s="1105"/>
      <c r="R22" s="1105"/>
      <c r="S22" s="1105"/>
      <c r="T22" s="1105"/>
      <c r="U22" s="1105"/>
      <c r="V22" s="1105"/>
      <c r="W22" s="1105"/>
      <c r="X22" s="1105"/>
      <c r="Y22" s="1105"/>
      <c r="AC22" s="872"/>
      <c r="AD22" s="872"/>
      <c r="AE22" s="872"/>
      <c r="AG22" s="434"/>
      <c r="AH22" s="434"/>
      <c r="AI22" s="434"/>
      <c r="AJ22" s="434"/>
      <c r="AK22" s="434"/>
      <c r="AL22" s="434"/>
      <c r="AM22" s="434"/>
      <c r="AN22" s="434"/>
      <c r="AO22" s="434"/>
      <c r="AP22" s="434"/>
    </row>
    <row r="23" spans="2:42" ht="18" customHeight="1">
      <c r="B23" s="1162"/>
      <c r="C23" s="1162"/>
      <c r="D23" s="1267" t="s">
        <v>2467</v>
      </c>
      <c r="E23" s="372">
        <f>SUM(E11:E22)</f>
        <v>0</v>
      </c>
      <c r="F23" s="372">
        <f t="shared" ref="F23:M23" si="11">SUM(F11:F22)</f>
        <v>0</v>
      </c>
      <c r="G23" s="372">
        <f t="shared" si="11"/>
        <v>0</v>
      </c>
      <c r="H23" s="372">
        <f t="shared" si="11"/>
        <v>0</v>
      </c>
      <c r="I23" s="372">
        <f t="shared" si="11"/>
        <v>0</v>
      </c>
      <c r="J23" s="372">
        <f t="shared" si="11"/>
        <v>0</v>
      </c>
      <c r="K23" s="372">
        <f t="shared" si="11"/>
        <v>0</v>
      </c>
      <c r="L23" s="372">
        <f t="shared" si="11"/>
        <v>0</v>
      </c>
      <c r="M23" s="372">
        <f t="shared" si="11"/>
        <v>0</v>
      </c>
      <c r="N23" s="475"/>
      <c r="Q23" s="227">
        <f>SUM(Q11:Q22)</f>
        <v>0</v>
      </c>
      <c r="R23" s="227">
        <f t="shared" ref="R23:AD23" si="12">SUM(R11:R22)</f>
        <v>0</v>
      </c>
      <c r="S23" s="227">
        <f t="shared" si="12"/>
        <v>0</v>
      </c>
      <c r="T23" s="227">
        <f t="shared" si="12"/>
        <v>0</v>
      </c>
      <c r="U23" s="227">
        <f t="shared" si="12"/>
        <v>0</v>
      </c>
      <c r="V23" s="227">
        <f t="shared" si="12"/>
        <v>0</v>
      </c>
      <c r="W23" s="227">
        <f t="shared" si="12"/>
        <v>0</v>
      </c>
      <c r="X23" s="227">
        <f t="shared" si="12"/>
        <v>0</v>
      </c>
      <c r="Y23" s="227">
        <f t="shared" si="12"/>
        <v>0</v>
      </c>
      <c r="Z23" s="227">
        <f t="shared" si="12"/>
        <v>0</v>
      </c>
      <c r="AA23" s="227">
        <f t="shared" si="12"/>
        <v>0</v>
      </c>
      <c r="AB23" s="227">
        <f t="shared" si="12"/>
        <v>0</v>
      </c>
      <c r="AC23" s="1248">
        <f>SUM(AC11:AC22)</f>
        <v>0</v>
      </c>
      <c r="AD23" s="1268">
        <f t="shared" si="12"/>
        <v>0</v>
      </c>
      <c r="AE23" s="1248">
        <f t="shared" ref="AE23" si="13">SUM(AE11:AE22)</f>
        <v>0</v>
      </c>
      <c r="AF23" s="904">
        <f>IF(SUM(E23:P23)=0,0,AE23/SUM(E23:P23))</f>
        <v>0</v>
      </c>
    </row>
    <row r="24" spans="2:42" ht="18" customHeight="1">
      <c r="B24" s="1162"/>
      <c r="C24" s="1162"/>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row>
    <row r="25" spans="2:42" ht="28.9" customHeight="1">
      <c r="F25" s="434"/>
      <c r="G25" s="434"/>
      <c r="M25" s="1049" t="str">
        <f>IF(M28="","No Alert","Enter justification")</f>
        <v>No Alert</v>
      </c>
      <c r="N25" s="1049" t="str">
        <f t="shared" ref="N25:T25" si="14">IF(N28="","No Alert","Enter justification")</f>
        <v>No Alert</v>
      </c>
      <c r="O25" s="1049" t="str">
        <f t="shared" si="14"/>
        <v>No Alert</v>
      </c>
      <c r="P25" s="1049" t="str">
        <f t="shared" si="14"/>
        <v>No Alert</v>
      </c>
      <c r="Q25" s="1049" t="str">
        <f t="shared" si="14"/>
        <v>No Alert</v>
      </c>
      <c r="R25" s="1049" t="str">
        <f t="shared" si="14"/>
        <v>No Alert</v>
      </c>
      <c r="S25" s="1049" t="str">
        <f t="shared" si="14"/>
        <v>No Alert</v>
      </c>
      <c r="T25" s="1049" t="str">
        <f t="shared" si="14"/>
        <v>No Alert</v>
      </c>
    </row>
    <row r="26" spans="2:42" ht="18" customHeight="1">
      <c r="G26" s="747"/>
      <c r="H26" s="747"/>
      <c r="I26" s="747"/>
      <c r="J26" s="747"/>
      <c r="K26" s="747"/>
      <c r="L26" s="848" t="s">
        <v>1596</v>
      </c>
      <c r="M26" s="828" t="str">
        <f>TOV!$C544</f>
        <v>#14.09</v>
      </c>
      <c r="N26" s="828" t="str">
        <f>TOV!$C545</f>
        <v>#14.10</v>
      </c>
      <c r="O26" s="828" t="str">
        <f>TOV!$C546</f>
        <v>#14.11</v>
      </c>
      <c r="P26" s="828" t="str">
        <f>TOV!$C547</f>
        <v>#14.12</v>
      </c>
      <c r="Q26" s="828" t="str">
        <f>TOV!$C548</f>
        <v>#14.13</v>
      </c>
    </row>
    <row r="27" spans="2:42" ht="18" customHeight="1">
      <c r="E27" s="475"/>
      <c r="F27" s="475"/>
      <c r="L27" s="848" t="s">
        <v>35</v>
      </c>
      <c r="M27" s="81">
        <f>VLOOKUP(M26,TOV!$C$536:$G$585,4,FALSE)</f>
        <v>18728.206228301864</v>
      </c>
      <c r="N27" s="81">
        <f>VLOOKUP(N26,TOV!$C$536:$G$585,4,FALSE)</f>
        <v>37.975709949372209</v>
      </c>
      <c r="O27" s="81">
        <f>VLOOKUP(O26,TOV!$C$536:$G$585,4,FALSE)</f>
        <v>18.162296062743231</v>
      </c>
      <c r="P27" s="81">
        <f>VLOOKUP(P26,TOV!$C$536:$G$585,4,FALSE)</f>
        <v>1.855192605482894</v>
      </c>
      <c r="Q27" s="81">
        <f>VLOOKUP(Q26,TOV!$C$536:$G$585,4,FALSE)</f>
        <v>6.4084024467417766</v>
      </c>
    </row>
    <row r="28" spans="2:42" ht="18" customHeight="1">
      <c r="E28" s="475"/>
      <c r="L28" s="848" t="s">
        <v>2502</v>
      </c>
      <c r="M28" s="291"/>
      <c r="N28" s="291"/>
      <c r="O28" s="291"/>
      <c r="P28" s="291"/>
      <c r="Q28" s="291"/>
      <c r="R28" s="291"/>
      <c r="S28" s="291"/>
      <c r="T28" s="291"/>
      <c r="U28" s="830" t="s">
        <v>2503</v>
      </c>
    </row>
    <row r="29" spans="2:42" ht="18" customHeight="1">
      <c r="B29" s="286" t="s">
        <v>26</v>
      </c>
      <c r="C29" s="1038" t="s">
        <v>2510</v>
      </c>
      <c r="D29" s="1253"/>
      <c r="E29" s="475"/>
      <c r="F29" s="475"/>
      <c r="G29" s="475"/>
      <c r="H29" s="475"/>
      <c r="I29" s="475"/>
      <c r="J29" s="475"/>
      <c r="K29" s="475"/>
      <c r="L29" s="848" t="s">
        <v>1597</v>
      </c>
      <c r="M29" s="82" t="str">
        <f t="shared" ref="M29:T29" si="15">E31</f>
        <v>ha</v>
      </c>
      <c r="N29" s="82" t="str">
        <f t="shared" si="15"/>
        <v>m</v>
      </c>
      <c r="O29" s="82" t="str">
        <f t="shared" si="15"/>
        <v>m</v>
      </c>
      <c r="P29" s="82" t="str">
        <f t="shared" si="15"/>
        <v>m2</v>
      </c>
      <c r="Q29" s="82" t="str">
        <f t="shared" si="15"/>
        <v>m</v>
      </c>
      <c r="R29" s="82" t="str">
        <f t="shared" si="15"/>
        <v>Enter unit</v>
      </c>
      <c r="S29" s="82" t="str">
        <f t="shared" si="15"/>
        <v>Enter unit</v>
      </c>
      <c r="T29" s="82" t="str">
        <f t="shared" si="15"/>
        <v>Enter unit</v>
      </c>
      <c r="U29" s="1269"/>
      <c r="Z29" s="434"/>
      <c r="AA29" s="434"/>
      <c r="AB29" s="434"/>
      <c r="AC29" s="434"/>
      <c r="AD29" s="434"/>
      <c r="AE29" s="434"/>
      <c r="AF29" s="434"/>
      <c r="AG29" s="434"/>
      <c r="AH29" s="434"/>
      <c r="AI29" s="434"/>
    </row>
    <row r="30" spans="2:42" ht="93" customHeight="1">
      <c r="B30" s="773" t="s">
        <v>1517</v>
      </c>
      <c r="C30" s="773" t="s">
        <v>27</v>
      </c>
      <c r="D30" s="773" t="s">
        <v>2456</v>
      </c>
      <c r="E30" s="773" t="str">
        <f>VLOOKUP(M26,TOV!$C$536:$G$585,3,FALSE)</f>
        <v>Engineered cut-through drain (6m wide) riprap lined (100 mm thick) based on catchment size of subsidence using D10 dozer.</v>
      </c>
      <c r="F30" s="773" t="str">
        <f>VLOOKUP(N26,TOV!$C$536:$G$585,3,FALSE)</f>
        <v>Maintenance of water course diversion (major structure)</v>
      </c>
      <c r="G30" s="773" t="str">
        <f>VLOOKUP(O26,TOV!$C$536:$G$585,3,FALSE)</f>
        <v>Maintenance of water course diversion (minor structure)</v>
      </c>
      <c r="H30" s="773" t="str">
        <f>VLOOKUP(P26,TOV!$C$536:$G$585,3,FALSE)</f>
        <v>Installation of rock armouring</v>
      </c>
      <c r="I30" s="773" t="str">
        <f>VLOOKUP(Q26,TOV!$C$536:$G$585,3,FALSE)</f>
        <v>Minor drainage line (non-watercourse) realignments.</v>
      </c>
      <c r="J30" s="1056" t="s">
        <v>2511</v>
      </c>
      <c r="K30" s="1056" t="s">
        <v>2512</v>
      </c>
      <c r="L30" s="1056" t="s">
        <v>2513</v>
      </c>
      <c r="M30" s="773" t="str">
        <f t="shared" ref="M30:T30" si="16">CONCATENATE(E30," ($)")</f>
        <v>Engineered cut-through drain (6m wide) riprap lined (100 mm thick) based on catchment size of subsidence using D10 dozer. ($)</v>
      </c>
      <c r="N30" s="773" t="str">
        <f t="shared" si="16"/>
        <v>Maintenance of water course diversion (major structure) ($)</v>
      </c>
      <c r="O30" s="773" t="str">
        <f t="shared" si="16"/>
        <v>Maintenance of water course diversion (minor structure) ($)</v>
      </c>
      <c r="P30" s="773" t="str">
        <f t="shared" si="16"/>
        <v>Installation of rock armouring ($)</v>
      </c>
      <c r="Q30" s="773" t="str">
        <f t="shared" si="16"/>
        <v>Minor drainage line (non-watercourse) realignments. ($)</v>
      </c>
      <c r="R30" s="773" t="str">
        <f t="shared" si="16"/>
        <v>User entered Item Drainage / Diversions 1 ($)</v>
      </c>
      <c r="S30" s="773" t="str">
        <f t="shared" si="16"/>
        <v>User entered Item Drainage / Diversions 2 ($)</v>
      </c>
      <c r="T30" s="773" t="str">
        <f t="shared" si="16"/>
        <v>User entered Item Drainage / Diversions 3 ($)</v>
      </c>
      <c r="U30" s="773" t="s">
        <v>2508</v>
      </c>
      <c r="V30" s="775" t="s">
        <v>83</v>
      </c>
      <c r="W30" s="773" t="s">
        <v>2509</v>
      </c>
      <c r="X30" s="775" t="s">
        <v>2466</v>
      </c>
      <c r="Y30" s="776" t="s">
        <v>1526</v>
      </c>
      <c r="Z30" s="777"/>
      <c r="AA30" s="777"/>
      <c r="AB30" s="777"/>
      <c r="AC30" s="777"/>
      <c r="AD30" s="777"/>
      <c r="AE30" s="777"/>
      <c r="AF30" s="778"/>
      <c r="AG30" s="434"/>
      <c r="AH30" s="434"/>
      <c r="AI30" s="434"/>
      <c r="AJ30" s="434"/>
      <c r="AK30" s="434"/>
      <c r="AL30" s="434"/>
      <c r="AM30" s="434"/>
    </row>
    <row r="31" spans="2:42" ht="18" customHeight="1">
      <c r="E31" s="82" t="str">
        <f>VLOOKUP(M26,TOV!$C$536:$G$585,5,FALSE)</f>
        <v>ha</v>
      </c>
      <c r="F31" s="82" t="str">
        <f>VLOOKUP(N26,TOV!$C$536:$G$585,5,FALSE)</f>
        <v>m</v>
      </c>
      <c r="G31" s="82" t="str">
        <f>VLOOKUP(O26,TOV!$C$536:$G$585,5,FALSE)</f>
        <v>m</v>
      </c>
      <c r="H31" s="82" t="str">
        <f>VLOOKUP(P26,TOV!$C$536:$G$585,5,FALSE)</f>
        <v>m2</v>
      </c>
      <c r="I31" s="82" t="str">
        <f>VLOOKUP(Q26,TOV!$C$536:$G$585,5,FALSE)</f>
        <v>m</v>
      </c>
      <c r="J31" s="30" t="s">
        <v>2514</v>
      </c>
      <c r="K31" s="30" t="s">
        <v>2514</v>
      </c>
      <c r="L31" s="30" t="s">
        <v>2514</v>
      </c>
      <c r="M31" s="475"/>
      <c r="N31" s="475"/>
      <c r="U31" s="1142"/>
      <c r="Y31" s="474"/>
      <c r="Z31" s="474"/>
      <c r="AA31" s="474"/>
      <c r="AB31" s="474"/>
      <c r="AC31" s="474"/>
      <c r="AD31" s="474"/>
      <c r="AE31" s="474"/>
      <c r="AF31" s="474"/>
      <c r="AG31" s="434"/>
      <c r="AH31" s="434"/>
      <c r="AI31" s="434"/>
      <c r="AJ31" s="434"/>
      <c r="AK31" s="434"/>
      <c r="AL31" s="434"/>
      <c r="AM31" s="434"/>
    </row>
    <row r="32" spans="2:42" ht="15">
      <c r="B32" s="301"/>
      <c r="C32" s="989">
        <v>1</v>
      </c>
      <c r="D32" s="168"/>
      <c r="E32" s="316"/>
      <c r="F32" s="316"/>
      <c r="G32" s="318"/>
      <c r="H32" s="316"/>
      <c r="I32" s="326"/>
      <c r="J32" s="326"/>
      <c r="K32" s="326"/>
      <c r="L32" s="326"/>
      <c r="M32" s="351">
        <f t="shared" ref="M32:M41" si="17">E32*IF(M$28="",M$27,M$28)</f>
        <v>0</v>
      </c>
      <c r="N32" s="351">
        <f t="shared" ref="N32:N41" si="18">F32*IF(N$28="",N$27,N$28)</f>
        <v>0</v>
      </c>
      <c r="O32" s="351">
        <f t="shared" ref="O32:O41" si="19">G32*IF(O$28="",O$27,O$28)</f>
        <v>0</v>
      </c>
      <c r="P32" s="351">
        <f t="shared" ref="P32:Q41" si="20">H32*IF(P$28="",P$27,P$28)</f>
        <v>0</v>
      </c>
      <c r="Q32" s="351">
        <f t="shared" si="20"/>
        <v>0</v>
      </c>
      <c r="R32" s="351">
        <f t="shared" ref="R32:R41" si="21">J32*R$28</f>
        <v>0</v>
      </c>
      <c r="S32" s="351">
        <f t="shared" ref="S32:S41" si="22">K32*S$28</f>
        <v>0</v>
      </c>
      <c r="T32" s="351">
        <f t="shared" ref="T32:T41" si="23">L32*T$28</f>
        <v>0</v>
      </c>
      <c r="U32" s="1284"/>
      <c r="V32" s="122">
        <f t="shared" ref="V32:V41" si="24">SUM(M32:U32)</f>
        <v>0</v>
      </c>
      <c r="W32" s="291"/>
      <c r="X32" s="122">
        <f>IF(W32="",V32,W32)</f>
        <v>0</v>
      </c>
      <c r="Y32" s="293"/>
      <c r="Z32" s="294"/>
      <c r="AA32" s="294"/>
      <c r="AB32" s="294"/>
      <c r="AC32" s="294"/>
      <c r="AD32" s="294"/>
      <c r="AE32" s="294"/>
      <c r="AF32" s="295"/>
      <c r="AG32" s="434"/>
      <c r="AH32" s="434"/>
      <c r="AI32" s="434"/>
      <c r="AJ32" s="434"/>
      <c r="AK32" s="434"/>
      <c r="AL32" s="434"/>
      <c r="AM32" s="434"/>
    </row>
    <row r="33" spans="2:41" ht="15">
      <c r="B33" s="301"/>
      <c r="C33" s="1266">
        <f t="shared" ref="C33:C41" si="25">C32+1</f>
        <v>2</v>
      </c>
      <c r="D33" s="168"/>
      <c r="E33" s="316"/>
      <c r="F33" s="316"/>
      <c r="G33" s="318"/>
      <c r="H33" s="316"/>
      <c r="I33" s="316"/>
      <c r="J33" s="316"/>
      <c r="K33" s="316"/>
      <c r="L33" s="316"/>
      <c r="M33" s="351">
        <f t="shared" si="17"/>
        <v>0</v>
      </c>
      <c r="N33" s="351">
        <f t="shared" si="18"/>
        <v>0</v>
      </c>
      <c r="O33" s="351">
        <f t="shared" si="19"/>
        <v>0</v>
      </c>
      <c r="P33" s="351">
        <f t="shared" si="20"/>
        <v>0</v>
      </c>
      <c r="Q33" s="351">
        <f t="shared" si="20"/>
        <v>0</v>
      </c>
      <c r="R33" s="351">
        <f t="shared" si="21"/>
        <v>0</v>
      </c>
      <c r="S33" s="351">
        <f t="shared" si="22"/>
        <v>0</v>
      </c>
      <c r="T33" s="351">
        <f t="shared" si="23"/>
        <v>0</v>
      </c>
      <c r="U33" s="1284"/>
      <c r="V33" s="122">
        <f t="shared" si="24"/>
        <v>0</v>
      </c>
      <c r="W33" s="291"/>
      <c r="X33" s="122">
        <f t="shared" ref="X33:X41" si="26">IF(W33="",V33,W33)</f>
        <v>0</v>
      </c>
      <c r="Y33" s="293"/>
      <c r="Z33" s="294"/>
      <c r="AA33" s="294"/>
      <c r="AB33" s="294"/>
      <c r="AC33" s="294"/>
      <c r="AD33" s="294"/>
      <c r="AE33" s="294"/>
      <c r="AF33" s="295"/>
      <c r="AG33" s="434"/>
      <c r="AH33" s="434"/>
      <c r="AI33" s="434"/>
      <c r="AJ33" s="434"/>
      <c r="AK33" s="434"/>
      <c r="AL33" s="434"/>
      <c r="AM33" s="434"/>
    </row>
    <row r="34" spans="2:41" ht="15">
      <c r="B34" s="301"/>
      <c r="C34" s="1266">
        <f t="shared" si="25"/>
        <v>3</v>
      </c>
      <c r="D34" s="168"/>
      <c r="E34" s="316"/>
      <c r="F34" s="316"/>
      <c r="G34" s="318"/>
      <c r="H34" s="316"/>
      <c r="I34" s="316"/>
      <c r="J34" s="316"/>
      <c r="K34" s="316"/>
      <c r="L34" s="316"/>
      <c r="M34" s="351">
        <f t="shared" si="17"/>
        <v>0</v>
      </c>
      <c r="N34" s="351">
        <f t="shared" si="18"/>
        <v>0</v>
      </c>
      <c r="O34" s="351">
        <f t="shared" si="19"/>
        <v>0</v>
      </c>
      <c r="P34" s="351">
        <f t="shared" si="20"/>
        <v>0</v>
      </c>
      <c r="Q34" s="351">
        <f t="shared" si="20"/>
        <v>0</v>
      </c>
      <c r="R34" s="351">
        <f t="shared" si="21"/>
        <v>0</v>
      </c>
      <c r="S34" s="351">
        <f t="shared" si="22"/>
        <v>0</v>
      </c>
      <c r="T34" s="351">
        <f t="shared" si="23"/>
        <v>0</v>
      </c>
      <c r="U34" s="1284"/>
      <c r="V34" s="122">
        <f t="shared" si="24"/>
        <v>0</v>
      </c>
      <c r="W34" s="291"/>
      <c r="X34" s="122">
        <f t="shared" si="26"/>
        <v>0</v>
      </c>
      <c r="Y34" s="293"/>
      <c r="Z34" s="294"/>
      <c r="AA34" s="294"/>
      <c r="AB34" s="294"/>
      <c r="AC34" s="294"/>
      <c r="AD34" s="294"/>
      <c r="AE34" s="294"/>
      <c r="AF34" s="295"/>
      <c r="AG34" s="434"/>
      <c r="AH34" s="434"/>
      <c r="AI34" s="434"/>
      <c r="AJ34" s="434"/>
      <c r="AK34" s="434"/>
      <c r="AL34" s="434"/>
      <c r="AM34" s="434"/>
    </row>
    <row r="35" spans="2:41" ht="15">
      <c r="B35" s="301"/>
      <c r="C35" s="1266">
        <f t="shared" si="25"/>
        <v>4</v>
      </c>
      <c r="D35" s="168"/>
      <c r="E35" s="316"/>
      <c r="F35" s="316"/>
      <c r="G35" s="318"/>
      <c r="H35" s="316"/>
      <c r="I35" s="316"/>
      <c r="J35" s="316"/>
      <c r="K35" s="316"/>
      <c r="L35" s="316"/>
      <c r="M35" s="351">
        <f t="shared" si="17"/>
        <v>0</v>
      </c>
      <c r="N35" s="351">
        <f t="shared" si="18"/>
        <v>0</v>
      </c>
      <c r="O35" s="351">
        <f t="shared" si="19"/>
        <v>0</v>
      </c>
      <c r="P35" s="351">
        <f t="shared" si="20"/>
        <v>0</v>
      </c>
      <c r="Q35" s="351">
        <f t="shared" si="20"/>
        <v>0</v>
      </c>
      <c r="R35" s="351">
        <f t="shared" si="21"/>
        <v>0</v>
      </c>
      <c r="S35" s="351">
        <f t="shared" si="22"/>
        <v>0</v>
      </c>
      <c r="T35" s="351">
        <f t="shared" si="23"/>
        <v>0</v>
      </c>
      <c r="U35" s="1284"/>
      <c r="V35" s="122">
        <f t="shared" si="24"/>
        <v>0</v>
      </c>
      <c r="W35" s="291"/>
      <c r="X35" s="122">
        <f t="shared" si="26"/>
        <v>0</v>
      </c>
      <c r="Y35" s="293"/>
      <c r="Z35" s="294"/>
      <c r="AA35" s="294"/>
      <c r="AB35" s="294"/>
      <c r="AC35" s="294"/>
      <c r="AD35" s="294"/>
      <c r="AE35" s="294"/>
      <c r="AF35" s="295"/>
      <c r="AG35" s="434"/>
      <c r="AH35" s="434"/>
      <c r="AI35" s="434"/>
      <c r="AJ35" s="434"/>
      <c r="AK35" s="434"/>
      <c r="AL35" s="434"/>
      <c r="AM35" s="434"/>
    </row>
    <row r="36" spans="2:41" ht="15">
      <c r="B36" s="301"/>
      <c r="C36" s="1266">
        <f t="shared" si="25"/>
        <v>5</v>
      </c>
      <c r="D36" s="168"/>
      <c r="E36" s="316"/>
      <c r="F36" s="316"/>
      <c r="G36" s="318"/>
      <c r="H36" s="316"/>
      <c r="I36" s="316"/>
      <c r="J36" s="316"/>
      <c r="K36" s="316"/>
      <c r="L36" s="316"/>
      <c r="M36" s="351">
        <f t="shared" si="17"/>
        <v>0</v>
      </c>
      <c r="N36" s="351">
        <f t="shared" si="18"/>
        <v>0</v>
      </c>
      <c r="O36" s="351">
        <f t="shared" si="19"/>
        <v>0</v>
      </c>
      <c r="P36" s="351">
        <f t="shared" si="20"/>
        <v>0</v>
      </c>
      <c r="Q36" s="351">
        <f t="shared" si="20"/>
        <v>0</v>
      </c>
      <c r="R36" s="351">
        <f t="shared" si="21"/>
        <v>0</v>
      </c>
      <c r="S36" s="351">
        <f t="shared" si="22"/>
        <v>0</v>
      </c>
      <c r="T36" s="351">
        <f t="shared" si="23"/>
        <v>0</v>
      </c>
      <c r="U36" s="1284"/>
      <c r="V36" s="122">
        <f t="shared" si="24"/>
        <v>0</v>
      </c>
      <c r="W36" s="291"/>
      <c r="X36" s="122">
        <f t="shared" si="26"/>
        <v>0</v>
      </c>
      <c r="Y36" s="293"/>
      <c r="Z36" s="294"/>
      <c r="AA36" s="294"/>
      <c r="AB36" s="294"/>
      <c r="AC36" s="294"/>
      <c r="AD36" s="294"/>
      <c r="AE36" s="294"/>
      <c r="AF36" s="295"/>
      <c r="AG36" s="434"/>
      <c r="AH36" s="434"/>
      <c r="AI36" s="434"/>
      <c r="AJ36" s="434"/>
      <c r="AK36" s="434"/>
      <c r="AL36" s="434"/>
      <c r="AM36" s="434"/>
    </row>
    <row r="37" spans="2:41" ht="15">
      <c r="B37" s="301"/>
      <c r="C37" s="1266">
        <f t="shared" si="25"/>
        <v>6</v>
      </c>
      <c r="D37" s="168"/>
      <c r="E37" s="316"/>
      <c r="F37" s="316"/>
      <c r="G37" s="318"/>
      <c r="H37" s="316"/>
      <c r="I37" s="316"/>
      <c r="J37" s="316"/>
      <c r="K37" s="316"/>
      <c r="L37" s="316"/>
      <c r="M37" s="351">
        <f t="shared" si="17"/>
        <v>0</v>
      </c>
      <c r="N37" s="351">
        <f t="shared" si="18"/>
        <v>0</v>
      </c>
      <c r="O37" s="351">
        <f t="shared" si="19"/>
        <v>0</v>
      </c>
      <c r="P37" s="351">
        <f t="shared" si="20"/>
        <v>0</v>
      </c>
      <c r="Q37" s="351">
        <f t="shared" si="20"/>
        <v>0</v>
      </c>
      <c r="R37" s="351">
        <f t="shared" si="21"/>
        <v>0</v>
      </c>
      <c r="S37" s="351">
        <f t="shared" si="22"/>
        <v>0</v>
      </c>
      <c r="T37" s="351">
        <f t="shared" si="23"/>
        <v>0</v>
      </c>
      <c r="U37" s="1284"/>
      <c r="V37" s="122">
        <f t="shared" si="24"/>
        <v>0</v>
      </c>
      <c r="W37" s="291"/>
      <c r="X37" s="122">
        <f t="shared" si="26"/>
        <v>0</v>
      </c>
      <c r="Y37" s="293"/>
      <c r="Z37" s="294"/>
      <c r="AA37" s="294"/>
      <c r="AB37" s="294"/>
      <c r="AC37" s="294"/>
      <c r="AD37" s="294"/>
      <c r="AE37" s="294"/>
      <c r="AF37" s="295"/>
      <c r="AG37" s="434"/>
      <c r="AH37" s="434"/>
      <c r="AI37" s="434"/>
      <c r="AJ37" s="434"/>
      <c r="AK37" s="434"/>
      <c r="AL37" s="434"/>
      <c r="AM37" s="434"/>
    </row>
    <row r="38" spans="2:41" ht="15">
      <c r="B38" s="301"/>
      <c r="C38" s="1266">
        <f t="shared" si="25"/>
        <v>7</v>
      </c>
      <c r="D38" s="168"/>
      <c r="E38" s="316"/>
      <c r="F38" s="316"/>
      <c r="G38" s="318"/>
      <c r="H38" s="316"/>
      <c r="I38" s="316"/>
      <c r="J38" s="316"/>
      <c r="K38" s="316"/>
      <c r="L38" s="316"/>
      <c r="M38" s="351">
        <f t="shared" si="17"/>
        <v>0</v>
      </c>
      <c r="N38" s="351">
        <f t="shared" si="18"/>
        <v>0</v>
      </c>
      <c r="O38" s="351">
        <f t="shared" si="19"/>
        <v>0</v>
      </c>
      <c r="P38" s="351">
        <f t="shared" si="20"/>
        <v>0</v>
      </c>
      <c r="Q38" s="351">
        <f t="shared" si="20"/>
        <v>0</v>
      </c>
      <c r="R38" s="351">
        <f t="shared" si="21"/>
        <v>0</v>
      </c>
      <c r="S38" s="351">
        <f t="shared" si="22"/>
        <v>0</v>
      </c>
      <c r="T38" s="351">
        <f t="shared" si="23"/>
        <v>0</v>
      </c>
      <c r="U38" s="1284"/>
      <c r="V38" s="122">
        <f t="shared" si="24"/>
        <v>0</v>
      </c>
      <c r="W38" s="291"/>
      <c r="X38" s="122">
        <f t="shared" si="26"/>
        <v>0</v>
      </c>
      <c r="Y38" s="293"/>
      <c r="Z38" s="294"/>
      <c r="AA38" s="294"/>
      <c r="AB38" s="294"/>
      <c r="AC38" s="294"/>
      <c r="AD38" s="294"/>
      <c r="AE38" s="294"/>
      <c r="AF38" s="295"/>
      <c r="AG38" s="434"/>
      <c r="AH38" s="434"/>
      <c r="AI38" s="434"/>
      <c r="AJ38" s="434"/>
      <c r="AK38" s="434"/>
      <c r="AL38" s="434"/>
      <c r="AM38" s="434"/>
    </row>
    <row r="39" spans="2:41" ht="15">
      <c r="B39" s="301"/>
      <c r="C39" s="1266">
        <f t="shared" si="25"/>
        <v>8</v>
      </c>
      <c r="D39" s="168"/>
      <c r="E39" s="316"/>
      <c r="F39" s="316"/>
      <c r="G39" s="318"/>
      <c r="H39" s="316"/>
      <c r="I39" s="316"/>
      <c r="J39" s="316"/>
      <c r="K39" s="316"/>
      <c r="L39" s="316"/>
      <c r="M39" s="351">
        <f t="shared" si="17"/>
        <v>0</v>
      </c>
      <c r="N39" s="351">
        <f t="shared" si="18"/>
        <v>0</v>
      </c>
      <c r="O39" s="351">
        <f t="shared" si="19"/>
        <v>0</v>
      </c>
      <c r="P39" s="351">
        <f t="shared" si="20"/>
        <v>0</v>
      </c>
      <c r="Q39" s="351">
        <f t="shared" si="20"/>
        <v>0</v>
      </c>
      <c r="R39" s="351">
        <f t="shared" si="21"/>
        <v>0</v>
      </c>
      <c r="S39" s="351">
        <f t="shared" si="22"/>
        <v>0</v>
      </c>
      <c r="T39" s="351">
        <f t="shared" si="23"/>
        <v>0</v>
      </c>
      <c r="U39" s="1284"/>
      <c r="V39" s="122">
        <f t="shared" si="24"/>
        <v>0</v>
      </c>
      <c r="W39" s="291"/>
      <c r="X39" s="122">
        <f t="shared" si="26"/>
        <v>0</v>
      </c>
      <c r="Y39" s="293"/>
      <c r="Z39" s="294"/>
      <c r="AA39" s="294"/>
      <c r="AB39" s="294"/>
      <c r="AC39" s="294"/>
      <c r="AD39" s="294"/>
      <c r="AE39" s="294"/>
      <c r="AF39" s="295"/>
      <c r="AG39" s="434"/>
      <c r="AH39" s="434"/>
      <c r="AI39" s="434"/>
      <c r="AJ39" s="434"/>
      <c r="AK39" s="434"/>
      <c r="AL39" s="434"/>
      <c r="AM39" s="434"/>
    </row>
    <row r="40" spans="2:41" ht="15">
      <c r="B40" s="301"/>
      <c r="C40" s="1266">
        <f t="shared" si="25"/>
        <v>9</v>
      </c>
      <c r="D40" s="168"/>
      <c r="E40" s="316"/>
      <c r="F40" s="316"/>
      <c r="G40" s="318"/>
      <c r="H40" s="316"/>
      <c r="I40" s="316"/>
      <c r="J40" s="316"/>
      <c r="K40" s="316"/>
      <c r="L40" s="316"/>
      <c r="M40" s="351">
        <f t="shared" si="17"/>
        <v>0</v>
      </c>
      <c r="N40" s="351">
        <f t="shared" si="18"/>
        <v>0</v>
      </c>
      <c r="O40" s="351">
        <f t="shared" si="19"/>
        <v>0</v>
      </c>
      <c r="P40" s="351">
        <f t="shared" si="20"/>
        <v>0</v>
      </c>
      <c r="Q40" s="351">
        <f t="shared" si="20"/>
        <v>0</v>
      </c>
      <c r="R40" s="351">
        <f t="shared" si="21"/>
        <v>0</v>
      </c>
      <c r="S40" s="351">
        <f t="shared" si="22"/>
        <v>0</v>
      </c>
      <c r="T40" s="351">
        <f t="shared" si="23"/>
        <v>0</v>
      </c>
      <c r="U40" s="1284"/>
      <c r="V40" s="122">
        <f t="shared" si="24"/>
        <v>0</v>
      </c>
      <c r="W40" s="291"/>
      <c r="X40" s="122">
        <f t="shared" si="26"/>
        <v>0</v>
      </c>
      <c r="Y40" s="293"/>
      <c r="Z40" s="294"/>
      <c r="AA40" s="294"/>
      <c r="AB40" s="294"/>
      <c r="AC40" s="294"/>
      <c r="AD40" s="294"/>
      <c r="AE40" s="294"/>
      <c r="AF40" s="295"/>
      <c r="AG40" s="434"/>
      <c r="AH40" s="434"/>
      <c r="AI40" s="434"/>
      <c r="AJ40" s="434"/>
      <c r="AK40" s="434"/>
      <c r="AL40" s="434"/>
      <c r="AM40" s="434"/>
    </row>
    <row r="41" spans="2:41" ht="15">
      <c r="B41" s="301"/>
      <c r="C41" s="1266">
        <f t="shared" si="25"/>
        <v>10</v>
      </c>
      <c r="D41" s="168"/>
      <c r="E41" s="316"/>
      <c r="F41" s="316"/>
      <c r="G41" s="318"/>
      <c r="H41" s="316"/>
      <c r="I41" s="316"/>
      <c r="J41" s="316"/>
      <c r="K41" s="316"/>
      <c r="L41" s="316"/>
      <c r="M41" s="351">
        <f t="shared" si="17"/>
        <v>0</v>
      </c>
      <c r="N41" s="351">
        <f t="shared" si="18"/>
        <v>0</v>
      </c>
      <c r="O41" s="351">
        <f t="shared" si="19"/>
        <v>0</v>
      </c>
      <c r="P41" s="351">
        <f t="shared" si="20"/>
        <v>0</v>
      </c>
      <c r="Q41" s="351">
        <f t="shared" si="20"/>
        <v>0</v>
      </c>
      <c r="R41" s="351">
        <f t="shared" si="21"/>
        <v>0</v>
      </c>
      <c r="S41" s="351">
        <f t="shared" si="22"/>
        <v>0</v>
      </c>
      <c r="T41" s="351">
        <f t="shared" si="23"/>
        <v>0</v>
      </c>
      <c r="U41" s="1284"/>
      <c r="V41" s="122">
        <f t="shared" si="24"/>
        <v>0</v>
      </c>
      <c r="W41" s="291"/>
      <c r="X41" s="122">
        <f t="shared" si="26"/>
        <v>0</v>
      </c>
      <c r="Y41" s="293"/>
      <c r="Z41" s="294"/>
      <c r="AA41" s="294"/>
      <c r="AB41" s="294"/>
      <c r="AC41" s="294"/>
      <c r="AD41" s="294"/>
      <c r="AE41" s="294"/>
      <c r="AF41" s="295"/>
      <c r="AG41" s="434"/>
      <c r="AH41" s="434"/>
      <c r="AI41" s="434"/>
      <c r="AJ41" s="434"/>
      <c r="AK41" s="434"/>
      <c r="AL41" s="434"/>
      <c r="AM41" s="434"/>
    </row>
    <row r="42" spans="2:41" ht="18" customHeight="1">
      <c r="B42" s="808"/>
      <c r="C42" s="808"/>
      <c r="D42" s="808"/>
      <c r="E42" s="809"/>
      <c r="F42" s="809"/>
      <c r="G42" s="809"/>
      <c r="H42" s="809"/>
      <c r="I42" s="809"/>
      <c r="J42" s="809"/>
      <c r="K42" s="809"/>
      <c r="L42" s="809"/>
      <c r="M42" s="808"/>
      <c r="N42" s="808"/>
      <c r="O42" s="808"/>
      <c r="P42" s="808"/>
      <c r="Q42" s="808"/>
      <c r="R42" s="808"/>
      <c r="S42" s="808"/>
      <c r="T42" s="520"/>
      <c r="U42" s="520"/>
      <c r="V42" s="1270"/>
      <c r="W42" s="1270"/>
      <c r="X42" s="1270"/>
      <c r="Y42" s="808"/>
      <c r="Z42" s="434"/>
      <c r="AA42" s="434"/>
      <c r="AB42" s="434"/>
      <c r="AC42" s="434"/>
      <c r="AD42" s="434"/>
      <c r="AE42" s="434"/>
      <c r="AF42" s="434"/>
      <c r="AG42" s="434"/>
      <c r="AH42" s="434"/>
      <c r="AI42" s="434"/>
      <c r="AJ42" s="434"/>
      <c r="AK42" s="434"/>
      <c r="AL42" s="434"/>
      <c r="AM42" s="434"/>
    </row>
    <row r="43" spans="2:41" ht="18" customHeight="1">
      <c r="B43" s="1162"/>
      <c r="C43" s="1162"/>
      <c r="D43" s="1267" t="s">
        <v>2467</v>
      </c>
      <c r="E43" s="372">
        <f>SUM(E31:E42)</f>
        <v>0</v>
      </c>
      <c r="F43" s="372">
        <f t="shared" ref="F43:J43" si="27">SUM(F31:F42)</f>
        <v>0</v>
      </c>
      <c r="G43" s="372">
        <f t="shared" si="27"/>
        <v>0</v>
      </c>
      <c r="H43" s="372">
        <f>SUM(H31:H42)</f>
        <v>0</v>
      </c>
      <c r="I43" s="372">
        <f t="shared" si="27"/>
        <v>0</v>
      </c>
      <c r="J43" s="372">
        <f t="shared" si="27"/>
        <v>0</v>
      </c>
      <c r="K43" s="372">
        <f t="shared" ref="K43" si="28">SUM(K31:K42)</f>
        <v>0</v>
      </c>
      <c r="L43" s="372">
        <f t="shared" ref="L43" si="29">SUM(L31:L42)</f>
        <v>0</v>
      </c>
      <c r="M43" s="1020">
        <f t="shared" ref="M43" si="30">SUM(M31:M42)</f>
        <v>0</v>
      </c>
      <c r="N43" s="1020">
        <f t="shared" ref="N43" si="31">SUM(N31:N42)</f>
        <v>0</v>
      </c>
      <c r="O43" s="1020">
        <f t="shared" ref="O43" si="32">SUM(O31:O42)</f>
        <v>0</v>
      </c>
      <c r="P43" s="1020">
        <f t="shared" ref="P43" si="33">SUM(P31:P42)</f>
        <v>0</v>
      </c>
      <c r="Q43" s="1020">
        <f t="shared" ref="Q43" si="34">SUM(Q31:Q42)</f>
        <v>0</v>
      </c>
      <c r="R43" s="1020">
        <f t="shared" ref="R43" si="35">SUM(R31:R42)</f>
        <v>0</v>
      </c>
      <c r="S43" s="1020">
        <f t="shared" ref="S43" si="36">SUM(S31:S42)</f>
        <v>0</v>
      </c>
      <c r="T43" s="1020">
        <f t="shared" ref="T43" si="37">SUM(T31:T42)</f>
        <v>0</v>
      </c>
      <c r="U43" s="1020">
        <f t="shared" ref="U43" si="38">SUM(U31:U42)</f>
        <v>0</v>
      </c>
      <c r="V43" s="1248">
        <f>SUM(V31:V42)</f>
        <v>0</v>
      </c>
      <c r="W43" s="1268">
        <f t="shared" ref="W43" si="39">SUM(W31:W42)</f>
        <v>0</v>
      </c>
      <c r="X43" s="1248">
        <f t="shared" ref="X43" si="40">SUM(X31:X42)</f>
        <v>0</v>
      </c>
      <c r="Y43" s="904">
        <f>IF(SUM(E43:L43)=0,0,X43/SUM(E43:L43))</f>
        <v>0</v>
      </c>
      <c r="AB43" s="434"/>
      <c r="AC43" s="434"/>
      <c r="AD43" s="434"/>
      <c r="AE43" s="434"/>
      <c r="AF43" s="434"/>
      <c r="AG43" s="434"/>
      <c r="AH43" s="434"/>
      <c r="AI43" s="434"/>
      <c r="AJ43" s="434"/>
      <c r="AK43" s="434"/>
      <c r="AL43" s="434"/>
      <c r="AM43" s="434"/>
    </row>
    <row r="44" spans="2:41" ht="12.75">
      <c r="M44" s="475"/>
      <c r="N44" s="475"/>
      <c r="AA44" s="434"/>
      <c r="AB44" s="434"/>
      <c r="AC44" s="434"/>
      <c r="AD44" s="434"/>
      <c r="AE44" s="434"/>
      <c r="AF44" s="434"/>
      <c r="AG44" s="434"/>
      <c r="AH44" s="434"/>
      <c r="AI44" s="434"/>
      <c r="AJ44" s="434"/>
      <c r="AK44" s="434"/>
      <c r="AL44" s="434"/>
    </row>
    <row r="45" spans="2:41" ht="24.6" customHeight="1">
      <c r="M45" s="475"/>
      <c r="N45" s="1049" t="str">
        <f>IF(N48="","No Alert","Enter justification")</f>
        <v>No Alert</v>
      </c>
      <c r="O45" s="1049" t="str">
        <f t="shared" ref="O45:V45" si="41">IF(O48="","No Alert","Enter justification")</f>
        <v>No Alert</v>
      </c>
      <c r="P45" s="1049" t="str">
        <f t="shared" si="41"/>
        <v>No Alert</v>
      </c>
      <c r="Q45" s="1049" t="str">
        <f t="shared" si="41"/>
        <v>No Alert</v>
      </c>
      <c r="R45" s="1049" t="str">
        <f t="shared" si="41"/>
        <v>No Alert</v>
      </c>
      <c r="S45" s="1049" t="str">
        <f t="shared" si="41"/>
        <v>No Alert</v>
      </c>
      <c r="T45" s="1049" t="str">
        <f t="shared" si="41"/>
        <v>No Alert</v>
      </c>
      <c r="U45" s="1049" t="str">
        <f t="shared" si="41"/>
        <v>No Alert</v>
      </c>
      <c r="V45" s="1049" t="str">
        <f t="shared" si="41"/>
        <v>No Alert</v>
      </c>
    </row>
    <row r="46" spans="2:41" ht="18" customHeight="1">
      <c r="E46" s="475"/>
      <c r="F46" s="475"/>
      <c r="G46" s="475"/>
      <c r="H46" s="475"/>
      <c r="I46" s="475"/>
      <c r="J46" s="475"/>
      <c r="K46" s="475"/>
      <c r="L46" s="475"/>
      <c r="M46" s="848" t="s">
        <v>1596</v>
      </c>
      <c r="N46" s="828" t="str">
        <f>TOV!$C549</f>
        <v>#14.14</v>
      </c>
      <c r="O46" s="828" t="str">
        <f>TOV!$C550</f>
        <v>#14.15</v>
      </c>
      <c r="P46" s="828" t="str">
        <f>TOV!$C551</f>
        <v>#14.16</v>
      </c>
      <c r="AD46" s="434"/>
      <c r="AE46" s="434"/>
      <c r="AF46" s="434"/>
      <c r="AG46" s="434"/>
      <c r="AH46" s="434"/>
      <c r="AI46" s="434"/>
      <c r="AJ46" s="434"/>
      <c r="AK46" s="434"/>
      <c r="AL46" s="434"/>
      <c r="AM46" s="434"/>
      <c r="AN46" s="434"/>
      <c r="AO46" s="434"/>
    </row>
    <row r="47" spans="2:41" s="434" customFormat="1" ht="18" customHeight="1">
      <c r="M47" s="848" t="s">
        <v>35</v>
      </c>
      <c r="N47" s="81">
        <f>VLOOKUP(N46,TOV!$C$536:$G$585,4,FALSE)</f>
        <v>357.77009162742655</v>
      </c>
      <c r="O47" s="81">
        <f>VLOOKUP(O46,TOV!$C$536:$G$585,4,FALSE)</f>
        <v>400.15945742176939</v>
      </c>
      <c r="P47" s="81">
        <f>VLOOKUP(P46,TOV!$C$536:$G$585,4,FALSE)</f>
        <v>432.68030027693754</v>
      </c>
      <c r="Q47" s="475"/>
      <c r="R47" s="475"/>
      <c r="S47" s="475"/>
      <c r="T47" s="475"/>
      <c r="U47" s="475"/>
      <c r="V47" s="475"/>
      <c r="W47" s="475"/>
      <c r="X47" s="475"/>
      <c r="Y47" s="475"/>
      <c r="Z47" s="475"/>
      <c r="AA47" s="475"/>
      <c r="AB47" s="475"/>
      <c r="AC47" s="475"/>
    </row>
    <row r="48" spans="2:41" ht="18" customHeight="1">
      <c r="E48" s="475"/>
      <c r="M48" s="848" t="s">
        <v>2502</v>
      </c>
      <c r="N48" s="291"/>
      <c r="O48" s="291"/>
      <c r="P48" s="291"/>
      <c r="Q48" s="291"/>
      <c r="R48" s="291"/>
      <c r="S48" s="291"/>
      <c r="T48" s="291"/>
      <c r="U48" s="291"/>
      <c r="V48" s="291"/>
      <c r="W48" s="830" t="s">
        <v>2503</v>
      </c>
    </row>
    <row r="49" spans="1:41" ht="18" customHeight="1">
      <c r="B49" s="286" t="s">
        <v>26</v>
      </c>
      <c r="C49" s="1038" t="s">
        <v>2515</v>
      </c>
      <c r="D49" s="1253"/>
      <c r="E49" s="475"/>
      <c r="F49" s="475"/>
      <c r="G49" s="475"/>
      <c r="H49" s="475"/>
      <c r="I49" s="475"/>
      <c r="J49" s="475"/>
      <c r="K49" s="475"/>
      <c r="L49" s="475"/>
      <c r="M49" s="848" t="s">
        <v>1597</v>
      </c>
      <c r="N49" s="82" t="str">
        <f t="shared" ref="N49:V49" si="42">E51</f>
        <v>ha</v>
      </c>
      <c r="O49" s="82" t="str">
        <f t="shared" si="42"/>
        <v>ha</v>
      </c>
      <c r="P49" s="82" t="str">
        <f t="shared" si="42"/>
        <v>ha</v>
      </c>
      <c r="Q49" s="82" t="str">
        <f t="shared" si="42"/>
        <v>Enter unit</v>
      </c>
      <c r="R49" s="82" t="str">
        <f t="shared" si="42"/>
        <v>Enter unit</v>
      </c>
      <c r="S49" s="82" t="str">
        <f t="shared" si="42"/>
        <v>Enter unit</v>
      </c>
      <c r="T49" s="82" t="str">
        <f t="shared" si="42"/>
        <v>Enter unit</v>
      </c>
      <c r="U49" s="82" t="str">
        <f t="shared" si="42"/>
        <v>Enter unit</v>
      </c>
      <c r="V49" s="82" t="str">
        <f t="shared" si="42"/>
        <v>Enter unit</v>
      </c>
      <c r="AA49" s="639"/>
      <c r="AB49" s="639"/>
      <c r="AC49" s="639"/>
      <c r="AD49" s="434"/>
      <c r="AE49" s="434"/>
      <c r="AF49" s="434"/>
      <c r="AG49" s="434"/>
      <c r="AH49" s="434"/>
      <c r="AI49" s="434"/>
      <c r="AJ49" s="434"/>
      <c r="AK49" s="434"/>
      <c r="AL49" s="434"/>
      <c r="AM49" s="434"/>
      <c r="AN49" s="434"/>
      <c r="AO49" s="434"/>
    </row>
    <row r="50" spans="1:41" ht="135.6" customHeight="1">
      <c r="B50" s="773" t="s">
        <v>1517</v>
      </c>
      <c r="C50" s="773" t="s">
        <v>27</v>
      </c>
      <c r="D50" s="773" t="s">
        <v>2456</v>
      </c>
      <c r="E50" s="773" t="str">
        <f>VLOOKUP(N46,TOV!$C$536:$G$585,3,FALSE)</f>
        <v>General grader and shape to re-establish natural rip - 12M</v>
      </c>
      <c r="F50" s="773" t="str">
        <f>VLOOKUP(O46,TOV!$C$536:$G$585,3,FALSE)</f>
        <v>General grader and shape to re-establish natural rip - 14M</v>
      </c>
      <c r="G50" s="773" t="str">
        <f>VLOOKUP(P46,TOV!$C$536:$G$585,3,FALSE)</f>
        <v>General grader and shape to re-establish natural rip - 16M</v>
      </c>
      <c r="H50" s="1056" t="s">
        <v>2516</v>
      </c>
      <c r="I50" s="1056" t="s">
        <v>2517</v>
      </c>
      <c r="J50" s="1056" t="s">
        <v>2518</v>
      </c>
      <c r="K50" s="1056" t="s">
        <v>2519</v>
      </c>
      <c r="L50" s="1056" t="s">
        <v>2520</v>
      </c>
      <c r="M50" s="1056" t="s">
        <v>2521</v>
      </c>
      <c r="N50" s="773" t="str">
        <f t="shared" ref="N50:V50" si="43">CONCATENATE(E50," ($)")</f>
        <v>General grader and shape to re-establish natural rip - 12M ($)</v>
      </c>
      <c r="O50" s="773" t="str">
        <f t="shared" si="43"/>
        <v>General grader and shape to re-establish natural rip - 14M ($)</v>
      </c>
      <c r="P50" s="773" t="str">
        <f t="shared" si="43"/>
        <v>General grader and shape to re-establish natural rip - 16M ($)</v>
      </c>
      <c r="Q50" s="773" t="str">
        <f t="shared" si="43"/>
        <v>User entered Item for Grade / Rip using Grader 1 ($)</v>
      </c>
      <c r="R50" s="773" t="str">
        <f t="shared" si="43"/>
        <v>User entered Item for Grade / Rip using Grader 2 ($)</v>
      </c>
      <c r="S50" s="773" t="str">
        <f t="shared" si="43"/>
        <v>User entered Item for Grade / Rip using Grader 3 ($)</v>
      </c>
      <c r="T50" s="773" t="str">
        <f t="shared" si="43"/>
        <v>User entered Item for Grade / Rip using Grader 4 ($)</v>
      </c>
      <c r="U50" s="773" t="str">
        <f t="shared" si="43"/>
        <v>User entered Item for Grade / Rip using Grader 5 ($)</v>
      </c>
      <c r="V50" s="773" t="str">
        <f t="shared" si="43"/>
        <v>User entered Item for Grade / Rip using Grader 6 ($)</v>
      </c>
      <c r="W50" s="775" t="s">
        <v>83</v>
      </c>
      <c r="X50" s="773" t="s">
        <v>2509</v>
      </c>
      <c r="Y50" s="775" t="s">
        <v>2466</v>
      </c>
      <c r="Z50" s="776" t="s">
        <v>1526</v>
      </c>
      <c r="AA50" s="777"/>
      <c r="AB50" s="777"/>
      <c r="AC50" s="777"/>
      <c r="AD50" s="777"/>
      <c r="AE50" s="777"/>
      <c r="AF50" s="777"/>
      <c r="AG50" s="778"/>
      <c r="AH50" s="434"/>
      <c r="AI50" s="434"/>
      <c r="AJ50" s="434"/>
      <c r="AK50" s="434"/>
      <c r="AL50" s="434"/>
      <c r="AM50" s="434"/>
      <c r="AN50" s="434"/>
      <c r="AO50" s="434"/>
    </row>
    <row r="51" spans="1:41" ht="18" customHeight="1">
      <c r="E51" s="82" t="str">
        <f>VLOOKUP(N46,TOV!$C$536:$G$585,5,FALSE)</f>
        <v>ha</v>
      </c>
      <c r="F51" s="82" t="str">
        <f>VLOOKUP(O46,TOV!$C$536:$G$585,5,FALSE)</f>
        <v>ha</v>
      </c>
      <c r="G51" s="82" t="str">
        <f>VLOOKUP(P46,TOV!$C$536:$G$585,5,FALSE)</f>
        <v>ha</v>
      </c>
      <c r="H51" s="30" t="s">
        <v>2514</v>
      </c>
      <c r="I51" s="30" t="s">
        <v>2514</v>
      </c>
      <c r="J51" s="30" t="s">
        <v>2514</v>
      </c>
      <c r="K51" s="30" t="s">
        <v>2514</v>
      </c>
      <c r="L51" s="30" t="s">
        <v>2514</v>
      </c>
      <c r="M51" s="30" t="s">
        <v>2514</v>
      </c>
      <c r="N51" s="475"/>
      <c r="Z51" s="474"/>
      <c r="AA51" s="474"/>
      <c r="AB51" s="474"/>
      <c r="AC51" s="474"/>
      <c r="AD51" s="474"/>
      <c r="AE51" s="474"/>
      <c r="AF51" s="474"/>
      <c r="AG51" s="474"/>
      <c r="AH51" s="434"/>
      <c r="AI51" s="434"/>
      <c r="AJ51" s="434"/>
      <c r="AK51" s="434"/>
      <c r="AL51" s="434"/>
      <c r="AM51" s="434"/>
      <c r="AN51" s="434"/>
      <c r="AO51" s="434"/>
    </row>
    <row r="52" spans="1:41" s="520" customFormat="1" ht="15">
      <c r="B52" s="301"/>
      <c r="C52" s="989">
        <v>1</v>
      </c>
      <c r="D52" s="187"/>
      <c r="E52" s="316"/>
      <c r="F52" s="316"/>
      <c r="G52" s="316"/>
      <c r="H52" s="316"/>
      <c r="I52" s="316"/>
      <c r="J52" s="316"/>
      <c r="K52" s="316"/>
      <c r="L52" s="316"/>
      <c r="M52" s="316"/>
      <c r="N52" s="351">
        <f t="shared" ref="N52:N61" si="44">IF(E52&gt;0,E52*IF(N$48="",N$47,N$48),0)</f>
        <v>0</v>
      </c>
      <c r="O52" s="351">
        <f t="shared" ref="O52:O61" si="45">IF(F52&gt;0,F52*IF(O$48="",O$47,O$48),0)</f>
        <v>0</v>
      </c>
      <c r="P52" s="351">
        <f t="shared" ref="P52:P61" si="46">IF(G52&gt;0,G52*IF(P$48="",P$47,P$48),0)</f>
        <v>0</v>
      </c>
      <c r="Q52" s="351">
        <f>IF(H52&gt;0,H52*Q$48,0)</f>
        <v>0</v>
      </c>
      <c r="R52" s="351">
        <f>IF(I52&gt;0,I52*R$48,0)</f>
        <v>0</v>
      </c>
      <c r="S52" s="351">
        <f t="shared" ref="R52:V61" si="47">IF(J52&gt;0,J52*S$48,0)</f>
        <v>0</v>
      </c>
      <c r="T52" s="351">
        <f t="shared" si="47"/>
        <v>0</v>
      </c>
      <c r="U52" s="351">
        <f t="shared" si="47"/>
        <v>0</v>
      </c>
      <c r="V52" s="351">
        <f t="shared" si="47"/>
        <v>0</v>
      </c>
      <c r="W52" s="122">
        <f t="shared" ref="W52:W61" si="48">SUM(N52:V52)</f>
        <v>0</v>
      </c>
      <c r="X52" s="291"/>
      <c r="Y52" s="122">
        <f>IF(X52="",W52,X52)</f>
        <v>0</v>
      </c>
      <c r="Z52" s="215"/>
      <c r="AA52" s="294"/>
      <c r="AB52" s="294"/>
      <c r="AC52" s="294"/>
      <c r="AD52" s="294"/>
      <c r="AE52" s="294"/>
      <c r="AF52" s="294"/>
      <c r="AG52" s="295"/>
      <c r="AH52" s="434"/>
      <c r="AI52" s="434"/>
      <c r="AJ52" s="434"/>
      <c r="AK52" s="434"/>
      <c r="AL52" s="434"/>
      <c r="AM52" s="495"/>
      <c r="AN52" s="495"/>
      <c r="AO52" s="495"/>
    </row>
    <row r="53" spans="1:41" s="520" customFormat="1" ht="15">
      <c r="B53" s="301"/>
      <c r="C53" s="1266">
        <f t="shared" ref="C53:C61" si="49">C52+1</f>
        <v>2</v>
      </c>
      <c r="D53" s="187"/>
      <c r="E53" s="316"/>
      <c r="F53" s="316"/>
      <c r="G53" s="316"/>
      <c r="H53" s="316"/>
      <c r="I53" s="316"/>
      <c r="J53" s="316"/>
      <c r="K53" s="316"/>
      <c r="L53" s="316"/>
      <c r="M53" s="316"/>
      <c r="N53" s="351">
        <f t="shared" si="44"/>
        <v>0</v>
      </c>
      <c r="O53" s="351">
        <f t="shared" si="45"/>
        <v>0</v>
      </c>
      <c r="P53" s="351">
        <f t="shared" si="46"/>
        <v>0</v>
      </c>
      <c r="Q53" s="351">
        <f t="shared" ref="Q53:Q60" si="50">IF(H53&gt;0,H53*Q$48,0)</f>
        <v>0</v>
      </c>
      <c r="R53" s="351">
        <f t="shared" si="47"/>
        <v>0</v>
      </c>
      <c r="S53" s="351">
        <f t="shared" si="47"/>
        <v>0</v>
      </c>
      <c r="T53" s="351">
        <f t="shared" si="47"/>
        <v>0</v>
      </c>
      <c r="U53" s="351">
        <f t="shared" si="47"/>
        <v>0</v>
      </c>
      <c r="V53" s="351">
        <f t="shared" si="47"/>
        <v>0</v>
      </c>
      <c r="W53" s="122">
        <f t="shared" si="48"/>
        <v>0</v>
      </c>
      <c r="X53" s="291"/>
      <c r="Y53" s="122">
        <f t="shared" ref="Y53:Y61" si="51">IF(X53="",W53,X53)</f>
        <v>0</v>
      </c>
      <c r="Z53" s="215"/>
      <c r="AA53" s="294"/>
      <c r="AB53" s="294"/>
      <c r="AC53" s="294"/>
      <c r="AD53" s="294"/>
      <c r="AE53" s="294"/>
      <c r="AF53" s="294"/>
      <c r="AG53" s="295"/>
      <c r="AH53" s="434"/>
      <c r="AI53" s="434"/>
      <c r="AJ53" s="434"/>
      <c r="AK53" s="434"/>
      <c r="AL53" s="434"/>
      <c r="AM53" s="495"/>
      <c r="AN53" s="495"/>
      <c r="AO53" s="495"/>
    </row>
    <row r="54" spans="1:41" s="520" customFormat="1" ht="15">
      <c r="B54" s="301"/>
      <c r="C54" s="1266">
        <f t="shared" si="49"/>
        <v>3</v>
      </c>
      <c r="D54" s="187"/>
      <c r="E54" s="316"/>
      <c r="F54" s="316"/>
      <c r="G54" s="316"/>
      <c r="H54" s="316"/>
      <c r="I54" s="316"/>
      <c r="J54" s="316"/>
      <c r="K54" s="316"/>
      <c r="L54" s="316"/>
      <c r="M54" s="316"/>
      <c r="N54" s="351">
        <f t="shared" si="44"/>
        <v>0</v>
      </c>
      <c r="O54" s="351">
        <f t="shared" si="45"/>
        <v>0</v>
      </c>
      <c r="P54" s="351">
        <f t="shared" si="46"/>
        <v>0</v>
      </c>
      <c r="Q54" s="351">
        <f t="shared" si="50"/>
        <v>0</v>
      </c>
      <c r="R54" s="351">
        <f t="shared" si="47"/>
        <v>0</v>
      </c>
      <c r="S54" s="351">
        <f t="shared" si="47"/>
        <v>0</v>
      </c>
      <c r="T54" s="351">
        <f t="shared" si="47"/>
        <v>0</v>
      </c>
      <c r="U54" s="351">
        <f t="shared" si="47"/>
        <v>0</v>
      </c>
      <c r="V54" s="351">
        <f t="shared" si="47"/>
        <v>0</v>
      </c>
      <c r="W54" s="122">
        <f t="shared" si="48"/>
        <v>0</v>
      </c>
      <c r="X54" s="291"/>
      <c r="Y54" s="122">
        <f t="shared" si="51"/>
        <v>0</v>
      </c>
      <c r="Z54" s="215"/>
      <c r="AA54" s="294"/>
      <c r="AB54" s="294"/>
      <c r="AC54" s="294"/>
      <c r="AD54" s="294"/>
      <c r="AE54" s="294"/>
      <c r="AF54" s="294"/>
      <c r="AG54" s="295"/>
      <c r="AH54" s="434"/>
      <c r="AI54" s="434"/>
      <c r="AJ54" s="434"/>
      <c r="AK54" s="434"/>
      <c r="AL54" s="434"/>
    </row>
    <row r="55" spans="1:41" s="520" customFormat="1" ht="15">
      <c r="B55" s="301"/>
      <c r="C55" s="1266">
        <f t="shared" si="49"/>
        <v>4</v>
      </c>
      <c r="D55" s="187"/>
      <c r="E55" s="316"/>
      <c r="F55" s="316"/>
      <c r="G55" s="316"/>
      <c r="H55" s="316"/>
      <c r="I55" s="316"/>
      <c r="J55" s="316"/>
      <c r="K55" s="316"/>
      <c r="L55" s="316"/>
      <c r="M55" s="316"/>
      <c r="N55" s="351">
        <f t="shared" si="44"/>
        <v>0</v>
      </c>
      <c r="O55" s="351">
        <f t="shared" si="45"/>
        <v>0</v>
      </c>
      <c r="P55" s="351">
        <f t="shared" si="46"/>
        <v>0</v>
      </c>
      <c r="Q55" s="351">
        <f t="shared" si="50"/>
        <v>0</v>
      </c>
      <c r="R55" s="351">
        <f t="shared" si="47"/>
        <v>0</v>
      </c>
      <c r="S55" s="351">
        <f t="shared" si="47"/>
        <v>0</v>
      </c>
      <c r="T55" s="351">
        <f t="shared" si="47"/>
        <v>0</v>
      </c>
      <c r="U55" s="351">
        <f t="shared" si="47"/>
        <v>0</v>
      </c>
      <c r="V55" s="351">
        <f t="shared" si="47"/>
        <v>0</v>
      </c>
      <c r="W55" s="122">
        <f t="shared" si="48"/>
        <v>0</v>
      </c>
      <c r="X55" s="291"/>
      <c r="Y55" s="122">
        <f t="shared" si="51"/>
        <v>0</v>
      </c>
      <c r="Z55" s="215"/>
      <c r="AA55" s="294"/>
      <c r="AB55" s="294"/>
      <c r="AC55" s="294"/>
      <c r="AD55" s="294"/>
      <c r="AE55" s="294"/>
      <c r="AF55" s="294"/>
      <c r="AG55" s="295"/>
      <c r="AH55" s="434"/>
      <c r="AI55" s="434"/>
      <c r="AJ55" s="434"/>
      <c r="AK55" s="434"/>
      <c r="AL55" s="434"/>
    </row>
    <row r="56" spans="1:41" s="520" customFormat="1" ht="15">
      <c r="B56" s="301"/>
      <c r="C56" s="1266">
        <f t="shared" si="49"/>
        <v>5</v>
      </c>
      <c r="D56" s="187"/>
      <c r="E56" s="316"/>
      <c r="F56" s="316"/>
      <c r="G56" s="316"/>
      <c r="H56" s="316"/>
      <c r="I56" s="316"/>
      <c r="J56" s="316"/>
      <c r="K56" s="316"/>
      <c r="L56" s="316"/>
      <c r="M56" s="316"/>
      <c r="N56" s="351">
        <f t="shared" si="44"/>
        <v>0</v>
      </c>
      <c r="O56" s="351">
        <f t="shared" si="45"/>
        <v>0</v>
      </c>
      <c r="P56" s="351">
        <f t="shared" si="46"/>
        <v>0</v>
      </c>
      <c r="Q56" s="351">
        <f t="shared" si="50"/>
        <v>0</v>
      </c>
      <c r="R56" s="351">
        <f t="shared" si="47"/>
        <v>0</v>
      </c>
      <c r="S56" s="351">
        <f t="shared" si="47"/>
        <v>0</v>
      </c>
      <c r="T56" s="351">
        <f t="shared" si="47"/>
        <v>0</v>
      </c>
      <c r="U56" s="351">
        <f t="shared" si="47"/>
        <v>0</v>
      </c>
      <c r="V56" s="351">
        <f t="shared" si="47"/>
        <v>0</v>
      </c>
      <c r="W56" s="122">
        <f t="shared" si="48"/>
        <v>0</v>
      </c>
      <c r="X56" s="291"/>
      <c r="Y56" s="122">
        <f t="shared" si="51"/>
        <v>0</v>
      </c>
      <c r="Z56" s="215"/>
      <c r="AA56" s="294"/>
      <c r="AB56" s="294"/>
      <c r="AC56" s="294"/>
      <c r="AD56" s="294"/>
      <c r="AE56" s="294"/>
      <c r="AF56" s="294"/>
      <c r="AG56" s="295"/>
      <c r="AH56" s="434"/>
      <c r="AI56" s="434"/>
      <c r="AJ56" s="434"/>
      <c r="AK56" s="434"/>
      <c r="AL56" s="434"/>
    </row>
    <row r="57" spans="1:41" s="520" customFormat="1" ht="15">
      <c r="B57" s="301"/>
      <c r="C57" s="1266">
        <f t="shared" si="49"/>
        <v>6</v>
      </c>
      <c r="D57" s="187"/>
      <c r="E57" s="316"/>
      <c r="F57" s="316"/>
      <c r="G57" s="316"/>
      <c r="H57" s="316"/>
      <c r="I57" s="316"/>
      <c r="J57" s="316"/>
      <c r="K57" s="316"/>
      <c r="L57" s="316"/>
      <c r="M57" s="316"/>
      <c r="N57" s="351">
        <f t="shared" si="44"/>
        <v>0</v>
      </c>
      <c r="O57" s="351">
        <f t="shared" si="45"/>
        <v>0</v>
      </c>
      <c r="P57" s="351">
        <f t="shared" si="46"/>
        <v>0</v>
      </c>
      <c r="Q57" s="351">
        <f t="shared" si="50"/>
        <v>0</v>
      </c>
      <c r="R57" s="351">
        <f t="shared" si="47"/>
        <v>0</v>
      </c>
      <c r="S57" s="351">
        <f t="shared" si="47"/>
        <v>0</v>
      </c>
      <c r="T57" s="351">
        <f t="shared" si="47"/>
        <v>0</v>
      </c>
      <c r="U57" s="351">
        <f t="shared" si="47"/>
        <v>0</v>
      </c>
      <c r="V57" s="351">
        <f t="shared" si="47"/>
        <v>0</v>
      </c>
      <c r="W57" s="122">
        <f t="shared" si="48"/>
        <v>0</v>
      </c>
      <c r="X57" s="291"/>
      <c r="Y57" s="122">
        <f t="shared" si="51"/>
        <v>0</v>
      </c>
      <c r="Z57" s="215"/>
      <c r="AA57" s="294"/>
      <c r="AB57" s="294"/>
      <c r="AC57" s="294"/>
      <c r="AD57" s="294"/>
      <c r="AE57" s="294"/>
      <c r="AF57" s="294"/>
      <c r="AG57" s="295"/>
      <c r="AH57" s="434"/>
      <c r="AI57" s="434"/>
      <c r="AJ57" s="434"/>
      <c r="AK57" s="434"/>
      <c r="AL57" s="434"/>
    </row>
    <row r="58" spans="1:41" s="520" customFormat="1" ht="15">
      <c r="B58" s="301"/>
      <c r="C58" s="1266">
        <f t="shared" si="49"/>
        <v>7</v>
      </c>
      <c r="D58" s="187"/>
      <c r="E58" s="316"/>
      <c r="F58" s="316"/>
      <c r="G58" s="316"/>
      <c r="H58" s="316"/>
      <c r="I58" s="316"/>
      <c r="J58" s="316"/>
      <c r="K58" s="316"/>
      <c r="L58" s="316"/>
      <c r="M58" s="316"/>
      <c r="N58" s="351">
        <f t="shared" si="44"/>
        <v>0</v>
      </c>
      <c r="O58" s="351">
        <f t="shared" si="45"/>
        <v>0</v>
      </c>
      <c r="P58" s="351">
        <f t="shared" si="46"/>
        <v>0</v>
      </c>
      <c r="Q58" s="351">
        <f t="shared" si="50"/>
        <v>0</v>
      </c>
      <c r="R58" s="351">
        <f t="shared" si="47"/>
        <v>0</v>
      </c>
      <c r="S58" s="351">
        <f t="shared" si="47"/>
        <v>0</v>
      </c>
      <c r="T58" s="351">
        <f t="shared" si="47"/>
        <v>0</v>
      </c>
      <c r="U58" s="351">
        <f t="shared" si="47"/>
        <v>0</v>
      </c>
      <c r="V58" s="351">
        <f t="shared" si="47"/>
        <v>0</v>
      </c>
      <c r="W58" s="122">
        <f t="shared" si="48"/>
        <v>0</v>
      </c>
      <c r="X58" s="291"/>
      <c r="Y58" s="122">
        <f t="shared" si="51"/>
        <v>0</v>
      </c>
      <c r="Z58" s="215"/>
      <c r="AA58" s="294"/>
      <c r="AB58" s="294"/>
      <c r="AC58" s="294"/>
      <c r="AD58" s="294"/>
      <c r="AE58" s="294"/>
      <c r="AF58" s="294"/>
      <c r="AG58" s="295"/>
      <c r="AH58" s="434"/>
      <c r="AI58" s="434"/>
      <c r="AJ58" s="434"/>
      <c r="AK58" s="434"/>
      <c r="AL58" s="434"/>
    </row>
    <row r="59" spans="1:41" s="520" customFormat="1" ht="15">
      <c r="B59" s="301"/>
      <c r="C59" s="1266">
        <f t="shared" si="49"/>
        <v>8</v>
      </c>
      <c r="D59" s="187"/>
      <c r="E59" s="316"/>
      <c r="F59" s="316"/>
      <c r="G59" s="316"/>
      <c r="H59" s="316"/>
      <c r="I59" s="316"/>
      <c r="J59" s="316"/>
      <c r="K59" s="316"/>
      <c r="L59" s="316"/>
      <c r="M59" s="316"/>
      <c r="N59" s="351">
        <f t="shared" si="44"/>
        <v>0</v>
      </c>
      <c r="O59" s="351">
        <f t="shared" si="45"/>
        <v>0</v>
      </c>
      <c r="P59" s="351">
        <f t="shared" si="46"/>
        <v>0</v>
      </c>
      <c r="Q59" s="351">
        <f t="shared" si="50"/>
        <v>0</v>
      </c>
      <c r="R59" s="351">
        <f t="shared" si="47"/>
        <v>0</v>
      </c>
      <c r="S59" s="351">
        <f t="shared" si="47"/>
        <v>0</v>
      </c>
      <c r="T59" s="351">
        <f t="shared" si="47"/>
        <v>0</v>
      </c>
      <c r="U59" s="351">
        <f t="shared" si="47"/>
        <v>0</v>
      </c>
      <c r="V59" s="351">
        <f t="shared" si="47"/>
        <v>0</v>
      </c>
      <c r="W59" s="122">
        <f t="shared" si="48"/>
        <v>0</v>
      </c>
      <c r="X59" s="291"/>
      <c r="Y59" s="122">
        <f t="shared" si="51"/>
        <v>0</v>
      </c>
      <c r="Z59" s="215"/>
      <c r="AA59" s="294"/>
      <c r="AB59" s="294"/>
      <c r="AC59" s="294"/>
      <c r="AD59" s="294"/>
      <c r="AE59" s="294"/>
      <c r="AF59" s="294"/>
      <c r="AG59" s="295"/>
      <c r="AH59" s="434"/>
      <c r="AI59" s="434"/>
      <c r="AJ59" s="434"/>
      <c r="AK59" s="434"/>
      <c r="AL59" s="434"/>
    </row>
    <row r="60" spans="1:41" s="520" customFormat="1" ht="15">
      <c r="B60" s="301"/>
      <c r="C60" s="1266">
        <f t="shared" si="49"/>
        <v>9</v>
      </c>
      <c r="D60" s="187"/>
      <c r="E60" s="316"/>
      <c r="F60" s="316"/>
      <c r="G60" s="316"/>
      <c r="H60" s="316"/>
      <c r="I60" s="316"/>
      <c r="J60" s="316"/>
      <c r="K60" s="316"/>
      <c r="L60" s="316"/>
      <c r="M60" s="316"/>
      <c r="N60" s="351">
        <f t="shared" si="44"/>
        <v>0</v>
      </c>
      <c r="O60" s="351">
        <f t="shared" si="45"/>
        <v>0</v>
      </c>
      <c r="P60" s="351">
        <f t="shared" si="46"/>
        <v>0</v>
      </c>
      <c r="Q60" s="351">
        <f t="shared" si="50"/>
        <v>0</v>
      </c>
      <c r="R60" s="351">
        <f t="shared" si="47"/>
        <v>0</v>
      </c>
      <c r="S60" s="351">
        <f t="shared" si="47"/>
        <v>0</v>
      </c>
      <c r="T60" s="351">
        <f t="shared" si="47"/>
        <v>0</v>
      </c>
      <c r="U60" s="351">
        <f t="shared" si="47"/>
        <v>0</v>
      </c>
      <c r="V60" s="351">
        <f t="shared" si="47"/>
        <v>0</v>
      </c>
      <c r="W60" s="122">
        <f t="shared" si="48"/>
        <v>0</v>
      </c>
      <c r="X60" s="291"/>
      <c r="Y60" s="122">
        <f t="shared" si="51"/>
        <v>0</v>
      </c>
      <c r="Z60" s="215"/>
      <c r="AA60" s="294"/>
      <c r="AB60" s="294"/>
      <c r="AC60" s="294"/>
      <c r="AD60" s="294"/>
      <c r="AE60" s="294"/>
      <c r="AF60" s="294"/>
      <c r="AG60" s="295"/>
      <c r="AH60" s="434"/>
      <c r="AI60" s="434"/>
      <c r="AJ60" s="434"/>
      <c r="AK60" s="434"/>
      <c r="AL60" s="434"/>
    </row>
    <row r="61" spans="1:41" s="520" customFormat="1" ht="15">
      <c r="B61" s="301"/>
      <c r="C61" s="1266">
        <f t="shared" si="49"/>
        <v>10</v>
      </c>
      <c r="D61" s="187"/>
      <c r="E61" s="316"/>
      <c r="F61" s="316"/>
      <c r="G61" s="316"/>
      <c r="H61" s="316"/>
      <c r="I61" s="316"/>
      <c r="J61" s="316"/>
      <c r="K61" s="316"/>
      <c r="L61" s="316"/>
      <c r="M61" s="316"/>
      <c r="N61" s="351">
        <f t="shared" si="44"/>
        <v>0</v>
      </c>
      <c r="O61" s="351">
        <f t="shared" si="45"/>
        <v>0</v>
      </c>
      <c r="P61" s="351">
        <f t="shared" si="46"/>
        <v>0</v>
      </c>
      <c r="Q61" s="351">
        <f>IF(H61&gt;0,H61*Q$48,0)</f>
        <v>0</v>
      </c>
      <c r="R61" s="351">
        <f t="shared" si="47"/>
        <v>0</v>
      </c>
      <c r="S61" s="351">
        <f t="shared" si="47"/>
        <v>0</v>
      </c>
      <c r="T61" s="351">
        <f t="shared" si="47"/>
        <v>0</v>
      </c>
      <c r="U61" s="351">
        <f t="shared" si="47"/>
        <v>0</v>
      </c>
      <c r="V61" s="351">
        <f t="shared" si="47"/>
        <v>0</v>
      </c>
      <c r="W61" s="122">
        <f t="shared" si="48"/>
        <v>0</v>
      </c>
      <c r="X61" s="291"/>
      <c r="Y61" s="122">
        <f t="shared" si="51"/>
        <v>0</v>
      </c>
      <c r="Z61" s="215"/>
      <c r="AA61" s="294"/>
      <c r="AB61" s="294"/>
      <c r="AC61" s="294"/>
      <c r="AD61" s="294"/>
      <c r="AE61" s="294"/>
      <c r="AF61" s="294"/>
      <c r="AG61" s="295"/>
      <c r="AH61" s="434"/>
      <c r="AI61" s="434"/>
      <c r="AJ61" s="434"/>
      <c r="AK61" s="434"/>
      <c r="AL61" s="434"/>
    </row>
    <row r="62" spans="1:41" ht="18" customHeight="1">
      <c r="E62" s="869"/>
      <c r="F62" s="869"/>
      <c r="G62" s="869"/>
      <c r="H62" s="869"/>
      <c r="I62" s="869"/>
      <c r="J62" s="869"/>
      <c r="K62" s="869"/>
      <c r="L62" s="869"/>
      <c r="M62" s="869"/>
      <c r="N62" s="35"/>
      <c r="O62" s="35"/>
      <c r="P62" s="35"/>
      <c r="Q62" s="35"/>
      <c r="R62" s="35"/>
      <c r="S62" s="35"/>
      <c r="T62" s="35"/>
      <c r="U62" s="35"/>
      <c r="V62" s="35"/>
      <c r="W62" s="1105"/>
      <c r="X62" s="1105"/>
      <c r="Y62" s="953"/>
      <c r="Z62" s="434"/>
      <c r="AD62" s="434"/>
      <c r="AE62" s="434"/>
      <c r="AF62" s="434"/>
      <c r="AG62" s="434"/>
    </row>
    <row r="63" spans="1:41" ht="18" customHeight="1">
      <c r="D63" s="848" t="s">
        <v>2467</v>
      </c>
      <c r="E63" s="372">
        <f>SUM(E51:E62)</f>
        <v>0</v>
      </c>
      <c r="F63" s="372">
        <f t="shared" ref="F63:M63" si="52">SUM(F51:F62)</f>
        <v>0</v>
      </c>
      <c r="G63" s="372">
        <f t="shared" si="52"/>
        <v>0</v>
      </c>
      <c r="H63" s="372">
        <f t="shared" si="52"/>
        <v>0</v>
      </c>
      <c r="I63" s="372">
        <f t="shared" si="52"/>
        <v>0</v>
      </c>
      <c r="J63" s="372">
        <f t="shared" ref="J63" si="53">SUM(J51:J62)</f>
        <v>0</v>
      </c>
      <c r="K63" s="372">
        <f t="shared" ref="K63" si="54">SUM(K51:K62)</f>
        <v>0</v>
      </c>
      <c r="L63" s="372">
        <f t="shared" ref="L63" si="55">SUM(L51:L62)</f>
        <v>0</v>
      </c>
      <c r="M63" s="372">
        <f t="shared" si="52"/>
        <v>0</v>
      </c>
      <c r="N63" s="1020">
        <f t="shared" ref="N63" si="56">SUM(N51:N62)</f>
        <v>0</v>
      </c>
      <c r="O63" s="1020">
        <f t="shared" ref="O63" si="57">SUM(O51:O62)</f>
        <v>0</v>
      </c>
      <c r="P63" s="1020">
        <f t="shared" ref="P63" si="58">SUM(P51:P62)</f>
        <v>0</v>
      </c>
      <c r="Q63" s="1020">
        <f t="shared" ref="Q63" si="59">SUM(Q51:Q62)</f>
        <v>0</v>
      </c>
      <c r="R63" s="1020">
        <f t="shared" ref="R63" si="60">SUM(R51:R62)</f>
        <v>0</v>
      </c>
      <c r="S63" s="1020">
        <f t="shared" ref="S63" si="61">SUM(S51:S62)</f>
        <v>0</v>
      </c>
      <c r="T63" s="1020">
        <f t="shared" ref="T63" si="62">SUM(T51:T62)</f>
        <v>0</v>
      </c>
      <c r="U63" s="1020">
        <f t="shared" ref="U63" si="63">SUM(U51:U62)</f>
        <v>0</v>
      </c>
      <c r="V63" s="1020">
        <f t="shared" ref="V63" si="64">SUM(V51:V62)</f>
        <v>0</v>
      </c>
      <c r="W63" s="1248">
        <f>SUM(W51:W62)</f>
        <v>0</v>
      </c>
      <c r="X63" s="1268">
        <f t="shared" ref="X63" si="65">SUM(X51:X62)</f>
        <v>0</v>
      </c>
      <c r="Y63" s="1248">
        <f t="shared" ref="Y63" si="66">SUM(Y51:Y62)</f>
        <v>0</v>
      </c>
      <c r="Z63" s="904">
        <f>IF(SUM(E63:M63)=0,0,Y63/SUM(E63:M63))</f>
        <v>0</v>
      </c>
      <c r="AD63" s="434"/>
      <c r="AE63" s="434"/>
      <c r="AF63" s="434"/>
      <c r="AG63" s="434"/>
    </row>
    <row r="64" spans="1:41" ht="18" customHeight="1">
      <c r="A64" s="434"/>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row>
    <row r="65" spans="2:45" ht="25.15" customHeight="1">
      <c r="O65" s="474"/>
      <c r="P65" s="474"/>
      <c r="Q65" s="1049" t="str">
        <f>IF(Q68="","No Alert","Enter justification")</f>
        <v>No Alert</v>
      </c>
      <c r="R65" s="1049" t="str">
        <f t="shared" ref="R65:AB65" si="67">IF(R68="","No Alert","Enter justification")</f>
        <v>No Alert</v>
      </c>
      <c r="S65" s="1049" t="str">
        <f t="shared" si="67"/>
        <v>No Alert</v>
      </c>
      <c r="T65" s="1049" t="str">
        <f t="shared" si="67"/>
        <v>No Alert</v>
      </c>
      <c r="U65" s="1049" t="str">
        <f t="shared" si="67"/>
        <v>No Alert</v>
      </c>
      <c r="V65" s="1049" t="str">
        <f t="shared" si="67"/>
        <v>No Alert</v>
      </c>
      <c r="W65" s="1049" t="str">
        <f t="shared" si="67"/>
        <v>No Alert</v>
      </c>
      <c r="X65" s="1049" t="str">
        <f t="shared" si="67"/>
        <v>No Alert</v>
      </c>
      <c r="Y65" s="1049" t="str">
        <f t="shared" si="67"/>
        <v>No Alert</v>
      </c>
      <c r="Z65" s="1049" t="str">
        <f t="shared" si="67"/>
        <v>No Alert</v>
      </c>
      <c r="AA65" s="1049" t="str">
        <f t="shared" si="67"/>
        <v>No Alert</v>
      </c>
      <c r="AB65" s="1049" t="str">
        <f t="shared" si="67"/>
        <v>No Alert</v>
      </c>
      <c r="AH65" s="434"/>
      <c r="AI65" s="434"/>
      <c r="AJ65" s="434"/>
      <c r="AK65" s="434"/>
      <c r="AL65" s="434"/>
      <c r="AM65" s="434"/>
      <c r="AN65" s="434"/>
      <c r="AO65" s="434"/>
      <c r="AP65" s="434"/>
      <c r="AQ65" s="434"/>
      <c r="AR65" s="434"/>
      <c r="AS65" s="434"/>
    </row>
    <row r="66" spans="2:45" ht="18" customHeight="1">
      <c r="B66" s="639"/>
      <c r="C66" s="639"/>
      <c r="H66" s="747"/>
      <c r="I66" s="747"/>
      <c r="J66" s="747"/>
      <c r="K66" s="747"/>
      <c r="L66" s="747"/>
      <c r="M66" s="747"/>
      <c r="P66" s="848" t="s">
        <v>1596</v>
      </c>
      <c r="Q66" s="828" t="str">
        <f>TOV!$C552</f>
        <v>#14.17</v>
      </c>
      <c r="R66" s="828" t="str">
        <f>TOV!$C553</f>
        <v>#14.18</v>
      </c>
      <c r="S66" s="828" t="str">
        <f>TOV!$C554</f>
        <v>#14.19</v>
      </c>
      <c r="T66" s="828" t="str">
        <f>TOV!$C555</f>
        <v>#14.20</v>
      </c>
      <c r="U66" s="828" t="str">
        <f>TOV!$C556</f>
        <v>#14.21</v>
      </c>
      <c r="V66" s="828" t="str">
        <f>TOV!$C557</f>
        <v>#14.22</v>
      </c>
      <c r="W66" s="828" t="str">
        <f>TOV!$C558</f>
        <v>#14.23</v>
      </c>
      <c r="X66" s="828" t="str">
        <f>TOV!$C559</f>
        <v>#14.24</v>
      </c>
      <c r="Y66" s="828" t="str">
        <f>TOV!$C560</f>
        <v>#14.25</v>
      </c>
      <c r="Z66" s="828" t="str">
        <f>TOV!$C561</f>
        <v>#14.26</v>
      </c>
      <c r="AA66" s="828" t="str">
        <f>TOV!$C562</f>
        <v>#14.27</v>
      </c>
      <c r="AB66" s="828" t="str">
        <f>TOV!$C563</f>
        <v>#14.28</v>
      </c>
    </row>
    <row r="67" spans="2:45" ht="18" customHeight="1">
      <c r="B67" s="1264"/>
      <c r="C67" s="639"/>
      <c r="D67" s="1264"/>
      <c r="E67" s="1264"/>
      <c r="F67" s="1264"/>
      <c r="G67" s="1264"/>
      <c r="H67" s="1264"/>
      <c r="I67" s="747"/>
      <c r="J67" s="747"/>
      <c r="K67" s="747"/>
      <c r="L67" s="747"/>
      <c r="M67" s="747"/>
      <c r="P67" s="848" t="s">
        <v>35</v>
      </c>
      <c r="Q67" s="81">
        <f>VLOOKUP(Q66,TOV!$C$536:$G$585,4,FALSE)</f>
        <v>421.47792334421462</v>
      </c>
      <c r="R67" s="81">
        <f>VLOOKUP(R66,TOV!$C$536:$G$585,4,FALSE)</f>
        <v>465.64040638424905</v>
      </c>
      <c r="S67" s="81">
        <f>VLOOKUP(S66,TOV!$C$536:$G$585,4,FALSE)</f>
        <v>507.04139005304256</v>
      </c>
      <c r="T67" s="81">
        <f>VLOOKUP(T66,TOV!$C$536:$G$585,4,FALSE)</f>
        <v>560.80974503748359</v>
      </c>
      <c r="U67" s="81">
        <f>VLOOKUP(U66,TOV!$C$536:$G$585,4,FALSE)</f>
        <v>662.33194414714558</v>
      </c>
      <c r="V67" s="81">
        <f>VLOOKUP(V66,TOV!$C$536:$G$585,4,FALSE)</f>
        <v>763.90690410228387</v>
      </c>
      <c r="W67" s="81">
        <f>VLOOKUP(W66,TOV!$C$536:$G$585,4,FALSE)</f>
        <v>8484.3805049924795</v>
      </c>
      <c r="X67" s="81">
        <f>VLOOKUP(X66,TOV!$C$536:$G$585,4,FALSE)</f>
        <v>6032.9741663679506</v>
      </c>
      <c r="Y67" s="81">
        <f>VLOOKUP(Y66,TOV!$C$536:$G$585,4,FALSE)</f>
        <v>3850.1543486386167</v>
      </c>
      <c r="Z67" s="81">
        <f>VLOOKUP(Z66,TOV!$C$536:$G$585,4,FALSE)</f>
        <v>3007.0098154379016</v>
      </c>
      <c r="AA67" s="81">
        <f>VLOOKUP(AA66,TOV!$C$536:$G$585,4,FALSE)</f>
        <v>2945.2971856984341</v>
      </c>
      <c r="AB67" s="81">
        <f>VLOOKUP(AB66,TOV!$C$536:$G$585,4,FALSE)</f>
        <v>2658.3479150870112</v>
      </c>
    </row>
    <row r="68" spans="2:45" ht="18" customHeight="1">
      <c r="E68" s="475"/>
      <c r="O68" s="474"/>
      <c r="P68" s="848" t="s">
        <v>2502</v>
      </c>
      <c r="Q68" s="291"/>
      <c r="R68" s="291"/>
      <c r="S68" s="291"/>
      <c r="T68" s="291"/>
      <c r="U68" s="291"/>
      <c r="V68" s="291"/>
      <c r="W68" s="291"/>
      <c r="X68" s="291"/>
      <c r="Y68" s="291"/>
      <c r="Z68" s="291"/>
      <c r="AA68" s="291"/>
      <c r="AB68" s="291"/>
    </row>
    <row r="69" spans="2:45" ht="18" customHeight="1">
      <c r="B69" s="286" t="s">
        <v>26</v>
      </c>
      <c r="C69" s="1038" t="s">
        <v>2522</v>
      </c>
      <c r="D69" s="1265"/>
      <c r="E69" s="639"/>
      <c r="F69" s="639"/>
      <c r="G69" s="639"/>
      <c r="H69" s="639"/>
      <c r="I69" s="639"/>
      <c r="J69" s="639"/>
      <c r="K69" s="639"/>
      <c r="L69" s="639"/>
      <c r="M69" s="639"/>
      <c r="N69" s="639"/>
      <c r="O69" s="639"/>
      <c r="P69" s="848" t="s">
        <v>1597</v>
      </c>
      <c r="Q69" s="82" t="str">
        <f>E71</f>
        <v>ha</v>
      </c>
      <c r="R69" s="82" t="str">
        <f t="shared" ref="R69:AB69" si="68">F71</f>
        <v>ha</v>
      </c>
      <c r="S69" s="82" t="str">
        <f t="shared" si="68"/>
        <v>ha</v>
      </c>
      <c r="T69" s="82" t="str">
        <f t="shared" si="68"/>
        <v>ha</v>
      </c>
      <c r="U69" s="82" t="str">
        <f t="shared" si="68"/>
        <v>ha</v>
      </c>
      <c r="V69" s="82" t="str">
        <f t="shared" si="68"/>
        <v>ha</v>
      </c>
      <c r="W69" s="82" t="str">
        <f t="shared" si="68"/>
        <v>ha</v>
      </c>
      <c r="X69" s="82" t="str">
        <f t="shared" si="68"/>
        <v>ha</v>
      </c>
      <c r="Y69" s="82" t="str">
        <f t="shared" si="68"/>
        <v>ha</v>
      </c>
      <c r="Z69" s="82" t="str">
        <f t="shared" si="68"/>
        <v>ha</v>
      </c>
      <c r="AA69" s="82" t="str">
        <f t="shared" si="68"/>
        <v>ha</v>
      </c>
      <c r="AB69" s="82" t="str">
        <f t="shared" si="68"/>
        <v>ha</v>
      </c>
      <c r="AD69" s="639"/>
      <c r="AE69" s="639"/>
      <c r="AF69" s="639"/>
    </row>
    <row r="70" spans="2:45" ht="70.150000000000006" customHeight="1">
      <c r="B70" s="773" t="s">
        <v>1517</v>
      </c>
      <c r="C70" s="773" t="s">
        <v>27</v>
      </c>
      <c r="D70" s="773" t="s">
        <v>2456</v>
      </c>
      <c r="E70" s="773" t="str">
        <f>VLOOKUP(Q66,TOV!$C$536:$G$585,3,FALSE)</f>
        <v>General doze deep ripping - D6R</v>
      </c>
      <c r="F70" s="773" t="str">
        <f>VLOOKUP(R66,TOV!$C$536:$G$585,3,FALSE)</f>
        <v>General doze deep ripping - D7R</v>
      </c>
      <c r="G70" s="773" t="str">
        <f>VLOOKUP(S66,TOV!$C$536:$G$585,3,FALSE)</f>
        <v>General doze deep ripping - D8R</v>
      </c>
      <c r="H70" s="773" t="str">
        <f>VLOOKUP(T66,TOV!$C$536:$G$585,3,FALSE)</f>
        <v>General doze deep ripping - D9R</v>
      </c>
      <c r="I70" s="773" t="str">
        <f>VLOOKUP(U66,TOV!$C$536:$G$585,3,FALSE)</f>
        <v>General doze deep ripping - D10T</v>
      </c>
      <c r="J70" s="773" t="str">
        <f>VLOOKUP(V66,TOV!$C$536:$G$585,3,FALSE)</f>
        <v>General doze deep ripping - D11T</v>
      </c>
      <c r="K70" s="773" t="str">
        <f>VLOOKUP(W66,TOV!$C$536:$G$585,3,FALSE)</f>
        <v>General doze and shape to re-establish natural drainage and rip - D6R dozer</v>
      </c>
      <c r="L70" s="773" t="str">
        <f>VLOOKUP(X66,TOV!$C$536:$G$585,3,FALSE)</f>
        <v>General doze and shape to re-establish natural drainage and rip - D7R dozer</v>
      </c>
      <c r="M70" s="773" t="str">
        <f>VLOOKUP(Y66,TOV!$C$536:$G$585,3,FALSE)</f>
        <v>General doze and shape to re-establish natural drainage and rip - D8R dozer</v>
      </c>
      <c r="N70" s="773" t="str">
        <f>VLOOKUP(Z66,TOV!$C$536:$G$585,3,FALSE)</f>
        <v>General doze and shape to re-establish natural drainage and rip - D9R dozer</v>
      </c>
      <c r="O70" s="773" t="str">
        <f>VLOOKUP(AA66,TOV!$C$536:$G$585,3,FALSE)</f>
        <v>General doze and shape to re-establish natural drainage and rip - D10T dozer</v>
      </c>
      <c r="P70" s="773" t="str">
        <f>VLOOKUP(AB66,TOV!$C$536:$G$585,3,FALSE)</f>
        <v>General doze and shape to re-establish natural drainage and rip - D11T dozer</v>
      </c>
      <c r="Q70" s="773" t="str">
        <f>CONCATENATE(E70," ($)")</f>
        <v>General doze deep ripping - D6R ($)</v>
      </c>
      <c r="R70" s="773" t="str">
        <f t="shared" ref="R70:Y70" si="69">CONCATENATE(F70," ($)")</f>
        <v>General doze deep ripping - D7R ($)</v>
      </c>
      <c r="S70" s="773" t="str">
        <f t="shared" si="69"/>
        <v>General doze deep ripping - D8R ($)</v>
      </c>
      <c r="T70" s="773" t="str">
        <f t="shared" si="69"/>
        <v>General doze deep ripping - D9R ($)</v>
      </c>
      <c r="U70" s="773" t="str">
        <f t="shared" si="69"/>
        <v>General doze deep ripping - D10T ($)</v>
      </c>
      <c r="V70" s="773" t="str">
        <f t="shared" si="69"/>
        <v>General doze deep ripping - D11T ($)</v>
      </c>
      <c r="W70" s="773" t="str">
        <f t="shared" si="69"/>
        <v>General doze and shape to re-establish natural drainage and rip - D6R dozer ($)</v>
      </c>
      <c r="X70" s="773" t="str">
        <f t="shared" si="69"/>
        <v>General doze and shape to re-establish natural drainage and rip - D7R dozer ($)</v>
      </c>
      <c r="Y70" s="773" t="str">
        <f t="shared" si="69"/>
        <v>General doze and shape to re-establish natural drainage and rip - D8R dozer ($)</v>
      </c>
      <c r="Z70" s="773" t="str">
        <f t="shared" ref="Z70" si="70">CONCATENATE(N70," ($)")</f>
        <v>General doze and shape to re-establish natural drainage and rip - D9R dozer ($)</v>
      </c>
      <c r="AA70" s="773" t="str">
        <f t="shared" ref="AA70:AB70" si="71">CONCATENATE(O70," ($)")</f>
        <v>General doze and shape to re-establish natural drainage and rip - D10T dozer ($)</v>
      </c>
      <c r="AB70" s="773" t="str">
        <f t="shared" si="71"/>
        <v>General doze and shape to re-establish natural drainage and rip - D11T dozer ($)</v>
      </c>
      <c r="AC70" s="775" t="s">
        <v>83</v>
      </c>
      <c r="AD70" s="773" t="s">
        <v>2509</v>
      </c>
      <c r="AE70" s="775" t="s">
        <v>2466</v>
      </c>
      <c r="AF70" s="776" t="s">
        <v>1526</v>
      </c>
      <c r="AG70" s="777"/>
      <c r="AH70" s="777"/>
      <c r="AI70" s="777"/>
      <c r="AJ70" s="777"/>
      <c r="AK70" s="777"/>
      <c r="AL70" s="777"/>
      <c r="AM70" s="778"/>
      <c r="AN70" s="434"/>
      <c r="AO70" s="434"/>
    </row>
    <row r="71" spans="2:45" ht="18" customHeight="1">
      <c r="E71" s="82" t="str">
        <f>VLOOKUP(Q66,TOV!$C$536:$G$585,5,FALSE)</f>
        <v>ha</v>
      </c>
      <c r="F71" s="82" t="str">
        <f>VLOOKUP(R66,TOV!$C$536:$G$585,5,FALSE)</f>
        <v>ha</v>
      </c>
      <c r="G71" s="82" t="str">
        <f>VLOOKUP(S66,TOV!$C$536:$G$585,5,FALSE)</f>
        <v>ha</v>
      </c>
      <c r="H71" s="82" t="str">
        <f>VLOOKUP(T66,TOV!$C$536:$G$585,5,FALSE)</f>
        <v>ha</v>
      </c>
      <c r="I71" s="82" t="str">
        <f>VLOOKUP(U66,TOV!$C$536:$G$585,5,FALSE)</f>
        <v>ha</v>
      </c>
      <c r="J71" s="82" t="str">
        <f>VLOOKUP(V66,TOV!$C$536:$G$585,5,FALSE)</f>
        <v>ha</v>
      </c>
      <c r="K71" s="82" t="str">
        <f>VLOOKUP(W66,TOV!$C$536:$G$585,5,FALSE)</f>
        <v>ha</v>
      </c>
      <c r="L71" s="82" t="str">
        <f>VLOOKUP(X66,TOV!$C$536:$G$585,5,FALSE)</f>
        <v>ha</v>
      </c>
      <c r="M71" s="82" t="str">
        <f>VLOOKUP(Y66,TOV!$C$536:$G$585,5,FALSE)</f>
        <v>ha</v>
      </c>
      <c r="N71" s="82" t="str">
        <f>VLOOKUP(Z66,TOV!$C$536:$G$585,5,FALSE)</f>
        <v>ha</v>
      </c>
      <c r="O71" s="82" t="str">
        <f>VLOOKUP(AA66,TOV!$C$536:$G$585,5,FALSE)</f>
        <v>ha</v>
      </c>
      <c r="P71" s="82" t="str">
        <f>VLOOKUP(AB66,TOV!$C$536:$G$585,5,FALSE)</f>
        <v>ha</v>
      </c>
      <c r="AF71" s="474"/>
      <c r="AG71" s="474"/>
      <c r="AH71" s="474"/>
      <c r="AI71" s="474"/>
      <c r="AJ71" s="474"/>
      <c r="AK71" s="474"/>
      <c r="AL71" s="474"/>
      <c r="AM71" s="474"/>
      <c r="AN71" s="434"/>
      <c r="AO71" s="434"/>
    </row>
    <row r="72" spans="2:45" s="520" customFormat="1" ht="15">
      <c r="B72" s="301"/>
      <c r="C72" s="989">
        <v>1</v>
      </c>
      <c r="D72" s="168"/>
      <c r="E72" s="316"/>
      <c r="F72" s="316"/>
      <c r="G72" s="316"/>
      <c r="H72" s="316"/>
      <c r="I72" s="316"/>
      <c r="J72" s="316"/>
      <c r="K72" s="316"/>
      <c r="L72" s="316"/>
      <c r="M72" s="316"/>
      <c r="N72" s="336"/>
      <c r="O72" s="336"/>
      <c r="P72" s="336"/>
      <c r="Q72" s="227">
        <f>E72*IF(Q$68="",Q$67,Q$68)</f>
        <v>0</v>
      </c>
      <c r="R72" s="227">
        <f>F72*IF(R$68="",R$67,R$68)</f>
        <v>0</v>
      </c>
      <c r="S72" s="227">
        <f t="shared" ref="S72:W72" si="72">G72*IF(S$68="",S$67,S$68)</f>
        <v>0</v>
      </c>
      <c r="T72" s="227">
        <f t="shared" si="72"/>
        <v>0</v>
      </c>
      <c r="U72" s="227">
        <f t="shared" si="72"/>
        <v>0</v>
      </c>
      <c r="V72" s="227">
        <f t="shared" si="72"/>
        <v>0</v>
      </c>
      <c r="W72" s="351">
        <f t="shared" si="72"/>
        <v>0</v>
      </c>
      <c r="X72" s="351">
        <f t="shared" ref="X72" si="73">L72*IF(X$68="",X$67,X$68)</f>
        <v>0</v>
      </c>
      <c r="Y72" s="351">
        <f t="shared" ref="Y72" si="74">M72*IF(Y$68="",Y$67,Y$68)</f>
        <v>0</v>
      </c>
      <c r="Z72" s="351">
        <f t="shared" ref="Z72" si="75">N72*IF(Z$68="",Z$67,Z$68)</f>
        <v>0</v>
      </c>
      <c r="AA72" s="351">
        <f t="shared" ref="AA72" si="76">O72*IF(AA$68="",AA$67,AA$68)</f>
        <v>0</v>
      </c>
      <c r="AB72" s="351">
        <f t="shared" ref="AB72" si="77">P72*IF(AB$68="",AB$67,AB$68)</f>
        <v>0</v>
      </c>
      <c r="AC72" s="122">
        <f>SUM(Q72:AB72)</f>
        <v>0</v>
      </c>
      <c r="AD72" s="291"/>
      <c r="AE72" s="122">
        <f t="shared" ref="AE72:AE81" si="78">IF(AD72="",AC72,AD72)</f>
        <v>0</v>
      </c>
      <c r="AF72" s="215"/>
      <c r="AG72" s="294"/>
      <c r="AH72" s="294"/>
      <c r="AI72" s="294"/>
      <c r="AJ72" s="294"/>
      <c r="AK72" s="294"/>
      <c r="AL72" s="294"/>
      <c r="AM72" s="295"/>
      <c r="AN72" s="434"/>
      <c r="AO72" s="434"/>
    </row>
    <row r="73" spans="2:45" s="520" customFormat="1" ht="15">
      <c r="B73" s="301"/>
      <c r="C73" s="1266">
        <f t="shared" ref="C73:C81" si="79">C72+1</f>
        <v>2</v>
      </c>
      <c r="D73" s="168"/>
      <c r="E73" s="316"/>
      <c r="F73" s="316"/>
      <c r="G73" s="316"/>
      <c r="H73" s="316"/>
      <c r="I73" s="316"/>
      <c r="J73" s="316"/>
      <c r="K73" s="316"/>
      <c r="L73" s="316"/>
      <c r="M73" s="316"/>
      <c r="N73" s="336"/>
      <c r="O73" s="336"/>
      <c r="P73" s="336"/>
      <c r="Q73" s="227">
        <f t="shared" ref="Q73:Q81" si="80">E73*IF(Q$68="",Q$67,Q$68)</f>
        <v>0</v>
      </c>
      <c r="R73" s="227">
        <f t="shared" ref="R73:R81" si="81">F73*IF(R$68="",R$67,R$68)</f>
        <v>0</v>
      </c>
      <c r="S73" s="227">
        <f t="shared" ref="S73:S81" si="82">G73*IF(S$68="",S$67,S$68)</f>
        <v>0</v>
      </c>
      <c r="T73" s="227">
        <f t="shared" ref="T73:T81" si="83">H73*IF(T$68="",T$67,T$68)</f>
        <v>0</v>
      </c>
      <c r="U73" s="227">
        <f t="shared" ref="U73:U81" si="84">I73*IF(U$68="",U$67,U$68)</f>
        <v>0</v>
      </c>
      <c r="V73" s="227">
        <f t="shared" ref="V73:V81" si="85">J73*IF(V$68="",V$67,V$68)</f>
        <v>0</v>
      </c>
      <c r="W73" s="351">
        <f t="shared" ref="W73:W81" si="86">K73*IF(W$68="",W$67,W$68)</f>
        <v>0</v>
      </c>
      <c r="X73" s="351">
        <f t="shared" ref="X73:X81" si="87">L73*IF(X$68="",X$67,X$68)</f>
        <v>0</v>
      </c>
      <c r="Y73" s="351">
        <f t="shared" ref="Y73:Y81" si="88">M73*IF(Y$68="",Y$67,Y$68)</f>
        <v>0</v>
      </c>
      <c r="Z73" s="351">
        <f t="shared" ref="Z73:Z81" si="89">N73*IF(Z$68="",Z$67,Z$68)</f>
        <v>0</v>
      </c>
      <c r="AA73" s="351">
        <f t="shared" ref="AA73:AA81" si="90">O73*IF(AA$68="",AA$67,AA$68)</f>
        <v>0</v>
      </c>
      <c r="AB73" s="351">
        <f t="shared" ref="AB73:AB81" si="91">P73*IF(AB$68="",AB$67,AB$68)</f>
        <v>0</v>
      </c>
      <c r="AC73" s="122">
        <f t="shared" ref="AC73:AC81" si="92">SUM(Q73:AB73)</f>
        <v>0</v>
      </c>
      <c r="AD73" s="291"/>
      <c r="AE73" s="122">
        <f t="shared" si="78"/>
        <v>0</v>
      </c>
      <c r="AF73" s="215"/>
      <c r="AG73" s="294"/>
      <c r="AH73" s="294"/>
      <c r="AI73" s="294"/>
      <c r="AJ73" s="294"/>
      <c r="AK73" s="294"/>
      <c r="AL73" s="294"/>
      <c r="AM73" s="295"/>
      <c r="AN73" s="434"/>
      <c r="AO73" s="434"/>
    </row>
    <row r="74" spans="2:45" s="520" customFormat="1" ht="15">
      <c r="B74" s="301"/>
      <c r="C74" s="1266">
        <f t="shared" si="79"/>
        <v>3</v>
      </c>
      <c r="D74" s="168"/>
      <c r="E74" s="316"/>
      <c r="F74" s="316"/>
      <c r="G74" s="316"/>
      <c r="H74" s="316"/>
      <c r="I74" s="316"/>
      <c r="J74" s="316"/>
      <c r="K74" s="316"/>
      <c r="L74" s="316"/>
      <c r="M74" s="316"/>
      <c r="N74" s="336"/>
      <c r="O74" s="336"/>
      <c r="P74" s="336"/>
      <c r="Q74" s="227">
        <f t="shared" si="80"/>
        <v>0</v>
      </c>
      <c r="R74" s="227">
        <f t="shared" si="81"/>
        <v>0</v>
      </c>
      <c r="S74" s="227">
        <f t="shared" si="82"/>
        <v>0</v>
      </c>
      <c r="T74" s="227">
        <f t="shared" si="83"/>
        <v>0</v>
      </c>
      <c r="U74" s="227">
        <f t="shared" si="84"/>
        <v>0</v>
      </c>
      <c r="V74" s="227">
        <f t="shared" si="85"/>
        <v>0</v>
      </c>
      <c r="W74" s="351">
        <f t="shared" si="86"/>
        <v>0</v>
      </c>
      <c r="X74" s="351">
        <f t="shared" si="87"/>
        <v>0</v>
      </c>
      <c r="Y74" s="351">
        <f t="shared" si="88"/>
        <v>0</v>
      </c>
      <c r="Z74" s="351">
        <f t="shared" si="89"/>
        <v>0</v>
      </c>
      <c r="AA74" s="351">
        <f t="shared" si="90"/>
        <v>0</v>
      </c>
      <c r="AB74" s="351">
        <f t="shared" si="91"/>
        <v>0</v>
      </c>
      <c r="AC74" s="122">
        <f t="shared" si="92"/>
        <v>0</v>
      </c>
      <c r="AD74" s="291"/>
      <c r="AE74" s="122">
        <f t="shared" si="78"/>
        <v>0</v>
      </c>
      <c r="AF74" s="215"/>
      <c r="AG74" s="294"/>
      <c r="AH74" s="294"/>
      <c r="AI74" s="294"/>
      <c r="AJ74" s="294"/>
      <c r="AK74" s="294"/>
      <c r="AL74" s="294"/>
      <c r="AM74" s="295"/>
      <c r="AN74" s="434"/>
      <c r="AO74" s="434"/>
    </row>
    <row r="75" spans="2:45" s="520" customFormat="1" ht="15">
      <c r="B75" s="301"/>
      <c r="C75" s="1266">
        <f t="shared" si="79"/>
        <v>4</v>
      </c>
      <c r="D75" s="168"/>
      <c r="E75" s="316"/>
      <c r="F75" s="316"/>
      <c r="G75" s="316"/>
      <c r="H75" s="316"/>
      <c r="I75" s="316"/>
      <c r="J75" s="316"/>
      <c r="K75" s="316"/>
      <c r="L75" s="316"/>
      <c r="M75" s="316"/>
      <c r="N75" s="336"/>
      <c r="O75" s="336"/>
      <c r="P75" s="336"/>
      <c r="Q75" s="227">
        <f t="shared" si="80"/>
        <v>0</v>
      </c>
      <c r="R75" s="227">
        <f t="shared" si="81"/>
        <v>0</v>
      </c>
      <c r="S75" s="227">
        <f t="shared" si="82"/>
        <v>0</v>
      </c>
      <c r="T75" s="227">
        <f t="shared" si="83"/>
        <v>0</v>
      </c>
      <c r="U75" s="227">
        <f t="shared" si="84"/>
        <v>0</v>
      </c>
      <c r="V75" s="227">
        <f t="shared" si="85"/>
        <v>0</v>
      </c>
      <c r="W75" s="351">
        <f t="shared" si="86"/>
        <v>0</v>
      </c>
      <c r="X75" s="351">
        <f t="shared" si="87"/>
        <v>0</v>
      </c>
      <c r="Y75" s="351">
        <f t="shared" si="88"/>
        <v>0</v>
      </c>
      <c r="Z75" s="351">
        <f t="shared" si="89"/>
        <v>0</v>
      </c>
      <c r="AA75" s="351">
        <f t="shared" si="90"/>
        <v>0</v>
      </c>
      <c r="AB75" s="351">
        <f t="shared" si="91"/>
        <v>0</v>
      </c>
      <c r="AC75" s="122">
        <f t="shared" si="92"/>
        <v>0</v>
      </c>
      <c r="AD75" s="291"/>
      <c r="AE75" s="122">
        <f t="shared" si="78"/>
        <v>0</v>
      </c>
      <c r="AF75" s="215"/>
      <c r="AG75" s="294"/>
      <c r="AH75" s="294"/>
      <c r="AI75" s="294"/>
      <c r="AJ75" s="294"/>
      <c r="AK75" s="294"/>
      <c r="AL75" s="294"/>
      <c r="AM75" s="295"/>
      <c r="AN75" s="434"/>
      <c r="AO75" s="434"/>
    </row>
    <row r="76" spans="2:45" s="520" customFormat="1" ht="15">
      <c r="B76" s="301"/>
      <c r="C76" s="1266">
        <f t="shared" si="79"/>
        <v>5</v>
      </c>
      <c r="D76" s="168"/>
      <c r="E76" s="316"/>
      <c r="F76" s="316"/>
      <c r="G76" s="316"/>
      <c r="H76" s="316"/>
      <c r="I76" s="316"/>
      <c r="J76" s="316"/>
      <c r="K76" s="316"/>
      <c r="L76" s="316"/>
      <c r="M76" s="316"/>
      <c r="N76" s="336"/>
      <c r="O76" s="336"/>
      <c r="P76" s="336"/>
      <c r="Q76" s="227">
        <f t="shared" si="80"/>
        <v>0</v>
      </c>
      <c r="R76" s="227">
        <f t="shared" si="81"/>
        <v>0</v>
      </c>
      <c r="S76" s="227">
        <f t="shared" si="82"/>
        <v>0</v>
      </c>
      <c r="T76" s="227">
        <f t="shared" si="83"/>
        <v>0</v>
      </c>
      <c r="U76" s="227">
        <f t="shared" si="84"/>
        <v>0</v>
      </c>
      <c r="V76" s="227">
        <f t="shared" si="85"/>
        <v>0</v>
      </c>
      <c r="W76" s="351">
        <f t="shared" si="86"/>
        <v>0</v>
      </c>
      <c r="X76" s="351">
        <f t="shared" si="87"/>
        <v>0</v>
      </c>
      <c r="Y76" s="351">
        <f t="shared" si="88"/>
        <v>0</v>
      </c>
      <c r="Z76" s="351">
        <f t="shared" si="89"/>
        <v>0</v>
      </c>
      <c r="AA76" s="351">
        <f t="shared" si="90"/>
        <v>0</v>
      </c>
      <c r="AB76" s="351">
        <f t="shared" si="91"/>
        <v>0</v>
      </c>
      <c r="AC76" s="122">
        <f t="shared" si="92"/>
        <v>0</v>
      </c>
      <c r="AD76" s="291"/>
      <c r="AE76" s="122">
        <f t="shared" si="78"/>
        <v>0</v>
      </c>
      <c r="AF76" s="215"/>
      <c r="AG76" s="294"/>
      <c r="AH76" s="294"/>
      <c r="AI76" s="294"/>
      <c r="AJ76" s="294"/>
      <c r="AK76" s="294"/>
      <c r="AL76" s="294"/>
      <c r="AM76" s="295"/>
      <c r="AN76" s="434"/>
      <c r="AO76" s="434"/>
    </row>
    <row r="77" spans="2:45" s="520" customFormat="1" ht="15">
      <c r="B77" s="301"/>
      <c r="C77" s="1266">
        <f t="shared" si="79"/>
        <v>6</v>
      </c>
      <c r="D77" s="168"/>
      <c r="E77" s="316"/>
      <c r="F77" s="316"/>
      <c r="G77" s="316"/>
      <c r="H77" s="316"/>
      <c r="I77" s="316"/>
      <c r="J77" s="316"/>
      <c r="K77" s="316"/>
      <c r="L77" s="316"/>
      <c r="M77" s="316"/>
      <c r="N77" s="336"/>
      <c r="O77" s="336"/>
      <c r="P77" s="336"/>
      <c r="Q77" s="227">
        <f t="shared" si="80"/>
        <v>0</v>
      </c>
      <c r="R77" s="227">
        <f t="shared" si="81"/>
        <v>0</v>
      </c>
      <c r="S77" s="227">
        <f t="shared" si="82"/>
        <v>0</v>
      </c>
      <c r="T77" s="227">
        <f t="shared" si="83"/>
        <v>0</v>
      </c>
      <c r="U77" s="227">
        <f t="shared" si="84"/>
        <v>0</v>
      </c>
      <c r="V77" s="227">
        <f t="shared" si="85"/>
        <v>0</v>
      </c>
      <c r="W77" s="351">
        <f t="shared" si="86"/>
        <v>0</v>
      </c>
      <c r="X77" s="351">
        <f t="shared" si="87"/>
        <v>0</v>
      </c>
      <c r="Y77" s="351">
        <f t="shared" si="88"/>
        <v>0</v>
      </c>
      <c r="Z77" s="351">
        <f t="shared" si="89"/>
        <v>0</v>
      </c>
      <c r="AA77" s="351">
        <f t="shared" si="90"/>
        <v>0</v>
      </c>
      <c r="AB77" s="351">
        <f t="shared" si="91"/>
        <v>0</v>
      </c>
      <c r="AC77" s="122">
        <f t="shared" si="92"/>
        <v>0</v>
      </c>
      <c r="AD77" s="291"/>
      <c r="AE77" s="122">
        <f t="shared" si="78"/>
        <v>0</v>
      </c>
      <c r="AF77" s="215"/>
      <c r="AG77" s="294"/>
      <c r="AH77" s="294"/>
      <c r="AI77" s="294"/>
      <c r="AJ77" s="294"/>
      <c r="AK77" s="294"/>
      <c r="AL77" s="294"/>
      <c r="AM77" s="295"/>
      <c r="AN77" s="434"/>
      <c r="AO77" s="434"/>
    </row>
    <row r="78" spans="2:45" s="520" customFormat="1" ht="15">
      <c r="B78" s="301"/>
      <c r="C78" s="1266">
        <f t="shared" si="79"/>
        <v>7</v>
      </c>
      <c r="D78" s="168"/>
      <c r="E78" s="316"/>
      <c r="F78" s="316"/>
      <c r="G78" s="316"/>
      <c r="H78" s="316"/>
      <c r="I78" s="316"/>
      <c r="J78" s="316"/>
      <c r="K78" s="316"/>
      <c r="L78" s="316"/>
      <c r="M78" s="316"/>
      <c r="N78" s="336"/>
      <c r="O78" s="336"/>
      <c r="P78" s="336"/>
      <c r="Q78" s="227">
        <f t="shared" si="80"/>
        <v>0</v>
      </c>
      <c r="R78" s="227">
        <f t="shared" si="81"/>
        <v>0</v>
      </c>
      <c r="S78" s="227">
        <f t="shared" si="82"/>
        <v>0</v>
      </c>
      <c r="T78" s="227">
        <f t="shared" si="83"/>
        <v>0</v>
      </c>
      <c r="U78" s="227">
        <f t="shared" si="84"/>
        <v>0</v>
      </c>
      <c r="V78" s="227">
        <f t="shared" si="85"/>
        <v>0</v>
      </c>
      <c r="W78" s="351">
        <f t="shared" si="86"/>
        <v>0</v>
      </c>
      <c r="X78" s="351">
        <f t="shared" si="87"/>
        <v>0</v>
      </c>
      <c r="Y78" s="351">
        <f t="shared" si="88"/>
        <v>0</v>
      </c>
      <c r="Z78" s="351">
        <f t="shared" si="89"/>
        <v>0</v>
      </c>
      <c r="AA78" s="351">
        <f t="shared" si="90"/>
        <v>0</v>
      </c>
      <c r="AB78" s="351">
        <f t="shared" si="91"/>
        <v>0</v>
      </c>
      <c r="AC78" s="122">
        <f t="shared" si="92"/>
        <v>0</v>
      </c>
      <c r="AD78" s="291"/>
      <c r="AE78" s="122">
        <f t="shared" si="78"/>
        <v>0</v>
      </c>
      <c r="AF78" s="215"/>
      <c r="AG78" s="294"/>
      <c r="AH78" s="294"/>
      <c r="AI78" s="294"/>
      <c r="AJ78" s="294"/>
      <c r="AK78" s="294"/>
      <c r="AL78" s="294"/>
      <c r="AM78" s="295"/>
      <c r="AN78" s="434"/>
      <c r="AO78" s="434"/>
    </row>
    <row r="79" spans="2:45" s="520" customFormat="1" ht="15">
      <c r="B79" s="301"/>
      <c r="C79" s="1266">
        <f t="shared" si="79"/>
        <v>8</v>
      </c>
      <c r="D79" s="168"/>
      <c r="E79" s="316"/>
      <c r="F79" s="316"/>
      <c r="G79" s="316"/>
      <c r="H79" s="316"/>
      <c r="I79" s="316"/>
      <c r="J79" s="316"/>
      <c r="K79" s="316"/>
      <c r="L79" s="316"/>
      <c r="M79" s="316"/>
      <c r="N79" s="336"/>
      <c r="O79" s="336"/>
      <c r="P79" s="336"/>
      <c r="Q79" s="227">
        <f t="shared" si="80"/>
        <v>0</v>
      </c>
      <c r="R79" s="227">
        <f t="shared" si="81"/>
        <v>0</v>
      </c>
      <c r="S79" s="227">
        <f t="shared" si="82"/>
        <v>0</v>
      </c>
      <c r="T79" s="227">
        <f t="shared" si="83"/>
        <v>0</v>
      </c>
      <c r="U79" s="227">
        <f t="shared" si="84"/>
        <v>0</v>
      </c>
      <c r="V79" s="227">
        <f t="shared" si="85"/>
        <v>0</v>
      </c>
      <c r="W79" s="351">
        <f t="shared" si="86"/>
        <v>0</v>
      </c>
      <c r="X79" s="351">
        <f t="shared" si="87"/>
        <v>0</v>
      </c>
      <c r="Y79" s="351">
        <f t="shared" si="88"/>
        <v>0</v>
      </c>
      <c r="Z79" s="351">
        <f t="shared" si="89"/>
        <v>0</v>
      </c>
      <c r="AA79" s="351">
        <f t="shared" si="90"/>
        <v>0</v>
      </c>
      <c r="AB79" s="351">
        <f t="shared" si="91"/>
        <v>0</v>
      </c>
      <c r="AC79" s="122">
        <f t="shared" si="92"/>
        <v>0</v>
      </c>
      <c r="AD79" s="291"/>
      <c r="AE79" s="122">
        <f t="shared" si="78"/>
        <v>0</v>
      </c>
      <c r="AF79" s="215"/>
      <c r="AG79" s="294"/>
      <c r="AH79" s="294"/>
      <c r="AI79" s="294"/>
      <c r="AJ79" s="294"/>
      <c r="AK79" s="294"/>
      <c r="AL79" s="294"/>
      <c r="AM79" s="295"/>
      <c r="AN79" s="434"/>
      <c r="AO79" s="434"/>
    </row>
    <row r="80" spans="2:45" s="520" customFormat="1" ht="15">
      <c r="B80" s="301"/>
      <c r="C80" s="1266">
        <f t="shared" si="79"/>
        <v>9</v>
      </c>
      <c r="D80" s="168"/>
      <c r="E80" s="316"/>
      <c r="F80" s="316"/>
      <c r="G80" s="316"/>
      <c r="H80" s="316"/>
      <c r="I80" s="316"/>
      <c r="J80" s="316"/>
      <c r="K80" s="316"/>
      <c r="L80" s="316"/>
      <c r="M80" s="316"/>
      <c r="N80" s="336"/>
      <c r="O80" s="336"/>
      <c r="P80" s="336"/>
      <c r="Q80" s="227">
        <f t="shared" si="80"/>
        <v>0</v>
      </c>
      <c r="R80" s="227">
        <f t="shared" si="81"/>
        <v>0</v>
      </c>
      <c r="S80" s="227">
        <f t="shared" si="82"/>
        <v>0</v>
      </c>
      <c r="T80" s="227">
        <f t="shared" si="83"/>
        <v>0</v>
      </c>
      <c r="U80" s="227">
        <f t="shared" si="84"/>
        <v>0</v>
      </c>
      <c r="V80" s="227">
        <f t="shared" si="85"/>
        <v>0</v>
      </c>
      <c r="W80" s="351">
        <f t="shared" si="86"/>
        <v>0</v>
      </c>
      <c r="X80" s="351">
        <f t="shared" si="87"/>
        <v>0</v>
      </c>
      <c r="Y80" s="351">
        <f t="shared" si="88"/>
        <v>0</v>
      </c>
      <c r="Z80" s="351">
        <f t="shared" si="89"/>
        <v>0</v>
      </c>
      <c r="AA80" s="351">
        <f t="shared" si="90"/>
        <v>0</v>
      </c>
      <c r="AB80" s="351">
        <f t="shared" si="91"/>
        <v>0</v>
      </c>
      <c r="AC80" s="122">
        <f t="shared" si="92"/>
        <v>0</v>
      </c>
      <c r="AD80" s="291"/>
      <c r="AE80" s="122">
        <f t="shared" si="78"/>
        <v>0</v>
      </c>
      <c r="AF80" s="215"/>
      <c r="AG80" s="294"/>
      <c r="AH80" s="294"/>
      <c r="AI80" s="294"/>
      <c r="AJ80" s="294"/>
      <c r="AK80" s="294"/>
      <c r="AL80" s="294"/>
      <c r="AM80" s="295"/>
      <c r="AN80" s="434"/>
      <c r="AO80" s="434"/>
    </row>
    <row r="81" spans="1:46" s="520" customFormat="1" ht="15">
      <c r="B81" s="301"/>
      <c r="C81" s="1266">
        <f t="shared" si="79"/>
        <v>10</v>
      </c>
      <c r="D81" s="168"/>
      <c r="E81" s="316"/>
      <c r="F81" s="316"/>
      <c r="G81" s="316"/>
      <c r="H81" s="316"/>
      <c r="I81" s="316"/>
      <c r="J81" s="316"/>
      <c r="K81" s="316"/>
      <c r="L81" s="316"/>
      <c r="M81" s="316"/>
      <c r="N81" s="336"/>
      <c r="O81" s="336"/>
      <c r="P81" s="336"/>
      <c r="Q81" s="227">
        <f t="shared" si="80"/>
        <v>0</v>
      </c>
      <c r="R81" s="227">
        <f t="shared" si="81"/>
        <v>0</v>
      </c>
      <c r="S81" s="227">
        <f t="shared" si="82"/>
        <v>0</v>
      </c>
      <c r="T81" s="227">
        <f t="shared" si="83"/>
        <v>0</v>
      </c>
      <c r="U81" s="227">
        <f t="shared" si="84"/>
        <v>0</v>
      </c>
      <c r="V81" s="227">
        <f t="shared" si="85"/>
        <v>0</v>
      </c>
      <c r="W81" s="351">
        <f t="shared" si="86"/>
        <v>0</v>
      </c>
      <c r="X81" s="351">
        <f t="shared" si="87"/>
        <v>0</v>
      </c>
      <c r="Y81" s="351">
        <f t="shared" si="88"/>
        <v>0</v>
      </c>
      <c r="Z81" s="351">
        <f t="shared" si="89"/>
        <v>0</v>
      </c>
      <c r="AA81" s="351">
        <f t="shared" si="90"/>
        <v>0</v>
      </c>
      <c r="AB81" s="351">
        <f t="shared" si="91"/>
        <v>0</v>
      </c>
      <c r="AC81" s="122">
        <f t="shared" si="92"/>
        <v>0</v>
      </c>
      <c r="AD81" s="291"/>
      <c r="AE81" s="122">
        <f t="shared" si="78"/>
        <v>0</v>
      </c>
      <c r="AF81" s="215"/>
      <c r="AG81" s="294"/>
      <c r="AH81" s="294"/>
      <c r="AI81" s="294"/>
      <c r="AJ81" s="294"/>
      <c r="AK81" s="294"/>
      <c r="AL81" s="294"/>
      <c r="AM81" s="295"/>
      <c r="AN81" s="434"/>
      <c r="AO81" s="434"/>
    </row>
    <row r="82" spans="1:46" ht="18" customHeight="1">
      <c r="E82" s="869"/>
      <c r="F82" s="869"/>
      <c r="G82" s="869"/>
      <c r="H82" s="869"/>
      <c r="I82" s="869"/>
      <c r="J82" s="869"/>
      <c r="K82" s="869"/>
      <c r="L82" s="869"/>
      <c r="M82" s="869"/>
      <c r="N82" s="869"/>
      <c r="O82" s="869"/>
      <c r="P82" s="869"/>
      <c r="Q82" s="1105"/>
      <c r="R82" s="1105"/>
      <c r="S82" s="1105"/>
      <c r="T82" s="1105"/>
      <c r="U82" s="1105"/>
      <c r="V82" s="1105"/>
      <c r="W82" s="1105"/>
      <c r="X82" s="1105"/>
      <c r="Y82" s="1105"/>
      <c r="Z82" s="1105"/>
      <c r="AA82" s="1105"/>
      <c r="AB82" s="1105"/>
      <c r="AC82" s="1105"/>
      <c r="AD82" s="1105"/>
      <c r="AE82" s="1105"/>
    </row>
    <row r="83" spans="1:46" ht="18" customHeight="1">
      <c r="B83" s="1162"/>
      <c r="C83" s="1162"/>
      <c r="D83" s="848" t="s">
        <v>2467</v>
      </c>
      <c r="E83" s="372">
        <f>SUM(E71:E82)</f>
        <v>0</v>
      </c>
      <c r="F83" s="372">
        <f t="shared" ref="F83" si="93">SUM(F71:F82)</f>
        <v>0</v>
      </c>
      <c r="G83" s="372">
        <f t="shared" ref="G83" si="94">SUM(G71:G82)</f>
        <v>0</v>
      </c>
      <c r="H83" s="372">
        <f t="shared" ref="H83" si="95">SUM(H71:H82)</f>
        <v>0</v>
      </c>
      <c r="I83" s="372">
        <f t="shared" ref="I83" si="96">SUM(I71:I82)</f>
        <v>0</v>
      </c>
      <c r="J83" s="372">
        <f t="shared" ref="J83" si="97">SUM(J71:J82)</f>
        <v>0</v>
      </c>
      <c r="K83" s="372">
        <f t="shared" ref="K83" si="98">SUM(K71:K82)</f>
        <v>0</v>
      </c>
      <c r="L83" s="372">
        <f t="shared" ref="L83" si="99">SUM(L71:L82)</f>
        <v>0</v>
      </c>
      <c r="M83" s="372">
        <f t="shared" ref="M83:P83" si="100">SUM(M71:M82)</f>
        <v>0</v>
      </c>
      <c r="N83" s="372">
        <f t="shared" si="100"/>
        <v>0</v>
      </c>
      <c r="O83" s="372">
        <f t="shared" si="100"/>
        <v>0</v>
      </c>
      <c r="P83" s="372">
        <f t="shared" si="100"/>
        <v>0</v>
      </c>
      <c r="Q83" s="1020">
        <f t="shared" ref="Q83:AB83" si="101">SUM(Q71:Q82)</f>
        <v>0</v>
      </c>
      <c r="R83" s="1020">
        <f t="shared" si="101"/>
        <v>0</v>
      </c>
      <c r="S83" s="1020">
        <f t="shared" si="101"/>
        <v>0</v>
      </c>
      <c r="T83" s="1020">
        <f t="shared" si="101"/>
        <v>0</v>
      </c>
      <c r="U83" s="1020">
        <f t="shared" si="101"/>
        <v>0</v>
      </c>
      <c r="V83" s="1020">
        <f t="shared" si="101"/>
        <v>0</v>
      </c>
      <c r="W83" s="1020">
        <f t="shared" si="101"/>
        <v>0</v>
      </c>
      <c r="X83" s="1020">
        <f t="shared" si="101"/>
        <v>0</v>
      </c>
      <c r="Y83" s="1020">
        <f t="shared" si="101"/>
        <v>0</v>
      </c>
      <c r="Z83" s="1020">
        <f t="shared" si="101"/>
        <v>0</v>
      </c>
      <c r="AA83" s="1020">
        <f t="shared" si="101"/>
        <v>0</v>
      </c>
      <c r="AB83" s="1020">
        <f t="shared" si="101"/>
        <v>0</v>
      </c>
      <c r="AC83" s="1248">
        <f>SUM(AC71:AC82)</f>
        <v>0</v>
      </c>
      <c r="AD83" s="1268">
        <f t="shared" ref="AD83:AE83" si="102">SUM(AD71:AD82)</f>
        <v>0</v>
      </c>
      <c r="AE83" s="1248">
        <f t="shared" si="102"/>
        <v>0</v>
      </c>
      <c r="AF83" s="904">
        <f>IF(SUM(E83:P83)=0,0,AE83/SUM(E83:P83))</f>
        <v>0</v>
      </c>
    </row>
    <row r="84" spans="1:46">
      <c r="M84" s="475"/>
      <c r="N84" s="475"/>
    </row>
    <row r="85" spans="1:46" ht="18" customHeight="1">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AD85" s="434"/>
      <c r="AE85" s="434"/>
      <c r="AF85" s="434"/>
      <c r="AG85" s="434"/>
      <c r="AH85" s="434"/>
      <c r="AI85" s="434"/>
    </row>
    <row r="86" spans="1:46" ht="24.6" customHeight="1">
      <c r="N86" s="475"/>
      <c r="R86" s="1049" t="str">
        <f>IF(R89="","No Alert","Enter justification")</f>
        <v>No Alert</v>
      </c>
      <c r="S86" s="1049" t="str">
        <f t="shared" ref="S86:AD86" si="103">IF(S89="","No Alert","Enter justification")</f>
        <v>No Alert</v>
      </c>
      <c r="T86" s="1049" t="str">
        <f t="shared" si="103"/>
        <v>No Alert</v>
      </c>
      <c r="U86" s="1049" t="str">
        <f t="shared" si="103"/>
        <v>No Alert</v>
      </c>
      <c r="V86" s="1049" t="str">
        <f t="shared" si="103"/>
        <v>No Alert</v>
      </c>
      <c r="W86" s="1049" t="str">
        <f t="shared" si="103"/>
        <v>No Alert</v>
      </c>
      <c r="X86" s="1049" t="str">
        <f t="shared" si="103"/>
        <v>No Alert</v>
      </c>
      <c r="Y86" s="1049" t="str">
        <f t="shared" si="103"/>
        <v>No Alert</v>
      </c>
      <c r="Z86" s="1049" t="str">
        <f t="shared" si="103"/>
        <v>No Alert</v>
      </c>
      <c r="AA86" s="1049" t="str">
        <f t="shared" si="103"/>
        <v>No Alert</v>
      </c>
      <c r="AB86" s="1049" t="str">
        <f t="shared" si="103"/>
        <v>No Alert</v>
      </c>
      <c r="AC86" s="1049" t="str">
        <f t="shared" si="103"/>
        <v>No Alert</v>
      </c>
      <c r="AD86" s="1049" t="str">
        <f t="shared" si="103"/>
        <v>No Alert</v>
      </c>
    </row>
    <row r="87" spans="1:46" ht="18" customHeight="1">
      <c r="E87" s="475"/>
      <c r="F87" s="475"/>
      <c r="G87" s="475"/>
      <c r="H87" s="475"/>
      <c r="I87" s="475"/>
      <c r="J87" s="475"/>
      <c r="K87" s="475"/>
      <c r="L87" s="475"/>
      <c r="M87" s="475"/>
      <c r="N87" s="475"/>
      <c r="Q87" s="848" t="s">
        <v>1596</v>
      </c>
      <c r="R87" s="828" t="str">
        <f>TOV!$C564</f>
        <v>#14.29</v>
      </c>
      <c r="S87" s="828" t="str">
        <f>TOV!$C565</f>
        <v>#14.30</v>
      </c>
      <c r="T87" s="828" t="str">
        <f>TOV!$C566</f>
        <v>#14.31</v>
      </c>
      <c r="U87" s="828" t="str">
        <f>TOV!$C567</f>
        <v>#14.32</v>
      </c>
      <c r="V87" s="828" t="str">
        <f>TOV!$C568</f>
        <v>#14.33</v>
      </c>
      <c r="W87" s="828" t="str">
        <f>TOV!$C569</f>
        <v>#14.34</v>
      </c>
      <c r="X87" s="828" t="str">
        <f>TOV!$C570</f>
        <v>#14.35</v>
      </c>
      <c r="Y87" s="828" t="str">
        <f>TOV!$C571</f>
        <v>#14.36</v>
      </c>
      <c r="Z87" s="828" t="str">
        <f>TOV!$C572</f>
        <v>#14.37</v>
      </c>
      <c r="AA87" s="828" t="str">
        <f>TOV!$C573</f>
        <v>#14.38</v>
      </c>
      <c r="AB87" s="828" t="str">
        <f>TOV!$C575</f>
        <v>#14.40</v>
      </c>
      <c r="AC87" s="828" t="str">
        <f>TOV!$C576</f>
        <v>#14.41</v>
      </c>
      <c r="AD87" s="828" t="str">
        <f>TOV!$C574</f>
        <v>#14.39</v>
      </c>
      <c r="AI87" s="434"/>
      <c r="AJ87" s="434"/>
      <c r="AK87" s="434"/>
      <c r="AL87" s="434"/>
      <c r="AM87" s="434"/>
      <c r="AN87" s="434"/>
      <c r="AO87" s="434"/>
      <c r="AP87" s="434"/>
      <c r="AQ87" s="434"/>
      <c r="AR87" s="434"/>
      <c r="AS87" s="434"/>
      <c r="AT87" s="434"/>
    </row>
    <row r="88" spans="1:46" s="434" customFormat="1" ht="18" customHeight="1">
      <c r="Q88" s="848" t="s">
        <v>35</v>
      </c>
      <c r="R88" s="81">
        <f>VLOOKUP(R87,TOV!$C$536:$G$585,4,FALSE)</f>
        <v>22</v>
      </c>
      <c r="S88" s="81">
        <f>VLOOKUP(S87,TOV!$C$536:$G$585,4,FALSE)</f>
        <v>11</v>
      </c>
      <c r="T88" s="81">
        <f>VLOOKUP(T87,TOV!$C$536:$G$585,4,FALSE)</f>
        <v>1.92</v>
      </c>
      <c r="U88" s="81">
        <f>VLOOKUP(U87,TOV!$C$536:$G$585,4,FALSE)</f>
        <v>346.865495610111</v>
      </c>
      <c r="V88" s="81">
        <f>VLOOKUP(V87,TOV!$C$536:$G$585,4,FALSE)</f>
        <v>1387.461982440444</v>
      </c>
      <c r="W88" s="81">
        <f>VLOOKUP(W87,TOV!$C$536:$G$585,4,FALSE)</f>
        <v>271.865495610111</v>
      </c>
      <c r="X88" s="81">
        <f>VLOOKUP(X87,TOV!$C$536:$G$585,4,FALSE)</f>
        <v>1087.461982440444</v>
      </c>
      <c r="Y88" s="81">
        <f>VLOOKUP(Y87,TOV!$C$536:$G$585,4,FALSE)</f>
        <v>221.63489591075296</v>
      </c>
      <c r="Z88" s="81">
        <f>VLOOKUP(Z87,TOV!$C$536:$G$585,4,FALSE)</f>
        <v>3854.3483529039895</v>
      </c>
      <c r="AA88" s="81">
        <f>VLOOKUP(AA87,TOV!$C$536:$G$585,4,FALSE)</f>
        <v>1230.3162481746476</v>
      </c>
      <c r="AB88" s="81">
        <f>VLOOKUP(AB87,TOV!$C$536:$G$585,4,FALSE)</f>
        <v>1655.5</v>
      </c>
      <c r="AC88" s="81">
        <f>VLOOKUP(AC87,TOV!$C$536:$G$585,4,FALSE)</f>
        <v>4196.5</v>
      </c>
      <c r="AD88" s="81">
        <f>VLOOKUP(AD87,TOV!$C$536:$G$585,4,FALSE)</f>
        <v>337.91265127127292</v>
      </c>
      <c r="AE88" s="830"/>
      <c r="AF88" s="475"/>
      <c r="AG88" s="475"/>
      <c r="AH88" s="475"/>
    </row>
    <row r="89" spans="1:46" ht="18" customHeight="1">
      <c r="E89" s="475"/>
      <c r="O89" s="474"/>
      <c r="P89" s="474"/>
      <c r="Q89" s="848" t="s">
        <v>2502</v>
      </c>
      <c r="R89" s="291"/>
      <c r="S89" s="291"/>
      <c r="T89" s="291"/>
      <c r="U89" s="291"/>
      <c r="V89" s="291"/>
      <c r="W89" s="291"/>
      <c r="X89" s="291"/>
      <c r="Y89" s="291"/>
      <c r="Z89" s="291"/>
      <c r="AA89" s="291"/>
      <c r="AB89" s="291"/>
      <c r="AC89" s="291"/>
      <c r="AD89" s="291"/>
      <c r="AE89" s="830"/>
    </row>
    <row r="90" spans="1:46" ht="18" customHeight="1">
      <c r="B90" s="286" t="s">
        <v>26</v>
      </c>
      <c r="C90" s="1038" t="s">
        <v>2523</v>
      </c>
      <c r="D90" s="1253"/>
      <c r="E90" s="475"/>
      <c r="F90" s="475"/>
      <c r="G90" s="475"/>
      <c r="H90" s="475"/>
      <c r="I90" s="475"/>
      <c r="J90" s="475"/>
      <c r="K90" s="475"/>
      <c r="L90" s="475"/>
      <c r="M90" s="475"/>
      <c r="N90" s="475"/>
      <c r="Q90" s="848" t="s">
        <v>1597</v>
      </c>
      <c r="R90" s="82" t="str">
        <f>E92</f>
        <v>Item</v>
      </c>
      <c r="S90" s="82" t="str">
        <f>F92</f>
        <v>Item</v>
      </c>
      <c r="T90" s="82" t="str">
        <f>G92</f>
        <v>m2</v>
      </c>
      <c r="U90" s="82" t="str">
        <f>H92</f>
        <v>ha</v>
      </c>
      <c r="V90" s="82" t="str">
        <f>I92</f>
        <v>ha</v>
      </c>
      <c r="W90" s="82" t="str">
        <f t="shared" ref="W90" si="104">K92</f>
        <v>ha</v>
      </c>
      <c r="X90" s="82" t="str">
        <f t="shared" ref="X90:AD90" si="105">K92</f>
        <v>ha</v>
      </c>
      <c r="Y90" s="82" t="str">
        <f t="shared" si="105"/>
        <v>ha</v>
      </c>
      <c r="Z90" s="82" t="str">
        <f t="shared" si="105"/>
        <v>ha</v>
      </c>
      <c r="AA90" s="82" t="str">
        <f t="shared" si="105"/>
        <v>ha</v>
      </c>
      <c r="AB90" s="82" t="str">
        <f t="shared" si="105"/>
        <v>ha</v>
      </c>
      <c r="AC90" s="82" t="str">
        <f t="shared" si="105"/>
        <v>ha</v>
      </c>
      <c r="AD90" s="82" t="str">
        <f t="shared" si="105"/>
        <v>ha</v>
      </c>
      <c r="AF90" s="639"/>
      <c r="AG90" s="639"/>
      <c r="AH90" s="639"/>
      <c r="AI90" s="434"/>
      <c r="AJ90" s="434"/>
      <c r="AK90" s="434"/>
      <c r="AL90" s="434"/>
      <c r="AM90" s="434"/>
      <c r="AN90" s="434"/>
      <c r="AO90" s="434"/>
      <c r="AP90" s="434"/>
      <c r="AQ90" s="434"/>
      <c r="AR90" s="434"/>
      <c r="AS90" s="434"/>
      <c r="AT90" s="434"/>
    </row>
    <row r="91" spans="1:46" ht="135.6" customHeight="1">
      <c r="B91" s="773" t="s">
        <v>1517</v>
      </c>
      <c r="C91" s="773" t="s">
        <v>27</v>
      </c>
      <c r="D91" s="773" t="s">
        <v>2456</v>
      </c>
      <c r="E91" s="773" t="str">
        <f>VLOOKUP(R87,TOV!$C$536:$G$585,3,FALSE)</f>
        <v>Planting mature trees (&gt;15 cm)</v>
      </c>
      <c r="F91" s="773" t="str">
        <f>VLOOKUP(S87,TOV!$C$536:$G$585,3,FALSE)</f>
        <v>Planting tube stock (&lt;=15 cm)</v>
      </c>
      <c r="G91" s="773" t="str">
        <f>VLOOKUP(T87,TOV!$C$536:$G$585,3,FALSE)</f>
        <v>Hydro-seeding with mulch and bitumen tack</v>
      </c>
      <c r="H91" s="773" t="str">
        <f>VLOOKUP(U87,TOV!$C$536:$G$585,3,FALSE)</f>
        <v>Gypsum Normal Soil</v>
      </c>
      <c r="I91" s="773" t="str">
        <f>VLOOKUP(V87,TOV!$C$536:$G$585,3,FALSE)</f>
        <v>Gypsum Sodic Soil</v>
      </c>
      <c r="J91" s="773" t="str">
        <f>VLOOKUP(W87,TOV!$C$536:$G$585,3,FALSE)</f>
        <v>Gypsum Recycled Normal Soil</v>
      </c>
      <c r="K91" s="773" t="str">
        <f>VLOOKUP(X87,TOV!$C$536:$G$585,3,FALSE)</f>
        <v>Gypsum Recycled Sodic Soil</v>
      </c>
      <c r="L91" s="773" t="str">
        <f>VLOOKUP(Y87,TOV!$C$536:$G$585,3,FALSE)</f>
        <v>Lime</v>
      </c>
      <c r="M91" s="773" t="str">
        <f>VLOOKUP(Z87,TOV!$C$536:$G$585,3,FALSE)</f>
        <v>Biosolids, MSW, Manure</v>
      </c>
      <c r="N91" s="773" t="str">
        <f>VLOOKUP(AA87,TOV!$C$536:$G$585,3,FALSE)</f>
        <v>Hay Mulch / Sugar Cane</v>
      </c>
      <c r="O91" s="773" t="str">
        <f>VLOOKUP(AB87,TOV!$C$536:$G$585,3,FALSE)</f>
        <v>Direct seeding / fertiliser (pasture grass species)</v>
      </c>
      <c r="P91" s="773" t="str">
        <f>VLOOKUP(AC87,TOV!$C$536:$G$585,3,FALSE)</f>
        <v>Direct seeding / fertiliser (native tree/shrub/grass species)</v>
      </c>
      <c r="Q91" s="773" t="str">
        <f>VLOOKUP(AD87,TOV!$C$536:$G$585,3,FALSE)</f>
        <v>Fertiliser</v>
      </c>
      <c r="R91" s="773" t="str">
        <f t="shared" ref="R91:W91" si="106">CONCATENATE(E91," ($)")</f>
        <v>Planting mature trees (&gt;15 cm) ($)</v>
      </c>
      <c r="S91" s="773" t="str">
        <f t="shared" si="106"/>
        <v>Planting tube stock (&lt;=15 cm) ($)</v>
      </c>
      <c r="T91" s="773" t="str">
        <f t="shared" si="106"/>
        <v>Hydro-seeding with mulch and bitumen tack ($)</v>
      </c>
      <c r="U91" s="773" t="str">
        <f t="shared" si="106"/>
        <v>Gypsum Normal Soil ($)</v>
      </c>
      <c r="V91" s="773" t="str">
        <f t="shared" si="106"/>
        <v>Gypsum Sodic Soil ($)</v>
      </c>
      <c r="W91" s="773" t="str">
        <f t="shared" si="106"/>
        <v>Gypsum Recycled Normal Soil ($)</v>
      </c>
      <c r="X91" s="773" t="str">
        <f t="shared" ref="X91:AD91" si="107">CONCATENATE(K91," ($)")</f>
        <v>Gypsum Recycled Sodic Soil ($)</v>
      </c>
      <c r="Y91" s="773" t="str">
        <f t="shared" si="107"/>
        <v>Lime ($)</v>
      </c>
      <c r="Z91" s="773" t="str">
        <f t="shared" si="107"/>
        <v>Biosolids, MSW, Manure ($)</v>
      </c>
      <c r="AA91" s="773" t="str">
        <f t="shared" si="107"/>
        <v>Hay Mulch / Sugar Cane ($)</v>
      </c>
      <c r="AB91" s="773" t="str">
        <f t="shared" si="107"/>
        <v>Direct seeding / fertiliser (pasture grass species) ($)</v>
      </c>
      <c r="AC91" s="773" t="str">
        <f t="shared" si="107"/>
        <v>Direct seeding / fertiliser (native tree/shrub/grass species) ($)</v>
      </c>
      <c r="AD91" s="773" t="str">
        <f t="shared" si="107"/>
        <v>Fertiliser ($)</v>
      </c>
      <c r="AE91" s="775" t="s">
        <v>83</v>
      </c>
      <c r="AF91" s="773" t="s">
        <v>2509</v>
      </c>
      <c r="AG91" s="775" t="s">
        <v>2466</v>
      </c>
      <c r="AH91" s="776" t="s">
        <v>1526</v>
      </c>
      <c r="AI91" s="777"/>
      <c r="AJ91" s="777"/>
      <c r="AK91" s="777"/>
      <c r="AL91" s="777"/>
      <c r="AM91" s="777"/>
      <c r="AN91" s="777"/>
      <c r="AO91" s="778"/>
      <c r="AP91" s="434"/>
      <c r="AQ91" s="434"/>
      <c r="AR91" s="434"/>
      <c r="AS91" s="434"/>
      <c r="AT91" s="434"/>
    </row>
    <row r="92" spans="1:46" ht="18" customHeight="1">
      <c r="E92" s="82" t="str">
        <f>VLOOKUP(R87,TOV!$C$536:$G$585,5,FALSE)</f>
        <v>Item</v>
      </c>
      <c r="F92" s="82" t="str">
        <f>VLOOKUP(S87,TOV!$C$536:$G$585,5,FALSE)</f>
        <v>Item</v>
      </c>
      <c r="G92" s="82" t="str">
        <f>VLOOKUP(T87,TOV!$C$536:$G$585,5,FALSE)</f>
        <v>m2</v>
      </c>
      <c r="H92" s="82" t="str">
        <f>VLOOKUP(U87,TOV!$C$536:$G$585,5,FALSE)</f>
        <v>ha</v>
      </c>
      <c r="I92" s="82" t="str">
        <f>VLOOKUP(V87,TOV!$C$536:$G$585,5,FALSE)</f>
        <v>ha</v>
      </c>
      <c r="J92" s="82" t="str">
        <f>VLOOKUP(W87,TOV!$C$536:$G$585,5,FALSE)</f>
        <v>ha</v>
      </c>
      <c r="K92" s="82" t="str">
        <f>VLOOKUP(X87,TOV!$C$536:$G$585,5,FALSE)</f>
        <v>ha</v>
      </c>
      <c r="L92" s="82" t="str">
        <f>VLOOKUP(Y87,TOV!$C$536:$G$585,5,FALSE)</f>
        <v>ha</v>
      </c>
      <c r="M92" s="82" t="str">
        <f>VLOOKUP(Z87,TOV!$C$536:$G$585,5,FALSE)</f>
        <v>ha</v>
      </c>
      <c r="N92" s="82" t="str">
        <f>VLOOKUP(AA87,TOV!$C$536:$G$585,5,FALSE)</f>
        <v>ha</v>
      </c>
      <c r="O92" s="82" t="str">
        <f>VLOOKUP(AB87,TOV!$C$536:$G$585,5,FALSE)</f>
        <v>ha</v>
      </c>
      <c r="P92" s="82" t="str">
        <f>VLOOKUP(AC87,TOV!$C$536:$G$585,5,FALSE)</f>
        <v>ha</v>
      </c>
      <c r="Q92" s="82" t="str">
        <f>VLOOKUP(AD87,TOV!$C$536:$G$585,5,FALSE)</f>
        <v>ha</v>
      </c>
      <c r="AH92" s="474"/>
      <c r="AI92" s="474"/>
      <c r="AJ92" s="474"/>
      <c r="AK92" s="474"/>
      <c r="AL92" s="474"/>
      <c r="AM92" s="474"/>
      <c r="AN92" s="474"/>
      <c r="AO92" s="474"/>
      <c r="AP92" s="434"/>
      <c r="AQ92" s="434"/>
      <c r="AR92" s="434"/>
      <c r="AS92" s="434"/>
      <c r="AT92" s="434"/>
    </row>
    <row r="93" spans="1:46" s="520" customFormat="1" ht="15">
      <c r="B93" s="301"/>
      <c r="C93" s="989">
        <v>1</v>
      </c>
      <c r="D93" s="168"/>
      <c r="E93" s="78"/>
      <c r="F93" s="78"/>
      <c r="G93" s="77"/>
      <c r="H93" s="77"/>
      <c r="I93" s="77"/>
      <c r="J93" s="77"/>
      <c r="K93" s="77"/>
      <c r="L93" s="77"/>
      <c r="M93" s="77"/>
      <c r="N93" s="73"/>
      <c r="O93" s="316"/>
      <c r="P93" s="316"/>
      <c r="Q93" s="316"/>
      <c r="R93" s="351">
        <f>IF(E93&gt;0,E93*IF(R$89="",R$88,R$89),0)</f>
        <v>0</v>
      </c>
      <c r="S93" s="351">
        <f t="shared" ref="S93:S102" si="108">IF(F93&gt;0,F93*IF(S$89="",S$88,S$89),0)</f>
        <v>0</v>
      </c>
      <c r="T93" s="351">
        <f t="shared" ref="T93:T102" si="109">IF(G93&gt;0,G93*IF(T$89="",T$88,T$89),0)</f>
        <v>0</v>
      </c>
      <c r="U93" s="351">
        <f t="shared" ref="U93:U102" si="110">IF(H93&gt;0,H93*IF(U$89="",U$88,U$89),0)</f>
        <v>0</v>
      </c>
      <c r="V93" s="351">
        <f t="shared" ref="V93:V102" si="111">IF(I93&gt;0,I93*IF(V$89="",V$88,V$89),0)</f>
        <v>0</v>
      </c>
      <c r="W93" s="351">
        <f>IF(J93&gt;0,J93*IF(W$89="",W$88,W$89),0)</f>
        <v>0</v>
      </c>
      <c r="X93" s="351">
        <f t="shared" ref="X93:X102" si="112">IF(K93&gt;0,K93*IF(X$89="",X$88,X$89),0)</f>
        <v>0</v>
      </c>
      <c r="Y93" s="351">
        <f t="shared" ref="Y93:Y102" si="113">IF(L93&gt;0,L93*IF(Y$89="",Y$88,Y$89),0)</f>
        <v>0</v>
      </c>
      <c r="Z93" s="351">
        <f t="shared" ref="Z93:Z102" si="114">IF(M93&gt;0,M93*IF(Z$89="",Z$88,Z$89),0)</f>
        <v>0</v>
      </c>
      <c r="AA93" s="351">
        <f t="shared" ref="AA93:AA102" si="115">IF(N93&gt;0,N93*IF(AA$89="",AA$88,AA$89),0)</f>
        <v>0</v>
      </c>
      <c r="AB93" s="351">
        <f t="shared" ref="AB93:AB102" si="116">IF(O93&gt;0,O93*IF(AB$89="",AB$88,AB$89),0)</f>
        <v>0</v>
      </c>
      <c r="AC93" s="351">
        <f t="shared" ref="AC93:AC102" si="117">IF(P93&gt;0,P93*IF(AC$89="",AC$88,AC$89),0)</f>
        <v>0</v>
      </c>
      <c r="AD93" s="351">
        <f>IF(Q93&gt;0,Q93*IF(AD$89="",AD$88,AD$89),0)</f>
        <v>0</v>
      </c>
      <c r="AE93" s="122">
        <f t="shared" ref="AE93:AE102" si="118">SUM(R93:AD93)</f>
        <v>0</v>
      </c>
      <c r="AF93" s="291"/>
      <c r="AG93" s="122">
        <f t="shared" ref="AG93:AG102" si="119">IF(AF93="",AE93,AF93)</f>
        <v>0</v>
      </c>
      <c r="AH93" s="215"/>
      <c r="AI93" s="294"/>
      <c r="AJ93" s="294"/>
      <c r="AK93" s="294"/>
      <c r="AL93" s="294"/>
      <c r="AM93" s="294"/>
      <c r="AN93" s="294"/>
      <c r="AO93" s="295"/>
      <c r="AP93" s="434"/>
      <c r="AQ93" s="434"/>
      <c r="AR93" s="495"/>
      <c r="AS93" s="495"/>
      <c r="AT93" s="495"/>
    </row>
    <row r="94" spans="1:46" s="520" customFormat="1" ht="15">
      <c r="B94" s="301"/>
      <c r="C94" s="1266">
        <f t="shared" ref="C94:C102" si="120">C93+1</f>
        <v>2</v>
      </c>
      <c r="D94" s="168"/>
      <c r="E94" s="78"/>
      <c r="F94" s="78"/>
      <c r="G94" s="77"/>
      <c r="H94" s="77"/>
      <c r="I94" s="77"/>
      <c r="J94" s="77"/>
      <c r="K94" s="77"/>
      <c r="L94" s="77"/>
      <c r="M94" s="77"/>
      <c r="N94" s="73"/>
      <c r="O94" s="316"/>
      <c r="P94" s="316"/>
      <c r="Q94" s="316"/>
      <c r="R94" s="351">
        <f t="shared" ref="R94:R102" si="121">IF(E94&gt;0,E94*IF(R$89="",R$88,R$89),0)</f>
        <v>0</v>
      </c>
      <c r="S94" s="351">
        <f t="shared" si="108"/>
        <v>0</v>
      </c>
      <c r="T94" s="351">
        <f t="shared" si="109"/>
        <v>0</v>
      </c>
      <c r="U94" s="351">
        <f t="shared" si="110"/>
        <v>0</v>
      </c>
      <c r="V94" s="351">
        <f t="shared" si="111"/>
        <v>0</v>
      </c>
      <c r="W94" s="351">
        <f t="shared" ref="W94:W102" si="122">IF(J94&gt;0,J94*IF(W$89="",W$88,W$89),0)</f>
        <v>0</v>
      </c>
      <c r="X94" s="351">
        <f t="shared" si="112"/>
        <v>0</v>
      </c>
      <c r="Y94" s="351">
        <f t="shared" si="113"/>
        <v>0</v>
      </c>
      <c r="Z94" s="351">
        <f t="shared" si="114"/>
        <v>0</v>
      </c>
      <c r="AA94" s="351">
        <f t="shared" si="115"/>
        <v>0</v>
      </c>
      <c r="AB94" s="351">
        <f t="shared" si="116"/>
        <v>0</v>
      </c>
      <c r="AC94" s="351">
        <f t="shared" si="117"/>
        <v>0</v>
      </c>
      <c r="AD94" s="351">
        <f t="shared" ref="AD94:AD101" si="123">IF(Q94&gt;0,Q94*IF(AD$89="",AD$88,AD$89),0)</f>
        <v>0</v>
      </c>
      <c r="AE94" s="122">
        <f t="shared" si="118"/>
        <v>0</v>
      </c>
      <c r="AF94" s="291"/>
      <c r="AG94" s="122">
        <f t="shared" si="119"/>
        <v>0</v>
      </c>
      <c r="AH94" s="215"/>
      <c r="AI94" s="294"/>
      <c r="AJ94" s="294"/>
      <c r="AK94" s="294"/>
      <c r="AL94" s="294"/>
      <c r="AM94" s="294"/>
      <c r="AN94" s="294"/>
      <c r="AO94" s="295"/>
      <c r="AP94" s="434"/>
      <c r="AQ94" s="434"/>
      <c r="AR94" s="495"/>
      <c r="AS94" s="495"/>
      <c r="AT94" s="495"/>
    </row>
    <row r="95" spans="1:46" s="520" customFormat="1" ht="15">
      <c r="B95" s="301"/>
      <c r="C95" s="1266">
        <f t="shared" si="120"/>
        <v>3</v>
      </c>
      <c r="D95" s="168"/>
      <c r="E95" s="78"/>
      <c r="F95" s="78"/>
      <c r="G95" s="77"/>
      <c r="H95" s="77"/>
      <c r="I95" s="77"/>
      <c r="J95" s="77"/>
      <c r="K95" s="77"/>
      <c r="L95" s="77"/>
      <c r="M95" s="77"/>
      <c r="N95" s="73"/>
      <c r="O95" s="316"/>
      <c r="P95" s="316"/>
      <c r="Q95" s="316"/>
      <c r="R95" s="351">
        <f t="shared" si="121"/>
        <v>0</v>
      </c>
      <c r="S95" s="351">
        <f t="shared" si="108"/>
        <v>0</v>
      </c>
      <c r="T95" s="351">
        <f t="shared" si="109"/>
        <v>0</v>
      </c>
      <c r="U95" s="351">
        <f t="shared" si="110"/>
        <v>0</v>
      </c>
      <c r="V95" s="351">
        <f t="shared" si="111"/>
        <v>0</v>
      </c>
      <c r="W95" s="351">
        <f t="shared" si="122"/>
        <v>0</v>
      </c>
      <c r="X95" s="351">
        <f t="shared" si="112"/>
        <v>0</v>
      </c>
      <c r="Y95" s="351">
        <f t="shared" si="113"/>
        <v>0</v>
      </c>
      <c r="Z95" s="351">
        <f t="shared" si="114"/>
        <v>0</v>
      </c>
      <c r="AA95" s="351">
        <f t="shared" si="115"/>
        <v>0</v>
      </c>
      <c r="AB95" s="351">
        <f t="shared" si="116"/>
        <v>0</v>
      </c>
      <c r="AC95" s="351">
        <f t="shared" si="117"/>
        <v>0</v>
      </c>
      <c r="AD95" s="351">
        <f t="shared" si="123"/>
        <v>0</v>
      </c>
      <c r="AE95" s="122">
        <f t="shared" si="118"/>
        <v>0</v>
      </c>
      <c r="AF95" s="291"/>
      <c r="AG95" s="122">
        <f t="shared" si="119"/>
        <v>0</v>
      </c>
      <c r="AH95" s="215"/>
      <c r="AI95" s="294"/>
      <c r="AJ95" s="294"/>
      <c r="AK95" s="294"/>
      <c r="AL95" s="294"/>
      <c r="AM95" s="294"/>
      <c r="AN95" s="294"/>
      <c r="AO95" s="295"/>
      <c r="AP95" s="434"/>
      <c r="AQ95" s="434"/>
    </row>
    <row r="96" spans="1:46" s="520" customFormat="1" ht="15">
      <c r="B96" s="301"/>
      <c r="C96" s="1266">
        <f t="shared" si="120"/>
        <v>4</v>
      </c>
      <c r="D96" s="168"/>
      <c r="E96" s="78"/>
      <c r="F96" s="78"/>
      <c r="G96" s="77"/>
      <c r="H96" s="77"/>
      <c r="I96" s="77"/>
      <c r="J96" s="77"/>
      <c r="K96" s="77"/>
      <c r="L96" s="77"/>
      <c r="M96" s="77"/>
      <c r="N96" s="73"/>
      <c r="O96" s="316"/>
      <c r="P96" s="316"/>
      <c r="Q96" s="316"/>
      <c r="R96" s="351">
        <f t="shared" si="121"/>
        <v>0</v>
      </c>
      <c r="S96" s="351">
        <f t="shared" si="108"/>
        <v>0</v>
      </c>
      <c r="T96" s="351">
        <f t="shared" si="109"/>
        <v>0</v>
      </c>
      <c r="U96" s="351">
        <f t="shared" si="110"/>
        <v>0</v>
      </c>
      <c r="V96" s="351">
        <f t="shared" si="111"/>
        <v>0</v>
      </c>
      <c r="W96" s="351">
        <f t="shared" si="122"/>
        <v>0</v>
      </c>
      <c r="X96" s="351">
        <f t="shared" si="112"/>
        <v>0</v>
      </c>
      <c r="Y96" s="351">
        <f t="shared" si="113"/>
        <v>0</v>
      </c>
      <c r="Z96" s="351">
        <f t="shared" si="114"/>
        <v>0</v>
      </c>
      <c r="AA96" s="351">
        <f t="shared" si="115"/>
        <v>0</v>
      </c>
      <c r="AB96" s="351">
        <f t="shared" si="116"/>
        <v>0</v>
      </c>
      <c r="AC96" s="351">
        <f t="shared" si="117"/>
        <v>0</v>
      </c>
      <c r="AD96" s="351">
        <f t="shared" si="123"/>
        <v>0</v>
      </c>
      <c r="AE96" s="122">
        <f t="shared" si="118"/>
        <v>0</v>
      </c>
      <c r="AF96" s="291"/>
      <c r="AG96" s="122">
        <f t="shared" si="119"/>
        <v>0</v>
      </c>
      <c r="AH96" s="215"/>
      <c r="AI96" s="294"/>
      <c r="AJ96" s="294"/>
      <c r="AK96" s="294"/>
      <c r="AL96" s="294"/>
      <c r="AM96" s="294"/>
      <c r="AN96" s="294"/>
      <c r="AO96" s="295"/>
      <c r="AP96" s="434"/>
      <c r="AQ96" s="434"/>
    </row>
    <row r="97" spans="1:43" s="520" customFormat="1" ht="15">
      <c r="B97" s="301"/>
      <c r="C97" s="1266">
        <f t="shared" si="120"/>
        <v>5</v>
      </c>
      <c r="D97" s="168"/>
      <c r="E97" s="78"/>
      <c r="F97" s="78"/>
      <c r="G97" s="77"/>
      <c r="H97" s="77"/>
      <c r="I97" s="77"/>
      <c r="J97" s="77"/>
      <c r="K97" s="77"/>
      <c r="L97" s="77"/>
      <c r="M97" s="77"/>
      <c r="N97" s="73"/>
      <c r="O97" s="316"/>
      <c r="P97" s="316"/>
      <c r="Q97" s="316"/>
      <c r="R97" s="351">
        <f t="shared" si="121"/>
        <v>0</v>
      </c>
      <c r="S97" s="351">
        <f t="shared" si="108"/>
        <v>0</v>
      </c>
      <c r="T97" s="351">
        <f t="shared" si="109"/>
        <v>0</v>
      </c>
      <c r="U97" s="351">
        <f t="shared" si="110"/>
        <v>0</v>
      </c>
      <c r="V97" s="351">
        <f t="shared" si="111"/>
        <v>0</v>
      </c>
      <c r="W97" s="351">
        <f t="shared" si="122"/>
        <v>0</v>
      </c>
      <c r="X97" s="351">
        <f t="shared" si="112"/>
        <v>0</v>
      </c>
      <c r="Y97" s="351">
        <f t="shared" si="113"/>
        <v>0</v>
      </c>
      <c r="Z97" s="351">
        <f t="shared" si="114"/>
        <v>0</v>
      </c>
      <c r="AA97" s="351">
        <f t="shared" si="115"/>
        <v>0</v>
      </c>
      <c r="AB97" s="351">
        <f t="shared" si="116"/>
        <v>0</v>
      </c>
      <c r="AC97" s="351">
        <f t="shared" si="117"/>
        <v>0</v>
      </c>
      <c r="AD97" s="351">
        <f t="shared" si="123"/>
        <v>0</v>
      </c>
      <c r="AE97" s="122">
        <f t="shared" si="118"/>
        <v>0</v>
      </c>
      <c r="AF97" s="291"/>
      <c r="AG97" s="122">
        <f t="shared" si="119"/>
        <v>0</v>
      </c>
      <c r="AH97" s="215"/>
      <c r="AI97" s="294"/>
      <c r="AJ97" s="294"/>
      <c r="AK97" s="294"/>
      <c r="AL97" s="294"/>
      <c r="AM97" s="294"/>
      <c r="AN97" s="294"/>
      <c r="AO97" s="295"/>
      <c r="AP97" s="434"/>
      <c r="AQ97" s="434"/>
    </row>
    <row r="98" spans="1:43" s="520" customFormat="1" ht="15">
      <c r="B98" s="301"/>
      <c r="C98" s="1266">
        <f t="shared" si="120"/>
        <v>6</v>
      </c>
      <c r="D98" s="168"/>
      <c r="E98" s="78"/>
      <c r="F98" s="78"/>
      <c r="G98" s="77"/>
      <c r="H98" s="77"/>
      <c r="I98" s="77"/>
      <c r="J98" s="77"/>
      <c r="K98" s="77"/>
      <c r="L98" s="77"/>
      <c r="M98" s="77"/>
      <c r="N98" s="73"/>
      <c r="O98" s="316"/>
      <c r="P98" s="316"/>
      <c r="Q98" s="316"/>
      <c r="R98" s="351">
        <f t="shared" si="121"/>
        <v>0</v>
      </c>
      <c r="S98" s="351">
        <f t="shared" si="108"/>
        <v>0</v>
      </c>
      <c r="T98" s="351">
        <f t="shared" si="109"/>
        <v>0</v>
      </c>
      <c r="U98" s="351">
        <f t="shared" si="110"/>
        <v>0</v>
      </c>
      <c r="V98" s="351">
        <f t="shared" si="111"/>
        <v>0</v>
      </c>
      <c r="W98" s="351">
        <f t="shared" si="122"/>
        <v>0</v>
      </c>
      <c r="X98" s="351">
        <f t="shared" si="112"/>
        <v>0</v>
      </c>
      <c r="Y98" s="351">
        <f t="shared" si="113"/>
        <v>0</v>
      </c>
      <c r="Z98" s="351">
        <f t="shared" si="114"/>
        <v>0</v>
      </c>
      <c r="AA98" s="351">
        <f t="shared" si="115"/>
        <v>0</v>
      </c>
      <c r="AB98" s="351">
        <f t="shared" si="116"/>
        <v>0</v>
      </c>
      <c r="AC98" s="351">
        <f t="shared" si="117"/>
        <v>0</v>
      </c>
      <c r="AD98" s="351">
        <f t="shared" si="123"/>
        <v>0</v>
      </c>
      <c r="AE98" s="122">
        <f t="shared" si="118"/>
        <v>0</v>
      </c>
      <c r="AF98" s="291"/>
      <c r="AG98" s="122">
        <f t="shared" si="119"/>
        <v>0</v>
      </c>
      <c r="AH98" s="215"/>
      <c r="AI98" s="294"/>
      <c r="AJ98" s="294"/>
      <c r="AK98" s="294"/>
      <c r="AL98" s="294"/>
      <c r="AM98" s="294"/>
      <c r="AN98" s="294"/>
      <c r="AO98" s="295"/>
      <c r="AP98" s="434"/>
      <c r="AQ98" s="434"/>
    </row>
    <row r="99" spans="1:43" s="520" customFormat="1" ht="15">
      <c r="B99" s="301"/>
      <c r="C99" s="1266">
        <f t="shared" si="120"/>
        <v>7</v>
      </c>
      <c r="D99" s="168"/>
      <c r="E99" s="78"/>
      <c r="F99" s="78"/>
      <c r="G99" s="77"/>
      <c r="H99" s="77"/>
      <c r="I99" s="77"/>
      <c r="J99" s="77"/>
      <c r="K99" s="77"/>
      <c r="L99" s="77"/>
      <c r="M99" s="77"/>
      <c r="N99" s="73"/>
      <c r="O99" s="316"/>
      <c r="P99" s="316"/>
      <c r="Q99" s="316"/>
      <c r="R99" s="351">
        <f t="shared" si="121"/>
        <v>0</v>
      </c>
      <c r="S99" s="351">
        <f t="shared" si="108"/>
        <v>0</v>
      </c>
      <c r="T99" s="351">
        <f t="shared" si="109"/>
        <v>0</v>
      </c>
      <c r="U99" s="351">
        <f t="shared" si="110"/>
        <v>0</v>
      </c>
      <c r="V99" s="351">
        <f t="shared" si="111"/>
        <v>0</v>
      </c>
      <c r="W99" s="351">
        <f t="shared" si="122"/>
        <v>0</v>
      </c>
      <c r="X99" s="351">
        <f t="shared" si="112"/>
        <v>0</v>
      </c>
      <c r="Y99" s="351">
        <f t="shared" si="113"/>
        <v>0</v>
      </c>
      <c r="Z99" s="351">
        <f t="shared" si="114"/>
        <v>0</v>
      </c>
      <c r="AA99" s="351">
        <f t="shared" si="115"/>
        <v>0</v>
      </c>
      <c r="AB99" s="351">
        <f t="shared" si="116"/>
        <v>0</v>
      </c>
      <c r="AC99" s="351">
        <f t="shared" si="117"/>
        <v>0</v>
      </c>
      <c r="AD99" s="351">
        <f t="shared" si="123"/>
        <v>0</v>
      </c>
      <c r="AE99" s="122">
        <f t="shared" si="118"/>
        <v>0</v>
      </c>
      <c r="AF99" s="291"/>
      <c r="AG99" s="122">
        <f t="shared" si="119"/>
        <v>0</v>
      </c>
      <c r="AH99" s="215"/>
      <c r="AI99" s="294"/>
      <c r="AJ99" s="294"/>
      <c r="AK99" s="294"/>
      <c r="AL99" s="294"/>
      <c r="AM99" s="294"/>
      <c r="AN99" s="294"/>
      <c r="AO99" s="295"/>
      <c r="AP99" s="434"/>
      <c r="AQ99" s="434"/>
    </row>
    <row r="100" spans="1:43" s="520" customFormat="1" ht="15">
      <c r="B100" s="301"/>
      <c r="C100" s="1266">
        <f t="shared" si="120"/>
        <v>8</v>
      </c>
      <c r="D100" s="168"/>
      <c r="E100" s="78"/>
      <c r="F100" s="78"/>
      <c r="G100" s="77"/>
      <c r="H100" s="77"/>
      <c r="I100" s="77"/>
      <c r="J100" s="77"/>
      <c r="K100" s="77"/>
      <c r="L100" s="77"/>
      <c r="M100" s="77"/>
      <c r="N100" s="73"/>
      <c r="O100" s="316"/>
      <c r="P100" s="316"/>
      <c r="Q100" s="316"/>
      <c r="R100" s="351">
        <f t="shared" si="121"/>
        <v>0</v>
      </c>
      <c r="S100" s="351">
        <f t="shared" si="108"/>
        <v>0</v>
      </c>
      <c r="T100" s="351">
        <f t="shared" si="109"/>
        <v>0</v>
      </c>
      <c r="U100" s="351">
        <f t="shared" si="110"/>
        <v>0</v>
      </c>
      <c r="V100" s="351">
        <f t="shared" si="111"/>
        <v>0</v>
      </c>
      <c r="W100" s="351">
        <f t="shared" si="122"/>
        <v>0</v>
      </c>
      <c r="X100" s="351">
        <f t="shared" si="112"/>
        <v>0</v>
      </c>
      <c r="Y100" s="351">
        <f t="shared" si="113"/>
        <v>0</v>
      </c>
      <c r="Z100" s="351">
        <f t="shared" si="114"/>
        <v>0</v>
      </c>
      <c r="AA100" s="351">
        <f t="shared" si="115"/>
        <v>0</v>
      </c>
      <c r="AB100" s="351">
        <f t="shared" si="116"/>
        <v>0</v>
      </c>
      <c r="AC100" s="351">
        <f t="shared" si="117"/>
        <v>0</v>
      </c>
      <c r="AD100" s="351">
        <f t="shared" si="123"/>
        <v>0</v>
      </c>
      <c r="AE100" s="122">
        <f t="shared" si="118"/>
        <v>0</v>
      </c>
      <c r="AF100" s="291"/>
      <c r="AG100" s="122">
        <f t="shared" si="119"/>
        <v>0</v>
      </c>
      <c r="AH100" s="215"/>
      <c r="AI100" s="294"/>
      <c r="AJ100" s="294"/>
      <c r="AK100" s="294"/>
      <c r="AL100" s="294"/>
      <c r="AM100" s="294"/>
      <c r="AN100" s="294"/>
      <c r="AO100" s="295"/>
      <c r="AP100" s="434"/>
      <c r="AQ100" s="434"/>
    </row>
    <row r="101" spans="1:43" s="520" customFormat="1" ht="15">
      <c r="B101" s="301"/>
      <c r="C101" s="1266">
        <f t="shared" si="120"/>
        <v>9</v>
      </c>
      <c r="D101" s="168"/>
      <c r="E101" s="78"/>
      <c r="F101" s="78"/>
      <c r="G101" s="77"/>
      <c r="H101" s="77"/>
      <c r="I101" s="77"/>
      <c r="J101" s="77"/>
      <c r="K101" s="77"/>
      <c r="L101" s="77"/>
      <c r="M101" s="77"/>
      <c r="N101" s="73"/>
      <c r="O101" s="316"/>
      <c r="P101" s="316"/>
      <c r="Q101" s="316"/>
      <c r="R101" s="351">
        <f t="shared" si="121"/>
        <v>0</v>
      </c>
      <c r="S101" s="351">
        <f t="shared" si="108"/>
        <v>0</v>
      </c>
      <c r="T101" s="351">
        <f t="shared" si="109"/>
        <v>0</v>
      </c>
      <c r="U101" s="351">
        <f t="shared" si="110"/>
        <v>0</v>
      </c>
      <c r="V101" s="351">
        <f t="shared" si="111"/>
        <v>0</v>
      </c>
      <c r="W101" s="351">
        <f t="shared" si="122"/>
        <v>0</v>
      </c>
      <c r="X101" s="351">
        <f t="shared" si="112"/>
        <v>0</v>
      </c>
      <c r="Y101" s="351">
        <f t="shared" si="113"/>
        <v>0</v>
      </c>
      <c r="Z101" s="351">
        <f t="shared" si="114"/>
        <v>0</v>
      </c>
      <c r="AA101" s="351">
        <f t="shared" si="115"/>
        <v>0</v>
      </c>
      <c r="AB101" s="351">
        <f t="shared" si="116"/>
        <v>0</v>
      </c>
      <c r="AC101" s="351">
        <f t="shared" si="117"/>
        <v>0</v>
      </c>
      <c r="AD101" s="351">
        <f t="shared" si="123"/>
        <v>0</v>
      </c>
      <c r="AE101" s="122">
        <f t="shared" si="118"/>
        <v>0</v>
      </c>
      <c r="AF101" s="291"/>
      <c r="AG101" s="122">
        <f t="shared" si="119"/>
        <v>0</v>
      </c>
      <c r="AH101" s="215"/>
      <c r="AI101" s="294"/>
      <c r="AJ101" s="294"/>
      <c r="AK101" s="294"/>
      <c r="AL101" s="294"/>
      <c r="AM101" s="294"/>
      <c r="AN101" s="294"/>
      <c r="AO101" s="295"/>
      <c r="AP101" s="434"/>
      <c r="AQ101" s="434"/>
    </row>
    <row r="102" spans="1:43" s="520" customFormat="1" ht="15">
      <c r="B102" s="301"/>
      <c r="C102" s="1266">
        <f t="shared" si="120"/>
        <v>10</v>
      </c>
      <c r="D102" s="168"/>
      <c r="E102" s="78"/>
      <c r="F102" s="78"/>
      <c r="G102" s="77"/>
      <c r="H102" s="77"/>
      <c r="I102" s="77"/>
      <c r="J102" s="77"/>
      <c r="K102" s="77"/>
      <c r="L102" s="77"/>
      <c r="M102" s="77"/>
      <c r="N102" s="73"/>
      <c r="O102" s="316"/>
      <c r="P102" s="316"/>
      <c r="Q102" s="316"/>
      <c r="R102" s="351">
        <f t="shared" si="121"/>
        <v>0</v>
      </c>
      <c r="S102" s="351">
        <f t="shared" si="108"/>
        <v>0</v>
      </c>
      <c r="T102" s="351">
        <f t="shared" si="109"/>
        <v>0</v>
      </c>
      <c r="U102" s="351">
        <f t="shared" si="110"/>
        <v>0</v>
      </c>
      <c r="V102" s="351">
        <f t="shared" si="111"/>
        <v>0</v>
      </c>
      <c r="W102" s="351">
        <f t="shared" si="122"/>
        <v>0</v>
      </c>
      <c r="X102" s="351">
        <f t="shared" si="112"/>
        <v>0</v>
      </c>
      <c r="Y102" s="351">
        <f t="shared" si="113"/>
        <v>0</v>
      </c>
      <c r="Z102" s="351">
        <f t="shared" si="114"/>
        <v>0</v>
      </c>
      <c r="AA102" s="351">
        <f t="shared" si="115"/>
        <v>0</v>
      </c>
      <c r="AB102" s="351">
        <f t="shared" si="116"/>
        <v>0</v>
      </c>
      <c r="AC102" s="351">
        <f t="shared" si="117"/>
        <v>0</v>
      </c>
      <c r="AD102" s="351">
        <f>IF(Q102&gt;0,Q102*IF(AD$89="",AD$88,AD$89),0)</f>
        <v>0</v>
      </c>
      <c r="AE102" s="122">
        <f t="shared" si="118"/>
        <v>0</v>
      </c>
      <c r="AF102" s="291"/>
      <c r="AG102" s="122">
        <f t="shared" si="119"/>
        <v>0</v>
      </c>
      <c r="AH102" s="215"/>
      <c r="AI102" s="294"/>
      <c r="AJ102" s="294"/>
      <c r="AK102" s="294"/>
      <c r="AL102" s="294"/>
      <c r="AM102" s="294"/>
      <c r="AN102" s="294"/>
      <c r="AO102" s="295"/>
      <c r="AP102" s="434"/>
      <c r="AQ102" s="434"/>
    </row>
    <row r="103" spans="1:43" ht="18" customHeight="1">
      <c r="E103" s="1271"/>
      <c r="F103" s="1271"/>
      <c r="G103" s="1207"/>
      <c r="H103" s="1207"/>
      <c r="I103" s="1207"/>
      <c r="J103" s="1207"/>
      <c r="K103" s="1207"/>
      <c r="L103" s="1207"/>
      <c r="M103" s="1207"/>
      <c r="N103" s="1207"/>
      <c r="O103" s="1123"/>
      <c r="P103" s="1123"/>
      <c r="Q103" s="1123"/>
      <c r="R103" s="35"/>
      <c r="S103" s="35"/>
      <c r="T103" s="35"/>
      <c r="U103" s="35"/>
      <c r="V103" s="35"/>
      <c r="W103" s="35"/>
      <c r="X103" s="35"/>
      <c r="Y103" s="35"/>
      <c r="Z103" s="35"/>
      <c r="AA103" s="35"/>
      <c r="AB103" s="35"/>
      <c r="AC103" s="35"/>
      <c r="AD103" s="35"/>
      <c r="AE103" s="1105"/>
      <c r="AF103" s="1105"/>
      <c r="AG103" s="953"/>
      <c r="AH103" s="434"/>
      <c r="AI103" s="434"/>
      <c r="AJ103" s="434"/>
      <c r="AK103" s="434"/>
      <c r="AL103" s="434"/>
    </row>
    <row r="104" spans="1:43" ht="18" customHeight="1">
      <c r="D104" s="848" t="s">
        <v>2467</v>
      </c>
      <c r="E104" s="806">
        <f>SUM(E92:E103)</f>
        <v>0</v>
      </c>
      <c r="F104" s="806">
        <f t="shared" ref="F104" si="124">SUM(F92:F103)</f>
        <v>0</v>
      </c>
      <c r="G104" s="373">
        <f t="shared" ref="G104" si="125">SUM(G92:G103)</f>
        <v>0</v>
      </c>
      <c r="H104" s="373">
        <f t="shared" ref="H104" si="126">SUM(H92:H103)</f>
        <v>0</v>
      </c>
      <c r="I104" s="373">
        <f t="shared" ref="I104:K104" si="127">SUM(I92:I103)</f>
        <v>0</v>
      </c>
      <c r="J104" s="373">
        <f t="shared" si="127"/>
        <v>0</v>
      </c>
      <c r="K104" s="373">
        <f t="shared" si="127"/>
        <v>0</v>
      </c>
      <c r="L104" s="373">
        <f t="shared" ref="L104" si="128">SUM(L92:L103)</f>
        <v>0</v>
      </c>
      <c r="M104" s="373">
        <f t="shared" ref="M104" si="129">SUM(M92:M103)</f>
        <v>0</v>
      </c>
      <c r="N104" s="373">
        <f t="shared" ref="N104" si="130">SUM(N92:N103)</f>
        <v>0</v>
      </c>
      <c r="O104" s="372">
        <f t="shared" ref="O104" si="131">SUM(O92:O103)</f>
        <v>0</v>
      </c>
      <c r="P104" s="372">
        <f t="shared" ref="P104" si="132">SUM(P92:P103)</f>
        <v>0</v>
      </c>
      <c r="Q104" s="372">
        <f t="shared" ref="Q104" si="133">SUM(Q92:Q103)</f>
        <v>0</v>
      </c>
      <c r="R104" s="1020">
        <f t="shared" ref="R104" si="134">SUM(R92:R103)</f>
        <v>0</v>
      </c>
      <c r="S104" s="1020">
        <f t="shared" ref="S104" si="135">SUM(S92:S103)</f>
        <v>0</v>
      </c>
      <c r="T104" s="1020">
        <f t="shared" ref="T104" si="136">SUM(T92:T103)</f>
        <v>0</v>
      </c>
      <c r="U104" s="1020">
        <f t="shared" ref="U104" si="137">SUM(U92:U103)</f>
        <v>0</v>
      </c>
      <c r="V104" s="1020">
        <f t="shared" ref="V104:W104" si="138">SUM(V92:V103)</f>
        <v>0</v>
      </c>
      <c r="W104" s="1020">
        <f t="shared" si="138"/>
        <v>0</v>
      </c>
      <c r="X104" s="1020">
        <f t="shared" ref="X104" si="139">SUM(X92:X103)</f>
        <v>0</v>
      </c>
      <c r="Y104" s="1020">
        <f t="shared" ref="Y104" si="140">SUM(Y92:Y103)</f>
        <v>0</v>
      </c>
      <c r="Z104" s="1020">
        <f t="shared" ref="Z104" si="141">SUM(Z92:Z103)</f>
        <v>0</v>
      </c>
      <c r="AA104" s="1020">
        <f t="shared" ref="AA104" si="142">SUM(AA92:AA103)</f>
        <v>0</v>
      </c>
      <c r="AB104" s="1020">
        <f t="shared" ref="AB104" si="143">SUM(AB92:AB103)</f>
        <v>0</v>
      </c>
      <c r="AC104" s="1020">
        <f t="shared" ref="AC104" si="144">SUM(AC92:AC103)</f>
        <v>0</v>
      </c>
      <c r="AD104" s="1020">
        <f t="shared" ref="AD104" si="145">SUM(AD92:AD103)</f>
        <v>0</v>
      </c>
      <c r="AE104" s="1248">
        <f>SUM(AE92:AE103)</f>
        <v>0</v>
      </c>
      <c r="AF104" s="1268">
        <f t="shared" ref="AF104" si="146">SUM(AF92:AF103)</f>
        <v>0</v>
      </c>
      <c r="AG104" s="1248">
        <f t="shared" ref="AG104" si="147">SUM(AG92:AG103)</f>
        <v>0</v>
      </c>
      <c r="AH104" s="904">
        <f>IF(SUM(E104:Q104)=0,0,AG104/SUM(E104:Q104))</f>
        <v>0</v>
      </c>
      <c r="AI104" s="434"/>
      <c r="AJ104" s="434"/>
      <c r="AK104" s="434"/>
      <c r="AL104" s="434"/>
    </row>
    <row r="105" spans="1:43" ht="18" customHeight="1">
      <c r="A105" s="434"/>
      <c r="C105" s="434"/>
      <c r="I105" s="434"/>
      <c r="J105" s="434"/>
      <c r="K105" s="434"/>
      <c r="L105" s="434"/>
      <c r="M105" s="434"/>
      <c r="N105" s="434"/>
      <c r="O105" s="474"/>
    </row>
    <row r="106" spans="1:43" ht="24.6" customHeight="1">
      <c r="M106" s="475"/>
      <c r="N106" s="1049" t="str">
        <f>IF(N109="","No Alert","Enter justification")</f>
        <v>No Alert</v>
      </c>
      <c r="O106" s="1049" t="str">
        <f t="shared" ref="O106:V106" si="148">IF(O109="","No Alert","Enter justification")</f>
        <v>No Alert</v>
      </c>
      <c r="P106" s="1049" t="str">
        <f t="shared" si="148"/>
        <v>No Alert</v>
      </c>
      <c r="Q106" s="1049" t="str">
        <f t="shared" si="148"/>
        <v>No Alert</v>
      </c>
      <c r="R106" s="1049" t="str">
        <f t="shared" si="148"/>
        <v>No Alert</v>
      </c>
      <c r="S106" s="1049" t="str">
        <f t="shared" si="148"/>
        <v>No Alert</v>
      </c>
      <c r="T106" s="1049" t="str">
        <f t="shared" si="148"/>
        <v>No Alert</v>
      </c>
      <c r="U106" s="1049" t="str">
        <f t="shared" si="148"/>
        <v>No Alert</v>
      </c>
      <c r="V106" s="1049" t="str">
        <f t="shared" si="148"/>
        <v>No Alert</v>
      </c>
    </row>
    <row r="107" spans="1:43" ht="18" customHeight="1">
      <c r="E107" s="475"/>
      <c r="F107" s="475"/>
      <c r="G107" s="475"/>
      <c r="H107" s="475"/>
      <c r="I107" s="475"/>
      <c r="J107" s="475"/>
      <c r="K107" s="475"/>
      <c r="L107" s="475"/>
      <c r="M107" s="848" t="s">
        <v>1596</v>
      </c>
      <c r="N107" s="828" t="str">
        <f>TOV!$C577</f>
        <v>#14.42</v>
      </c>
      <c r="O107" s="828" t="str">
        <f>TOV!$C578</f>
        <v>#14.43</v>
      </c>
      <c r="P107" s="828" t="str">
        <f>TOV!$C579</f>
        <v>#14.44</v>
      </c>
      <c r="Q107" s="828" t="str">
        <f>TOV!$C580</f>
        <v>#14.45</v>
      </c>
      <c r="R107" s="828" t="str">
        <f>TOV!$C581</f>
        <v>#14.46</v>
      </c>
      <c r="S107" s="828" t="str">
        <f>TOV!$C582</f>
        <v>#14.47</v>
      </c>
      <c r="T107" s="828" t="str">
        <f>TOV!$C583</f>
        <v>#14.48</v>
      </c>
      <c r="U107" s="828" t="str">
        <f>TOV!$C584</f>
        <v>#14.49</v>
      </c>
      <c r="V107" s="828" t="str">
        <f>TOV!$C585</f>
        <v>#14.50</v>
      </c>
      <c r="AA107" s="434"/>
      <c r="AB107" s="434"/>
      <c r="AC107" s="434"/>
      <c r="AD107" s="434"/>
      <c r="AE107" s="434"/>
      <c r="AF107" s="434"/>
      <c r="AG107" s="434"/>
      <c r="AH107" s="434"/>
      <c r="AI107" s="434"/>
      <c r="AJ107" s="434"/>
      <c r="AK107" s="434"/>
      <c r="AL107" s="434"/>
    </row>
    <row r="108" spans="1:43" s="434" customFormat="1" ht="18" customHeight="1">
      <c r="M108" s="848" t="s">
        <v>35</v>
      </c>
      <c r="N108" s="81">
        <f>VLOOKUP(N107,TOV!$C$577:$G$585,4,FALSE)</f>
        <v>238.28474125459849</v>
      </c>
      <c r="O108" s="81">
        <f>VLOOKUP(O107,TOV!$C$577:$G$585,4,FALSE)</f>
        <v>618.07206050234822</v>
      </c>
      <c r="P108" s="81">
        <f>VLOOKUP(P107,TOV!$C$577:$G$585,4,FALSE)</f>
        <v>618.07206050234822</v>
      </c>
      <c r="Q108" s="81">
        <f>VLOOKUP(Q107,TOV!$C$577:$G$585,4,FALSE)</f>
        <v>2090.6936168725638</v>
      </c>
      <c r="R108" s="81">
        <f>VLOOKUP(R107,TOV!$C$577:$G$585,4,FALSE)</f>
        <v>2090.6936168725638</v>
      </c>
      <c r="S108" s="81">
        <f>VLOOKUP(S107,TOV!$C$577:$G$585,4,FALSE)</f>
        <v>6901.2573676819347</v>
      </c>
      <c r="T108" s="81">
        <f>VLOOKUP(T107,TOV!$C$577:$G$585,4,FALSE)</f>
        <v>2738.6471016754585</v>
      </c>
      <c r="U108" s="81">
        <f>VLOOKUP(U107,TOV!$C$577:$G$585,4,FALSE)</f>
        <v>1560.5498565792861</v>
      </c>
      <c r="V108" s="81">
        <f>VLOOKUP(V107,TOV!$C$577:$G$585,4,FALSE)</f>
        <v>6813.434306387262</v>
      </c>
      <c r="W108" s="830"/>
      <c r="X108" s="475"/>
      <c r="Y108" s="475"/>
      <c r="Z108" s="475"/>
    </row>
    <row r="109" spans="1:43" ht="18" customHeight="1">
      <c r="E109" s="475"/>
      <c r="M109" s="848" t="s">
        <v>2502</v>
      </c>
      <c r="N109" s="291"/>
      <c r="O109" s="291"/>
      <c r="P109" s="291"/>
      <c r="Q109" s="291"/>
      <c r="R109" s="291"/>
      <c r="S109" s="291"/>
      <c r="T109" s="291"/>
      <c r="U109" s="291"/>
      <c r="V109" s="291"/>
      <c r="W109" s="830"/>
    </row>
    <row r="110" spans="1:43" ht="18" customHeight="1">
      <c r="B110" s="286" t="s">
        <v>26</v>
      </c>
      <c r="C110" s="1038" t="s">
        <v>2524</v>
      </c>
      <c r="E110" s="771" t="s">
        <v>1563</v>
      </c>
      <c r="F110" s="771" t="s">
        <v>1563</v>
      </c>
      <c r="G110" s="771" t="s">
        <v>1563</v>
      </c>
      <c r="H110" s="771" t="s">
        <v>1563</v>
      </c>
      <c r="I110" s="771" t="s">
        <v>1563</v>
      </c>
      <c r="J110" s="771" t="s">
        <v>1563</v>
      </c>
      <c r="K110" s="771" t="s">
        <v>1563</v>
      </c>
      <c r="L110" s="771" t="s">
        <v>1563</v>
      </c>
      <c r="M110" s="771" t="s">
        <v>1563</v>
      </c>
      <c r="N110" s="82" t="str">
        <f t="shared" ref="N110:S110" si="149">E112</f>
        <v>bore</v>
      </c>
      <c r="O110" s="82" t="str">
        <f t="shared" si="149"/>
        <v>bore</v>
      </c>
      <c r="P110" s="82" t="str">
        <f t="shared" si="149"/>
        <v>bore</v>
      </c>
      <c r="Q110" s="82" t="str">
        <f t="shared" si="149"/>
        <v>bore</v>
      </c>
      <c r="R110" s="82" t="str">
        <f t="shared" si="149"/>
        <v>bore</v>
      </c>
      <c r="S110" s="82" t="str">
        <f t="shared" si="149"/>
        <v>bore</v>
      </c>
      <c r="T110" s="82" t="str">
        <f t="shared" ref="T110:U110" si="150">K112</f>
        <v>bore</v>
      </c>
      <c r="U110" s="82" t="str">
        <f t="shared" si="150"/>
        <v>bore</v>
      </c>
      <c r="V110" s="828" t="str">
        <f>M112</f>
        <v>bore</v>
      </c>
      <c r="X110" s="639"/>
      <c r="Y110" s="639"/>
      <c r="Z110" s="639"/>
      <c r="AA110" s="434"/>
      <c r="AB110" s="434"/>
      <c r="AC110" s="434"/>
      <c r="AD110" s="434"/>
      <c r="AE110" s="434"/>
      <c r="AF110" s="434"/>
      <c r="AG110" s="434"/>
      <c r="AH110" s="434"/>
      <c r="AI110" s="434"/>
      <c r="AJ110" s="434"/>
      <c r="AK110" s="434"/>
      <c r="AL110" s="434"/>
    </row>
    <row r="111" spans="1:43" ht="135.6" customHeight="1">
      <c r="B111" s="773" t="s">
        <v>1517</v>
      </c>
      <c r="C111" s="773" t="s">
        <v>27</v>
      </c>
      <c r="D111" s="773" t="s">
        <v>2456</v>
      </c>
      <c r="E111" s="773" t="str">
        <f>VLOOKUP(N107,TOV!$C$536:$G$585,3,FALSE)</f>
        <v>Water Supply / Monitoring bore hole plugging</v>
      </c>
      <c r="F111" s="773" t="str">
        <f>VLOOKUP(O107,TOV!$C$536:$G$585,3,FALSE)</f>
        <v>Water supply bore hole backfilling with cuttings</v>
      </c>
      <c r="G111" s="773" t="str">
        <f>VLOOKUP(P107,TOV!$C$536:$G$585,3,FALSE)</f>
        <v>Monitoring bore hole backfilling with cuttings</v>
      </c>
      <c r="H111" s="773" t="str">
        <f>VLOOKUP(Q107,TOV!$C$536:$G$585,3,FALSE)</f>
        <v>Water supply bore hole grouting</v>
      </c>
      <c r="I111" s="773" t="str">
        <f>VLOOKUP(R107,TOV!$C$536:$G$585,3,FALSE)</f>
        <v>Monitoring bore hole grouting</v>
      </c>
      <c r="J111" s="773" t="str">
        <f>VLOOKUP(S107,TOV!$C$536:$G$585,3,FALSE)</f>
        <v>Water reinjection bore hole grouting</v>
      </c>
      <c r="K111" s="773" t="str">
        <f>VLOOKUP(T107,TOV!$C$536:$G$585,3,FALSE)</f>
        <v>Exploration bore hole grouting (coal / mineral sands / large impact drilling)</v>
      </c>
      <c r="L111" s="773" t="str">
        <f>VLOOKUP(U107,TOV!$C$536:$G$585,3,FALSE)</f>
        <v>Exploration bore hole grouting (metalliferous / low impact drilling)</v>
      </c>
      <c r="M111" s="773" t="str">
        <f>VLOOKUP(V107,TOV!$C$536:$G$585,3,FALSE)</f>
        <v>Gas and goaf drainage bore hole grout and cap</v>
      </c>
      <c r="N111" s="773" t="str">
        <f t="shared" ref="N111:S111" si="151">CONCATENATE(E111," ($)")</f>
        <v>Water Supply / Monitoring bore hole plugging ($)</v>
      </c>
      <c r="O111" s="773" t="str">
        <f t="shared" si="151"/>
        <v>Water supply bore hole backfilling with cuttings ($)</v>
      </c>
      <c r="P111" s="773" t="str">
        <f t="shared" si="151"/>
        <v>Monitoring bore hole backfilling with cuttings ($)</v>
      </c>
      <c r="Q111" s="773" t="str">
        <f t="shared" si="151"/>
        <v>Water supply bore hole grouting ($)</v>
      </c>
      <c r="R111" s="773" t="str">
        <f t="shared" si="151"/>
        <v>Monitoring bore hole grouting ($)</v>
      </c>
      <c r="S111" s="773" t="str">
        <f t="shared" si="151"/>
        <v>Water reinjection bore hole grouting ($)</v>
      </c>
      <c r="T111" s="773" t="str">
        <f t="shared" ref="T111:U111" si="152">CONCATENATE(K111," ($)")</f>
        <v>Exploration bore hole grouting (coal / mineral sands / large impact drilling) ($)</v>
      </c>
      <c r="U111" s="773" t="str">
        <f t="shared" si="152"/>
        <v>Exploration bore hole grouting (metalliferous / low impact drilling) ($)</v>
      </c>
      <c r="V111" s="773" t="str">
        <f>CONCATENATE(M111," ($)")</f>
        <v>Gas and goaf drainage bore hole grout and cap ($)</v>
      </c>
      <c r="W111" s="775" t="s">
        <v>83</v>
      </c>
      <c r="X111" s="773" t="s">
        <v>2509</v>
      </c>
      <c r="Y111" s="775" t="s">
        <v>2466</v>
      </c>
      <c r="Z111" s="776" t="s">
        <v>1526</v>
      </c>
      <c r="AA111" s="777"/>
      <c r="AB111" s="777"/>
      <c r="AC111" s="777"/>
      <c r="AD111" s="777"/>
      <c r="AE111" s="777"/>
      <c r="AF111" s="777"/>
      <c r="AG111" s="778"/>
      <c r="AH111" s="434"/>
      <c r="AI111" s="434"/>
      <c r="AJ111" s="434"/>
      <c r="AK111" s="434"/>
      <c r="AL111" s="434"/>
    </row>
    <row r="112" spans="1:43" ht="18" customHeight="1">
      <c r="E112" s="82" t="str">
        <f>VLOOKUP(N107,TOV!$C$536:$G$585,5,FALSE)</f>
        <v>bore</v>
      </c>
      <c r="F112" s="82" t="str">
        <f>VLOOKUP(O107,TOV!$C$536:$G$585,5,FALSE)</f>
        <v>bore</v>
      </c>
      <c r="G112" s="82" t="str">
        <f>VLOOKUP(P107,TOV!$C$536:$G$585,5,FALSE)</f>
        <v>bore</v>
      </c>
      <c r="H112" s="82" t="str">
        <f>VLOOKUP(Q107,TOV!$C$536:$G$585,5,FALSE)</f>
        <v>bore</v>
      </c>
      <c r="I112" s="82" t="str">
        <f>VLOOKUP(R107,TOV!$C$536:$G$585,5,FALSE)</f>
        <v>bore</v>
      </c>
      <c r="J112" s="82" t="str">
        <f>VLOOKUP(S107,TOV!$C$536:$G$585,5,FALSE)</f>
        <v>bore</v>
      </c>
      <c r="K112" s="82" t="str">
        <f>VLOOKUP(T107,TOV!$C$536:$G$585,5,FALSE)</f>
        <v>bore</v>
      </c>
      <c r="L112" s="82" t="str">
        <f>VLOOKUP(U107,TOV!$C$536:$G$585,5,FALSE)</f>
        <v>bore</v>
      </c>
      <c r="M112" s="82" t="str">
        <f>VLOOKUP(V107,TOV!$C$536:$G$585,5,FALSE)</f>
        <v>bore</v>
      </c>
      <c r="N112" s="475"/>
      <c r="Z112" s="474"/>
      <c r="AA112" s="474"/>
      <c r="AB112" s="474"/>
      <c r="AC112" s="474"/>
      <c r="AD112" s="474"/>
      <c r="AE112" s="474"/>
      <c r="AF112" s="474"/>
      <c r="AG112" s="474"/>
      <c r="AH112" s="434"/>
      <c r="AI112" s="434"/>
      <c r="AJ112" s="434"/>
      <c r="AK112" s="434"/>
      <c r="AL112" s="434"/>
    </row>
    <row r="113" spans="2:43" s="520" customFormat="1" ht="15">
      <c r="B113" s="301"/>
      <c r="C113" s="989">
        <v>1</v>
      </c>
      <c r="D113" s="168"/>
      <c r="E113" s="78"/>
      <c r="F113" s="78"/>
      <c r="G113" s="78"/>
      <c r="H113" s="78"/>
      <c r="I113" s="78"/>
      <c r="J113" s="78"/>
      <c r="K113" s="78"/>
      <c r="L113" s="78"/>
      <c r="M113" s="74"/>
      <c r="N113" s="351">
        <f t="shared" ref="N113:S113" si="153">IF(E113&gt;0,E113*IF(N$109="",N$108,N$109),0)</f>
        <v>0</v>
      </c>
      <c r="O113" s="351">
        <f t="shared" si="153"/>
        <v>0</v>
      </c>
      <c r="P113" s="351">
        <f t="shared" si="153"/>
        <v>0</v>
      </c>
      <c r="Q113" s="351">
        <f t="shared" si="153"/>
        <v>0</v>
      </c>
      <c r="R113" s="351">
        <f t="shared" si="153"/>
        <v>0</v>
      </c>
      <c r="S113" s="351">
        <f t="shared" si="153"/>
        <v>0</v>
      </c>
      <c r="T113" s="351">
        <f t="shared" ref="T113:U113" si="154">IF(K113&gt;0,K113*IF(T$109="",T$108,T$109),0)</f>
        <v>0</v>
      </c>
      <c r="U113" s="351">
        <f t="shared" si="154"/>
        <v>0</v>
      </c>
      <c r="V113" s="351">
        <f t="shared" ref="V113:V122" si="155">IF(M113&gt;0,M113*IF(V$109="",V$108,V$109),0)</f>
        <v>0</v>
      </c>
      <c r="W113" s="122">
        <f t="shared" ref="W113:W122" si="156">SUM(N113:V113)</f>
        <v>0</v>
      </c>
      <c r="X113" s="291"/>
      <c r="Y113" s="122">
        <f>IF(X113="",W113,X113)</f>
        <v>0</v>
      </c>
      <c r="Z113" s="215"/>
      <c r="AA113" s="294"/>
      <c r="AB113" s="294"/>
      <c r="AC113" s="294"/>
      <c r="AD113" s="294"/>
      <c r="AE113" s="294"/>
      <c r="AF113" s="294"/>
      <c r="AG113" s="295"/>
      <c r="AH113" s="434"/>
      <c r="AI113" s="434"/>
      <c r="AJ113" s="495"/>
      <c r="AK113" s="495"/>
      <c r="AL113" s="495"/>
    </row>
    <row r="114" spans="2:43" s="520" customFormat="1" ht="15">
      <c r="B114" s="301"/>
      <c r="C114" s="1266">
        <f t="shared" ref="C114:C122" si="157">C113+1</f>
        <v>2</v>
      </c>
      <c r="D114" s="168"/>
      <c r="E114" s="78"/>
      <c r="F114" s="78"/>
      <c r="G114" s="78"/>
      <c r="H114" s="78"/>
      <c r="I114" s="78"/>
      <c r="J114" s="78"/>
      <c r="K114" s="78"/>
      <c r="L114" s="78"/>
      <c r="M114" s="74"/>
      <c r="N114" s="351">
        <f t="shared" ref="N114:N122" si="158">IF(E114&gt;0,E114*IF(N$109="",N$108,N$109),0)</f>
        <v>0</v>
      </c>
      <c r="O114" s="351">
        <f t="shared" ref="O114:O122" si="159">IF(F114&gt;0,F114*IF(O$109="",O$108,O$109),0)</f>
        <v>0</v>
      </c>
      <c r="P114" s="351">
        <f t="shared" ref="P114:P122" si="160">IF(G114&gt;0,G114*IF(P$109="",P$108,P$109),0)</f>
        <v>0</v>
      </c>
      <c r="Q114" s="351">
        <f t="shared" ref="Q114:Q122" si="161">IF(H114&gt;0,H114*IF(Q$109="",Q$108,Q$109),0)</f>
        <v>0</v>
      </c>
      <c r="R114" s="351">
        <f t="shared" ref="R114:R122" si="162">IF(I114&gt;0,I114*IF(R$109="",R$108,R$109),0)</f>
        <v>0</v>
      </c>
      <c r="S114" s="351">
        <f t="shared" ref="S114:S122" si="163">IF(J114&gt;0,J114*IF(S$109="",S$108,S$109),0)</f>
        <v>0</v>
      </c>
      <c r="T114" s="351">
        <f t="shared" ref="T114:T122" si="164">IF(K114&gt;0,K114*IF(T$109="",T$108,T$109),0)</f>
        <v>0</v>
      </c>
      <c r="U114" s="351">
        <f t="shared" ref="U114:U122" si="165">IF(L114&gt;0,L114*IF(U$109="",U$108,U$109),0)</f>
        <v>0</v>
      </c>
      <c r="V114" s="351">
        <f t="shared" si="155"/>
        <v>0</v>
      </c>
      <c r="W114" s="122">
        <f t="shared" si="156"/>
        <v>0</v>
      </c>
      <c r="X114" s="291"/>
      <c r="Y114" s="122">
        <f t="shared" ref="Y114:Y122" si="166">IF(X114="",W114,X114)</f>
        <v>0</v>
      </c>
      <c r="Z114" s="215"/>
      <c r="AA114" s="294"/>
      <c r="AB114" s="294"/>
      <c r="AC114" s="294"/>
      <c r="AD114" s="294"/>
      <c r="AE114" s="294"/>
      <c r="AF114" s="294"/>
      <c r="AG114" s="295"/>
      <c r="AH114" s="434"/>
      <c r="AI114" s="434"/>
      <c r="AJ114" s="495"/>
      <c r="AK114" s="495"/>
      <c r="AL114" s="495"/>
    </row>
    <row r="115" spans="2:43" s="520" customFormat="1" ht="15">
      <c r="B115" s="301"/>
      <c r="C115" s="1266">
        <f t="shared" si="157"/>
        <v>3</v>
      </c>
      <c r="D115" s="168"/>
      <c r="E115" s="78"/>
      <c r="F115" s="78"/>
      <c r="G115" s="78"/>
      <c r="H115" s="78"/>
      <c r="I115" s="78"/>
      <c r="J115" s="78"/>
      <c r="K115" s="78"/>
      <c r="L115" s="78"/>
      <c r="M115" s="74"/>
      <c r="N115" s="351">
        <f t="shared" si="158"/>
        <v>0</v>
      </c>
      <c r="O115" s="351">
        <f t="shared" si="159"/>
        <v>0</v>
      </c>
      <c r="P115" s="351">
        <f t="shared" si="160"/>
        <v>0</v>
      </c>
      <c r="Q115" s="351">
        <f t="shared" si="161"/>
        <v>0</v>
      </c>
      <c r="R115" s="351">
        <f t="shared" si="162"/>
        <v>0</v>
      </c>
      <c r="S115" s="351">
        <f t="shared" si="163"/>
        <v>0</v>
      </c>
      <c r="T115" s="351">
        <f t="shared" si="164"/>
        <v>0</v>
      </c>
      <c r="U115" s="351">
        <f t="shared" si="165"/>
        <v>0</v>
      </c>
      <c r="V115" s="351">
        <f t="shared" si="155"/>
        <v>0</v>
      </c>
      <c r="W115" s="122">
        <f t="shared" si="156"/>
        <v>0</v>
      </c>
      <c r="X115" s="291"/>
      <c r="Y115" s="122">
        <f t="shared" si="166"/>
        <v>0</v>
      </c>
      <c r="Z115" s="215"/>
      <c r="AA115" s="294"/>
      <c r="AB115" s="294"/>
      <c r="AC115" s="294"/>
      <c r="AD115" s="294"/>
      <c r="AE115" s="294"/>
      <c r="AF115" s="294"/>
      <c r="AG115" s="295"/>
      <c r="AH115" s="434"/>
      <c r="AI115" s="434"/>
    </row>
    <row r="116" spans="2:43" s="520" customFormat="1" ht="15">
      <c r="B116" s="301"/>
      <c r="C116" s="1266">
        <f t="shared" si="157"/>
        <v>4</v>
      </c>
      <c r="D116" s="168"/>
      <c r="E116" s="78"/>
      <c r="F116" s="78"/>
      <c r="G116" s="78"/>
      <c r="H116" s="78"/>
      <c r="I116" s="78"/>
      <c r="J116" s="78"/>
      <c r="K116" s="78"/>
      <c r="L116" s="78"/>
      <c r="M116" s="74"/>
      <c r="N116" s="351">
        <f t="shared" si="158"/>
        <v>0</v>
      </c>
      <c r="O116" s="351">
        <f t="shared" si="159"/>
        <v>0</v>
      </c>
      <c r="P116" s="351">
        <f t="shared" si="160"/>
        <v>0</v>
      </c>
      <c r="Q116" s="351">
        <f t="shared" si="161"/>
        <v>0</v>
      </c>
      <c r="R116" s="351">
        <f t="shared" si="162"/>
        <v>0</v>
      </c>
      <c r="S116" s="351">
        <f t="shared" si="163"/>
        <v>0</v>
      </c>
      <c r="T116" s="351">
        <f t="shared" si="164"/>
        <v>0</v>
      </c>
      <c r="U116" s="351">
        <f t="shared" si="165"/>
        <v>0</v>
      </c>
      <c r="V116" s="351">
        <f t="shared" si="155"/>
        <v>0</v>
      </c>
      <c r="W116" s="122">
        <f t="shared" si="156"/>
        <v>0</v>
      </c>
      <c r="X116" s="291"/>
      <c r="Y116" s="122">
        <f t="shared" si="166"/>
        <v>0</v>
      </c>
      <c r="Z116" s="215"/>
      <c r="AA116" s="294"/>
      <c r="AB116" s="294"/>
      <c r="AC116" s="294"/>
      <c r="AD116" s="294"/>
      <c r="AE116" s="294"/>
      <c r="AF116" s="294"/>
      <c r="AG116" s="295"/>
      <c r="AH116" s="434"/>
      <c r="AI116" s="434"/>
    </row>
    <row r="117" spans="2:43" s="520" customFormat="1" ht="15">
      <c r="B117" s="301"/>
      <c r="C117" s="1266">
        <f t="shared" si="157"/>
        <v>5</v>
      </c>
      <c r="D117" s="168"/>
      <c r="E117" s="78"/>
      <c r="F117" s="78"/>
      <c r="G117" s="78"/>
      <c r="H117" s="78"/>
      <c r="I117" s="78"/>
      <c r="J117" s="78"/>
      <c r="K117" s="78"/>
      <c r="L117" s="78"/>
      <c r="M117" s="74"/>
      <c r="N117" s="351">
        <f t="shared" si="158"/>
        <v>0</v>
      </c>
      <c r="O117" s="351">
        <f t="shared" si="159"/>
        <v>0</v>
      </c>
      <c r="P117" s="351">
        <f t="shared" si="160"/>
        <v>0</v>
      </c>
      <c r="Q117" s="351">
        <f t="shared" si="161"/>
        <v>0</v>
      </c>
      <c r="R117" s="351">
        <f t="shared" si="162"/>
        <v>0</v>
      </c>
      <c r="S117" s="351">
        <f t="shared" si="163"/>
        <v>0</v>
      </c>
      <c r="T117" s="351">
        <f t="shared" si="164"/>
        <v>0</v>
      </c>
      <c r="U117" s="351">
        <f t="shared" si="165"/>
        <v>0</v>
      </c>
      <c r="V117" s="351">
        <f t="shared" si="155"/>
        <v>0</v>
      </c>
      <c r="W117" s="122">
        <f t="shared" si="156"/>
        <v>0</v>
      </c>
      <c r="X117" s="291"/>
      <c r="Y117" s="122">
        <f t="shared" si="166"/>
        <v>0</v>
      </c>
      <c r="Z117" s="215"/>
      <c r="AA117" s="294"/>
      <c r="AB117" s="294"/>
      <c r="AC117" s="294"/>
      <c r="AD117" s="294"/>
      <c r="AE117" s="294"/>
      <c r="AF117" s="294"/>
      <c r="AG117" s="295"/>
      <c r="AH117" s="434"/>
      <c r="AI117" s="434"/>
    </row>
    <row r="118" spans="2:43" s="520" customFormat="1" ht="15">
      <c r="B118" s="301"/>
      <c r="C118" s="1266">
        <f t="shared" si="157"/>
        <v>6</v>
      </c>
      <c r="D118" s="168"/>
      <c r="E118" s="78"/>
      <c r="F118" s="78"/>
      <c r="G118" s="78"/>
      <c r="H118" s="78"/>
      <c r="I118" s="78"/>
      <c r="J118" s="78"/>
      <c r="K118" s="78"/>
      <c r="L118" s="78"/>
      <c r="M118" s="74"/>
      <c r="N118" s="351">
        <f t="shared" si="158"/>
        <v>0</v>
      </c>
      <c r="O118" s="351">
        <f t="shared" si="159"/>
        <v>0</v>
      </c>
      <c r="P118" s="351">
        <f t="shared" si="160"/>
        <v>0</v>
      </c>
      <c r="Q118" s="351">
        <f t="shared" si="161"/>
        <v>0</v>
      </c>
      <c r="R118" s="351">
        <f t="shared" si="162"/>
        <v>0</v>
      </c>
      <c r="S118" s="351">
        <f t="shared" si="163"/>
        <v>0</v>
      </c>
      <c r="T118" s="351">
        <f t="shared" si="164"/>
        <v>0</v>
      </c>
      <c r="U118" s="351">
        <f t="shared" si="165"/>
        <v>0</v>
      </c>
      <c r="V118" s="351">
        <f t="shared" si="155"/>
        <v>0</v>
      </c>
      <c r="W118" s="122">
        <f t="shared" si="156"/>
        <v>0</v>
      </c>
      <c r="X118" s="291"/>
      <c r="Y118" s="122">
        <f t="shared" si="166"/>
        <v>0</v>
      </c>
      <c r="Z118" s="215"/>
      <c r="AA118" s="294"/>
      <c r="AB118" s="294"/>
      <c r="AC118" s="294"/>
      <c r="AD118" s="294"/>
      <c r="AE118" s="294"/>
      <c r="AF118" s="294"/>
      <c r="AG118" s="295"/>
      <c r="AH118" s="434"/>
      <c r="AI118" s="434"/>
    </row>
    <row r="119" spans="2:43" s="520" customFormat="1" ht="15">
      <c r="B119" s="301"/>
      <c r="C119" s="1266">
        <f t="shared" si="157"/>
        <v>7</v>
      </c>
      <c r="D119" s="168"/>
      <c r="E119" s="78"/>
      <c r="F119" s="78"/>
      <c r="G119" s="78"/>
      <c r="H119" s="78"/>
      <c r="I119" s="78"/>
      <c r="J119" s="78"/>
      <c r="K119" s="78"/>
      <c r="L119" s="78"/>
      <c r="M119" s="74"/>
      <c r="N119" s="351">
        <f t="shared" si="158"/>
        <v>0</v>
      </c>
      <c r="O119" s="351">
        <f t="shared" si="159"/>
        <v>0</v>
      </c>
      <c r="P119" s="351">
        <f t="shared" si="160"/>
        <v>0</v>
      </c>
      <c r="Q119" s="351">
        <f t="shared" si="161"/>
        <v>0</v>
      </c>
      <c r="R119" s="351">
        <f t="shared" si="162"/>
        <v>0</v>
      </c>
      <c r="S119" s="351">
        <f t="shared" si="163"/>
        <v>0</v>
      </c>
      <c r="T119" s="351">
        <f t="shared" si="164"/>
        <v>0</v>
      </c>
      <c r="U119" s="351">
        <f t="shared" si="165"/>
        <v>0</v>
      </c>
      <c r="V119" s="351">
        <f t="shared" si="155"/>
        <v>0</v>
      </c>
      <c r="W119" s="122">
        <f t="shared" si="156"/>
        <v>0</v>
      </c>
      <c r="X119" s="291"/>
      <c r="Y119" s="122">
        <f t="shared" si="166"/>
        <v>0</v>
      </c>
      <c r="Z119" s="215"/>
      <c r="AA119" s="294"/>
      <c r="AB119" s="294"/>
      <c r="AC119" s="294"/>
      <c r="AD119" s="294"/>
      <c r="AE119" s="294"/>
      <c r="AF119" s="294"/>
      <c r="AG119" s="295"/>
      <c r="AH119" s="434"/>
      <c r="AI119" s="434"/>
    </row>
    <row r="120" spans="2:43" s="520" customFormat="1" ht="15">
      <c r="B120" s="301"/>
      <c r="C120" s="1266">
        <f t="shared" si="157"/>
        <v>8</v>
      </c>
      <c r="D120" s="168"/>
      <c r="E120" s="78"/>
      <c r="F120" s="78"/>
      <c r="G120" s="78"/>
      <c r="H120" s="78"/>
      <c r="I120" s="78"/>
      <c r="J120" s="78"/>
      <c r="K120" s="78"/>
      <c r="L120" s="78"/>
      <c r="M120" s="74"/>
      <c r="N120" s="351">
        <f t="shared" si="158"/>
        <v>0</v>
      </c>
      <c r="O120" s="351">
        <f t="shared" si="159"/>
        <v>0</v>
      </c>
      <c r="P120" s="351">
        <f t="shared" si="160"/>
        <v>0</v>
      </c>
      <c r="Q120" s="351">
        <f t="shared" si="161"/>
        <v>0</v>
      </c>
      <c r="R120" s="351">
        <f t="shared" si="162"/>
        <v>0</v>
      </c>
      <c r="S120" s="351">
        <f t="shared" si="163"/>
        <v>0</v>
      </c>
      <c r="T120" s="351">
        <f t="shared" si="164"/>
        <v>0</v>
      </c>
      <c r="U120" s="351">
        <f t="shared" si="165"/>
        <v>0</v>
      </c>
      <c r="V120" s="351">
        <f t="shared" si="155"/>
        <v>0</v>
      </c>
      <c r="W120" s="122">
        <f t="shared" si="156"/>
        <v>0</v>
      </c>
      <c r="X120" s="291"/>
      <c r="Y120" s="122">
        <f t="shared" si="166"/>
        <v>0</v>
      </c>
      <c r="Z120" s="215"/>
      <c r="AA120" s="294"/>
      <c r="AB120" s="294"/>
      <c r="AC120" s="294"/>
      <c r="AD120" s="294"/>
      <c r="AE120" s="294"/>
      <c r="AF120" s="294"/>
      <c r="AG120" s="295"/>
      <c r="AH120" s="434"/>
      <c r="AI120" s="434"/>
    </row>
    <row r="121" spans="2:43" s="520" customFormat="1" ht="15">
      <c r="B121" s="301"/>
      <c r="C121" s="1266">
        <f t="shared" si="157"/>
        <v>9</v>
      </c>
      <c r="D121" s="168"/>
      <c r="E121" s="78"/>
      <c r="F121" s="78"/>
      <c r="G121" s="78"/>
      <c r="H121" s="78"/>
      <c r="I121" s="78"/>
      <c r="J121" s="78"/>
      <c r="K121" s="78"/>
      <c r="L121" s="78"/>
      <c r="M121" s="74"/>
      <c r="N121" s="351">
        <f t="shared" si="158"/>
        <v>0</v>
      </c>
      <c r="O121" s="351">
        <f t="shared" si="159"/>
        <v>0</v>
      </c>
      <c r="P121" s="351">
        <f t="shared" si="160"/>
        <v>0</v>
      </c>
      <c r="Q121" s="351">
        <f t="shared" si="161"/>
        <v>0</v>
      </c>
      <c r="R121" s="351">
        <f t="shared" si="162"/>
        <v>0</v>
      </c>
      <c r="S121" s="351">
        <f t="shared" si="163"/>
        <v>0</v>
      </c>
      <c r="T121" s="351">
        <f t="shared" si="164"/>
        <v>0</v>
      </c>
      <c r="U121" s="351">
        <f t="shared" si="165"/>
        <v>0</v>
      </c>
      <c r="V121" s="351">
        <f t="shared" si="155"/>
        <v>0</v>
      </c>
      <c r="W121" s="122">
        <f t="shared" si="156"/>
        <v>0</v>
      </c>
      <c r="X121" s="291"/>
      <c r="Y121" s="122">
        <f t="shared" si="166"/>
        <v>0</v>
      </c>
      <c r="Z121" s="215"/>
      <c r="AA121" s="294"/>
      <c r="AB121" s="294"/>
      <c r="AC121" s="294"/>
      <c r="AD121" s="294"/>
      <c r="AE121" s="294"/>
      <c r="AF121" s="294"/>
      <c r="AG121" s="295"/>
      <c r="AH121" s="434"/>
      <c r="AI121" s="434"/>
    </row>
    <row r="122" spans="2:43" s="520" customFormat="1" ht="15">
      <c r="B122" s="301"/>
      <c r="C122" s="1266">
        <f t="shared" si="157"/>
        <v>10</v>
      </c>
      <c r="D122" s="168"/>
      <c r="E122" s="78"/>
      <c r="F122" s="78"/>
      <c r="G122" s="78"/>
      <c r="H122" s="78"/>
      <c r="I122" s="78"/>
      <c r="J122" s="78"/>
      <c r="K122" s="78"/>
      <c r="L122" s="78"/>
      <c r="M122" s="74"/>
      <c r="N122" s="351">
        <f t="shared" si="158"/>
        <v>0</v>
      </c>
      <c r="O122" s="351">
        <f t="shared" si="159"/>
        <v>0</v>
      </c>
      <c r="P122" s="351">
        <f t="shared" si="160"/>
        <v>0</v>
      </c>
      <c r="Q122" s="351">
        <f t="shared" si="161"/>
        <v>0</v>
      </c>
      <c r="R122" s="351">
        <f t="shared" si="162"/>
        <v>0</v>
      </c>
      <c r="S122" s="351">
        <f t="shared" si="163"/>
        <v>0</v>
      </c>
      <c r="T122" s="351">
        <f t="shared" si="164"/>
        <v>0</v>
      </c>
      <c r="U122" s="351">
        <f t="shared" si="165"/>
        <v>0</v>
      </c>
      <c r="V122" s="351">
        <f t="shared" si="155"/>
        <v>0</v>
      </c>
      <c r="W122" s="122">
        <f t="shared" si="156"/>
        <v>0</v>
      </c>
      <c r="X122" s="291"/>
      <c r="Y122" s="122">
        <f t="shared" si="166"/>
        <v>0</v>
      </c>
      <c r="Z122" s="215"/>
      <c r="AA122" s="294"/>
      <c r="AB122" s="294"/>
      <c r="AC122" s="294"/>
      <c r="AD122" s="294"/>
      <c r="AE122" s="294"/>
      <c r="AF122" s="294"/>
      <c r="AG122" s="295"/>
      <c r="AH122" s="434"/>
      <c r="AI122" s="434"/>
    </row>
    <row r="123" spans="2:43" ht="18" customHeight="1">
      <c r="E123" s="1271"/>
      <c r="F123" s="1271"/>
      <c r="G123" s="1271"/>
      <c r="H123" s="1271"/>
      <c r="I123" s="1271"/>
      <c r="J123" s="1271"/>
      <c r="K123" s="1271"/>
      <c r="L123" s="1271"/>
      <c r="M123" s="1271"/>
      <c r="N123" s="35"/>
      <c r="O123" s="35"/>
      <c r="P123" s="35"/>
      <c r="Q123" s="35"/>
      <c r="R123" s="35"/>
      <c r="S123" s="35"/>
      <c r="T123" s="35"/>
      <c r="U123" s="35"/>
      <c r="V123" s="35"/>
      <c r="W123" s="1105"/>
      <c r="X123" s="1105"/>
      <c r="Y123" s="953"/>
      <c r="Z123" s="434"/>
      <c r="AA123" s="434"/>
      <c r="AB123" s="434"/>
      <c r="AC123" s="434"/>
      <c r="AD123" s="434"/>
    </row>
    <row r="124" spans="2:43" ht="18" customHeight="1">
      <c r="D124" s="848" t="s">
        <v>2467</v>
      </c>
      <c r="E124" s="806">
        <f>SUM(E112:E123)</f>
        <v>0</v>
      </c>
      <c r="F124" s="806">
        <f t="shared" ref="F124" si="167">SUM(F112:F123)</f>
        <v>0</v>
      </c>
      <c r="G124" s="806">
        <f t="shared" ref="G124" si="168">SUM(G112:G123)</f>
        <v>0</v>
      </c>
      <c r="H124" s="806">
        <f t="shared" ref="H124" si="169">SUM(H112:H123)</f>
        <v>0</v>
      </c>
      <c r="I124" s="806">
        <f t="shared" ref="I124" si="170">SUM(I112:I123)</f>
        <v>0</v>
      </c>
      <c r="J124" s="806">
        <f t="shared" ref="J124:L124" si="171">SUM(J112:J123)</f>
        <v>0</v>
      </c>
      <c r="K124" s="806">
        <f t="shared" si="171"/>
        <v>0</v>
      </c>
      <c r="L124" s="806">
        <f t="shared" si="171"/>
        <v>0</v>
      </c>
      <c r="M124" s="806">
        <f t="shared" ref="M124" si="172">SUM(M112:M123)</f>
        <v>0</v>
      </c>
      <c r="N124" s="1020">
        <f t="shared" ref="N124" si="173">SUM(N112:N123)</f>
        <v>0</v>
      </c>
      <c r="O124" s="1020">
        <f t="shared" ref="O124" si="174">SUM(O112:O123)</f>
        <v>0</v>
      </c>
      <c r="P124" s="1020">
        <f t="shared" ref="P124" si="175">SUM(P112:P123)</f>
        <v>0</v>
      </c>
      <c r="Q124" s="1020">
        <f t="shared" ref="Q124" si="176">SUM(Q112:Q123)</f>
        <v>0</v>
      </c>
      <c r="R124" s="1020">
        <f t="shared" ref="R124" si="177">SUM(R112:R123)</f>
        <v>0</v>
      </c>
      <c r="S124" s="1020">
        <f t="shared" ref="S124:V124" si="178">SUM(S112:S123)</f>
        <v>0</v>
      </c>
      <c r="T124" s="1020">
        <f t="shared" si="178"/>
        <v>0</v>
      </c>
      <c r="U124" s="1020">
        <f t="shared" si="178"/>
        <v>0</v>
      </c>
      <c r="V124" s="1020">
        <f t="shared" si="178"/>
        <v>0</v>
      </c>
      <c r="W124" s="1248">
        <f>SUM(W112:W123)</f>
        <v>0</v>
      </c>
      <c r="X124" s="1268">
        <f t="shared" ref="X124" si="179">SUM(X112:X123)</f>
        <v>0</v>
      </c>
      <c r="Y124" s="1248">
        <f t="shared" ref="Y124" si="180">SUM(Y112:Y123)</f>
        <v>0</v>
      </c>
      <c r="Z124" s="904">
        <f>IF(SUM(E124:M124)=0,0,Y124/SUM(E124:M124))</f>
        <v>0</v>
      </c>
      <c r="AA124" s="434"/>
      <c r="AB124" s="434"/>
      <c r="AC124" s="434"/>
      <c r="AD124" s="434"/>
    </row>
    <row r="125" spans="2:43" ht="18" customHeight="1">
      <c r="E125" s="475"/>
      <c r="F125" s="475"/>
      <c r="G125" s="475"/>
      <c r="H125" s="475"/>
      <c r="I125" s="475"/>
      <c r="J125" s="475"/>
      <c r="K125" s="475"/>
      <c r="L125" s="475"/>
      <c r="M125" s="475"/>
      <c r="N125" s="475"/>
      <c r="AA125" s="434"/>
      <c r="AB125" s="434"/>
      <c r="AC125" s="434"/>
      <c r="AD125" s="434"/>
      <c r="AE125" s="434"/>
      <c r="AF125" s="434"/>
      <c r="AG125" s="434"/>
      <c r="AH125" s="434"/>
      <c r="AI125" s="434"/>
      <c r="AJ125" s="434"/>
      <c r="AK125" s="434"/>
      <c r="AL125" s="434"/>
    </row>
    <row r="126" spans="2:43" s="434" customFormat="1" ht="18" customHeight="1">
      <c r="V126" s="475"/>
      <c r="W126" s="475"/>
      <c r="X126" s="475"/>
      <c r="Y126" s="475"/>
      <c r="Z126" s="475"/>
      <c r="AA126" s="475"/>
      <c r="AB126" s="475"/>
    </row>
    <row r="127" spans="2:43" ht="18" customHeight="1">
      <c r="E127" s="475"/>
      <c r="F127" s="475"/>
      <c r="G127" s="475"/>
      <c r="H127" s="475"/>
      <c r="I127" s="475"/>
      <c r="J127" s="475"/>
      <c r="K127" s="434"/>
      <c r="L127" s="434"/>
      <c r="M127" s="434"/>
      <c r="N127" s="434"/>
      <c r="O127" s="434"/>
      <c r="P127" s="434"/>
      <c r="Q127" s="434"/>
      <c r="R127" s="434"/>
      <c r="S127" s="434"/>
      <c r="T127" s="434"/>
      <c r="U127" s="434"/>
      <c r="V127" s="434"/>
      <c r="W127" s="434"/>
      <c r="X127" s="434"/>
      <c r="AF127" s="434"/>
      <c r="AG127" s="434"/>
      <c r="AH127" s="434"/>
      <c r="AI127" s="434"/>
      <c r="AJ127" s="434"/>
      <c r="AK127" s="434"/>
      <c r="AL127" s="434"/>
      <c r="AM127" s="434"/>
      <c r="AN127" s="434"/>
      <c r="AO127" s="434"/>
      <c r="AP127" s="434"/>
      <c r="AQ127" s="434"/>
    </row>
    <row r="128" spans="2:43" s="434" customFormat="1" ht="18" customHeight="1">
      <c r="AF128" s="475"/>
      <c r="AG128" s="475"/>
    </row>
    <row r="129" spans="2:46" ht="18" customHeight="1">
      <c r="B129" s="286" t="s">
        <v>26</v>
      </c>
      <c r="C129" s="1038" t="s">
        <v>2525</v>
      </c>
      <c r="D129" s="1253"/>
      <c r="E129" s="475"/>
      <c r="F129" s="475"/>
      <c r="G129" s="475"/>
      <c r="H129" s="475"/>
      <c r="I129" s="475"/>
      <c r="J129" s="475"/>
      <c r="K129" s="475"/>
      <c r="L129" s="475"/>
      <c r="M129" s="475"/>
      <c r="N129" s="434"/>
      <c r="O129" s="434"/>
      <c r="P129" s="434"/>
      <c r="Q129" s="434"/>
      <c r="R129" s="434"/>
      <c r="S129" s="434"/>
      <c r="T129" s="434"/>
      <c r="U129" s="434"/>
      <c r="V129" s="434"/>
      <c r="W129" s="434"/>
      <c r="X129" s="434"/>
      <c r="Y129" s="434"/>
      <c r="Z129" s="434"/>
      <c r="AA129" s="434"/>
      <c r="AB129" s="434"/>
      <c r="AC129" s="434"/>
      <c r="AD129" s="434"/>
      <c r="AE129" s="434"/>
      <c r="AF129" s="434"/>
      <c r="AG129" s="639"/>
      <c r="AH129" s="639"/>
      <c r="AI129" s="434"/>
      <c r="AJ129" s="434"/>
      <c r="AK129" s="434"/>
      <c r="AL129" s="434"/>
      <c r="AM129" s="434"/>
      <c r="AN129" s="434"/>
      <c r="AO129" s="434"/>
      <c r="AP129" s="434"/>
      <c r="AQ129" s="434"/>
      <c r="AR129" s="434"/>
      <c r="AS129" s="434"/>
      <c r="AT129" s="434"/>
    </row>
    <row r="130" spans="2:46" ht="135.6" customHeight="1">
      <c r="B130" s="773" t="s">
        <v>1517</v>
      </c>
      <c r="C130" s="773" t="s">
        <v>27</v>
      </c>
      <c r="D130" s="773" t="s">
        <v>2456</v>
      </c>
      <c r="E130" s="773" t="s">
        <v>2526</v>
      </c>
      <c r="F130" s="773" t="s">
        <v>2527</v>
      </c>
      <c r="G130" s="773" t="s">
        <v>2528</v>
      </c>
      <c r="H130" s="773" t="s">
        <v>2529</v>
      </c>
      <c r="I130" s="773" t="s">
        <v>2530</v>
      </c>
      <c r="J130" s="773" t="s">
        <v>2531</v>
      </c>
      <c r="K130" s="773" t="str">
        <f>CONCATENATE("Long Distance Haul of ",F130)</f>
        <v>Long Distance Haul of Amendment Treatment</v>
      </c>
      <c r="L130" s="773" t="str">
        <f>CONCATENATE(F130," haul ($/t-km)")</f>
        <v>Amendment Treatment haul ($/t-km)</v>
      </c>
      <c r="M130" s="773" t="s">
        <v>2532</v>
      </c>
      <c r="N130" s="773" t="s">
        <v>2533</v>
      </c>
      <c r="O130" s="773" t="s">
        <v>2534</v>
      </c>
      <c r="P130" s="775" t="s">
        <v>83</v>
      </c>
      <c r="Q130" s="773" t="s">
        <v>2535</v>
      </c>
      <c r="R130" s="775" t="s">
        <v>2466</v>
      </c>
      <c r="S130" s="776" t="s">
        <v>1526</v>
      </c>
      <c r="T130" s="777"/>
      <c r="U130" s="777"/>
      <c r="V130" s="777"/>
      <c r="W130" s="777"/>
      <c r="X130" s="777"/>
      <c r="Y130" s="777"/>
      <c r="Z130" s="778"/>
      <c r="AA130" s="434"/>
      <c r="AB130" s="434"/>
      <c r="AC130" s="434"/>
      <c r="AD130" s="434"/>
      <c r="AI130" s="434"/>
      <c r="AJ130" s="434"/>
      <c r="AK130" s="434"/>
      <c r="AL130" s="434"/>
      <c r="AM130" s="434"/>
      <c r="AN130" s="434"/>
      <c r="AO130" s="434"/>
      <c r="AP130" s="434"/>
      <c r="AQ130" s="434"/>
      <c r="AR130" s="434"/>
      <c r="AS130" s="434"/>
      <c r="AT130" s="434"/>
    </row>
    <row r="131" spans="2:46" ht="18" customHeight="1">
      <c r="B131" s="768"/>
      <c r="D131" s="768"/>
      <c r="E131" s="82" t="s">
        <v>95</v>
      </c>
      <c r="F131" s="771" t="s">
        <v>2414</v>
      </c>
      <c r="G131" s="82" t="s">
        <v>60</v>
      </c>
      <c r="H131" s="82" t="s">
        <v>60</v>
      </c>
      <c r="I131" s="82" t="s">
        <v>60</v>
      </c>
      <c r="J131" s="82" t="s">
        <v>33</v>
      </c>
      <c r="K131" s="145" t="s">
        <v>2536</v>
      </c>
      <c r="L131" s="212" t="str">
        <f>Subrates_Table_9</f>
        <v>Subrates Table 9</v>
      </c>
      <c r="M131" s="768" t="s">
        <v>76</v>
      </c>
      <c r="N131" s="768" t="s">
        <v>34</v>
      </c>
      <c r="O131" s="768" t="s">
        <v>76</v>
      </c>
      <c r="P131" s="768" t="s">
        <v>76</v>
      </c>
      <c r="Q131" s="768" t="s">
        <v>76</v>
      </c>
      <c r="R131" s="475" t="s">
        <v>76</v>
      </c>
      <c r="S131" s="474"/>
      <c r="T131" s="474"/>
      <c r="U131" s="474"/>
      <c r="V131" s="474"/>
      <c r="W131" s="474"/>
      <c r="X131" s="474"/>
      <c r="Y131" s="474"/>
      <c r="Z131" s="474"/>
      <c r="AA131" s="434"/>
      <c r="AB131" s="434"/>
      <c r="AC131" s="434"/>
      <c r="AD131" s="434"/>
      <c r="AI131" s="434"/>
      <c r="AJ131" s="434"/>
      <c r="AK131" s="434"/>
      <c r="AL131" s="434"/>
      <c r="AM131" s="434"/>
      <c r="AN131" s="434"/>
      <c r="AO131" s="434"/>
      <c r="AP131" s="434"/>
      <c r="AQ131" s="434"/>
      <c r="AR131" s="434"/>
      <c r="AS131" s="434"/>
      <c r="AT131" s="434"/>
    </row>
    <row r="132" spans="2:46" s="520" customFormat="1" ht="15">
      <c r="B132" s="301"/>
      <c r="C132" s="989">
        <v>1</v>
      </c>
      <c r="D132" s="168"/>
      <c r="E132" s="316"/>
      <c r="F132" s="83" t="s">
        <v>49</v>
      </c>
      <c r="G132" s="828">
        <f>IF(F132=Lists!$B$18,0,VLOOKUP(F132,Amend_subrates_table,Subrates!$D$5,FALSE))</f>
        <v>2.5</v>
      </c>
      <c r="H132" s="77"/>
      <c r="I132" s="828">
        <f t="shared" ref="I132:I141" si="181">IF(H132="",G132,H132)</f>
        <v>2.5</v>
      </c>
      <c r="J132" s="77">
        <f t="shared" ref="J132:J141" si="182">E132*I132</f>
        <v>0</v>
      </c>
      <c r="K132" s="77" t="s">
        <v>485</v>
      </c>
      <c r="L132" s="81">
        <f>VLOOKUP(K132,Long_distance_values_subs,Subrates!$D$5,FALSE)</f>
        <v>4.6396214848157348E-2</v>
      </c>
      <c r="M132" s="348">
        <f>J132*VLOOKUP(K132,Long_distance_values_subs,Subrates!$H$5,FALSE)*L132</f>
        <v>0</v>
      </c>
      <c r="N132" s="81">
        <f>IF(F132=Lists!$B$18,0,VLOOKUP(F132,Amend_subrates_table,Subrates!$C$5,FALSE))</f>
        <v>100</v>
      </c>
      <c r="O132" s="345">
        <f>J132*N132</f>
        <v>0</v>
      </c>
      <c r="P132" s="122">
        <f>M132+O132</f>
        <v>0</v>
      </c>
      <c r="Q132" s="291"/>
      <c r="R132" s="122">
        <f>IF(Q132="",P132,Q132)</f>
        <v>0</v>
      </c>
      <c r="S132" s="215"/>
      <c r="T132" s="294"/>
      <c r="U132" s="294"/>
      <c r="V132" s="294"/>
      <c r="W132" s="294"/>
      <c r="X132" s="294"/>
      <c r="Y132" s="294"/>
      <c r="Z132" s="295"/>
      <c r="AA132" s="434"/>
      <c r="AB132" s="434"/>
      <c r="AC132" s="495"/>
      <c r="AD132" s="495"/>
      <c r="AI132" s="495"/>
      <c r="AJ132" s="495"/>
      <c r="AK132" s="495"/>
      <c r="AL132" s="495"/>
      <c r="AM132" s="495"/>
      <c r="AN132" s="495"/>
      <c r="AO132" s="495"/>
      <c r="AP132" s="495"/>
      <c r="AQ132" s="495"/>
      <c r="AR132" s="495"/>
      <c r="AS132" s="495"/>
      <c r="AT132" s="495"/>
    </row>
    <row r="133" spans="2:46" s="520" customFormat="1" ht="15">
      <c r="B133" s="301"/>
      <c r="C133" s="1266">
        <f t="shared" ref="C133:C141" si="183">C132+1</f>
        <v>2</v>
      </c>
      <c r="D133" s="168"/>
      <c r="E133" s="316"/>
      <c r="F133" s="83" t="s">
        <v>50</v>
      </c>
      <c r="G133" s="828">
        <f>IF(F133=Lists!$B$18,0,VLOOKUP(F133,Amend_subrates_table,Subrates!$D$5,FALSE))</f>
        <v>10</v>
      </c>
      <c r="H133" s="77"/>
      <c r="I133" s="828">
        <f t="shared" si="181"/>
        <v>10</v>
      </c>
      <c r="J133" s="77">
        <f t="shared" si="182"/>
        <v>0</v>
      </c>
      <c r="K133" s="77" t="s">
        <v>485</v>
      </c>
      <c r="L133" s="81">
        <f>VLOOKUP(K133,Long_distance_values_subs,Subrates!$D$5,FALSE)</f>
        <v>4.6396214848157348E-2</v>
      </c>
      <c r="M133" s="348">
        <f>J133*VLOOKUP(K133,Long_distance_values_subs,Subrates!$H$5,FALSE)*L133</f>
        <v>0</v>
      </c>
      <c r="N133" s="81">
        <f>IF(F133=Lists!$B$18,0,VLOOKUP(F133,Amend_subrates_table,Subrates!$C$5,FALSE))</f>
        <v>100</v>
      </c>
      <c r="O133" s="345">
        <f t="shared" ref="O133:O141" si="184">J133*N133</f>
        <v>0</v>
      </c>
      <c r="P133" s="122">
        <f t="shared" ref="P133:P141" si="185">M133+O133</f>
        <v>0</v>
      </c>
      <c r="Q133" s="291"/>
      <c r="R133" s="122">
        <f t="shared" ref="R133:R141" si="186">IF(Q133="",P133,Q133)</f>
        <v>0</v>
      </c>
      <c r="S133" s="215"/>
      <c r="T133" s="294"/>
      <c r="U133" s="294"/>
      <c r="V133" s="294"/>
      <c r="W133" s="294"/>
      <c r="X133" s="294"/>
      <c r="Y133" s="294"/>
      <c r="Z133" s="295"/>
      <c r="AA133" s="434"/>
      <c r="AB133" s="434"/>
      <c r="AC133" s="495"/>
      <c r="AD133" s="495"/>
      <c r="AI133" s="495"/>
      <c r="AJ133" s="495"/>
      <c r="AK133" s="495"/>
      <c r="AL133" s="495"/>
      <c r="AM133" s="495"/>
      <c r="AN133" s="495"/>
      <c r="AO133" s="495"/>
      <c r="AP133" s="495"/>
      <c r="AQ133" s="495"/>
      <c r="AR133" s="495"/>
      <c r="AS133" s="495"/>
      <c r="AT133" s="495"/>
    </row>
    <row r="134" spans="2:46" s="520" customFormat="1" ht="15">
      <c r="B134" s="301"/>
      <c r="C134" s="1266">
        <f t="shared" si="183"/>
        <v>3</v>
      </c>
      <c r="D134" s="168"/>
      <c r="E134" s="316"/>
      <c r="F134" s="83" t="s">
        <v>51</v>
      </c>
      <c r="G134" s="828">
        <f>IF(F134=Lists!$B$18,0,VLOOKUP(F134,Amend_subrates_table,Subrates!$D$5,FALSE))</f>
        <v>2.5</v>
      </c>
      <c r="H134" s="77"/>
      <c r="I134" s="828">
        <f t="shared" si="181"/>
        <v>2.5</v>
      </c>
      <c r="J134" s="77">
        <f t="shared" si="182"/>
        <v>0</v>
      </c>
      <c r="K134" s="77" t="s">
        <v>485</v>
      </c>
      <c r="L134" s="81">
        <f>VLOOKUP(K134,Long_distance_values_subs,Subrates!$D$5,FALSE)</f>
        <v>4.6396214848157348E-2</v>
      </c>
      <c r="M134" s="348">
        <f>J134*VLOOKUP(K134,Long_distance_values_subs,Subrates!$H$5,FALSE)*L134</f>
        <v>0</v>
      </c>
      <c r="N134" s="81">
        <f>IF(F134=Lists!$B$18,0,VLOOKUP(F134,Amend_subrates_table,Subrates!$C$5,FALSE))</f>
        <v>70</v>
      </c>
      <c r="O134" s="345">
        <f t="shared" si="184"/>
        <v>0</v>
      </c>
      <c r="P134" s="122">
        <f t="shared" si="185"/>
        <v>0</v>
      </c>
      <c r="Q134" s="291"/>
      <c r="R134" s="122">
        <f t="shared" si="186"/>
        <v>0</v>
      </c>
      <c r="S134" s="215"/>
      <c r="T134" s="294"/>
      <c r="U134" s="294"/>
      <c r="V134" s="294"/>
      <c r="W134" s="294"/>
      <c r="X134" s="294"/>
      <c r="Y134" s="294"/>
      <c r="Z134" s="295"/>
      <c r="AA134" s="434"/>
      <c r="AB134" s="434"/>
      <c r="AC134" s="495"/>
      <c r="AD134" s="495"/>
      <c r="AI134" s="495"/>
      <c r="AJ134" s="495"/>
      <c r="AK134" s="495"/>
      <c r="AL134" s="495"/>
    </row>
    <row r="135" spans="2:46" s="520" customFormat="1" ht="15">
      <c r="B135" s="301"/>
      <c r="C135" s="1266">
        <f t="shared" si="183"/>
        <v>4</v>
      </c>
      <c r="D135" s="168"/>
      <c r="E135" s="316"/>
      <c r="F135" s="83" t="s">
        <v>52</v>
      </c>
      <c r="G135" s="828">
        <f>IF(F135=Lists!$B$18,0,VLOOKUP(F135,Amend_subrates_table,Subrates!$D$5,FALSE))</f>
        <v>10</v>
      </c>
      <c r="H135" s="77"/>
      <c r="I135" s="828">
        <f t="shared" si="181"/>
        <v>10</v>
      </c>
      <c r="J135" s="77">
        <f t="shared" si="182"/>
        <v>0</v>
      </c>
      <c r="K135" s="77" t="s">
        <v>485</v>
      </c>
      <c r="L135" s="81">
        <f>VLOOKUP(K135,Long_distance_values_subs,Subrates!$D$5,FALSE)</f>
        <v>4.6396214848157348E-2</v>
      </c>
      <c r="M135" s="348">
        <f>J135*VLOOKUP(K135,Long_distance_values_subs,Subrates!$H$5,FALSE)*L135</f>
        <v>0</v>
      </c>
      <c r="N135" s="81">
        <f>IF(F135=Lists!$B$18,0,VLOOKUP(F135,Amend_subrates_table,Subrates!$C$5,FALSE))</f>
        <v>70</v>
      </c>
      <c r="O135" s="345">
        <f t="shared" si="184"/>
        <v>0</v>
      </c>
      <c r="P135" s="122">
        <f t="shared" si="185"/>
        <v>0</v>
      </c>
      <c r="Q135" s="291"/>
      <c r="R135" s="122">
        <f t="shared" si="186"/>
        <v>0</v>
      </c>
      <c r="S135" s="215"/>
      <c r="T135" s="294"/>
      <c r="U135" s="294"/>
      <c r="V135" s="294"/>
      <c r="W135" s="294"/>
      <c r="X135" s="294"/>
      <c r="Y135" s="294"/>
      <c r="Z135" s="295"/>
      <c r="AA135" s="434"/>
      <c r="AB135" s="434"/>
      <c r="AC135" s="495"/>
      <c r="AD135" s="495"/>
      <c r="AI135" s="495"/>
      <c r="AJ135" s="495"/>
      <c r="AK135" s="495"/>
      <c r="AL135" s="495"/>
    </row>
    <row r="136" spans="2:46" s="520" customFormat="1" ht="15">
      <c r="B136" s="301"/>
      <c r="C136" s="1266">
        <f t="shared" si="183"/>
        <v>5</v>
      </c>
      <c r="D136" s="168"/>
      <c r="E136" s="316"/>
      <c r="F136" s="83" t="s">
        <v>53</v>
      </c>
      <c r="G136" s="828">
        <f>IF(F136=Lists!$B$18,0,VLOOKUP(F136,Amend_subrates_table,Subrates!$D$5,FALSE))</f>
        <v>2</v>
      </c>
      <c r="H136" s="77"/>
      <c r="I136" s="828">
        <f t="shared" si="181"/>
        <v>2</v>
      </c>
      <c r="J136" s="77">
        <f t="shared" si="182"/>
        <v>0</v>
      </c>
      <c r="K136" s="77" t="s">
        <v>485</v>
      </c>
      <c r="L136" s="81">
        <f>VLOOKUP(K136,Long_distance_values_subs,Subrates!$D$5,FALSE)</f>
        <v>4.6396214848157348E-2</v>
      </c>
      <c r="M136" s="348">
        <f>J136*VLOOKUP(K136,Long_distance_values_subs,Subrates!$H$5,FALSE)*L136</f>
        <v>0</v>
      </c>
      <c r="N136" s="81">
        <f>IF(F136=Lists!$B$18,0,VLOOKUP(F136,Amend_subrates_table,Subrates!$C$5,FALSE))</f>
        <v>60</v>
      </c>
      <c r="O136" s="345">
        <f t="shared" si="184"/>
        <v>0</v>
      </c>
      <c r="P136" s="122">
        <f t="shared" si="185"/>
        <v>0</v>
      </c>
      <c r="Q136" s="291"/>
      <c r="R136" s="122">
        <f t="shared" si="186"/>
        <v>0</v>
      </c>
      <c r="S136" s="215"/>
      <c r="T136" s="294"/>
      <c r="U136" s="294"/>
      <c r="V136" s="294"/>
      <c r="W136" s="294"/>
      <c r="X136" s="294"/>
      <c r="Y136" s="294"/>
      <c r="Z136" s="295"/>
      <c r="AA136" s="434"/>
      <c r="AB136" s="434"/>
      <c r="AC136" s="495"/>
      <c r="AD136" s="495"/>
      <c r="AI136" s="495"/>
      <c r="AJ136" s="495"/>
      <c r="AK136" s="495"/>
      <c r="AL136" s="495"/>
    </row>
    <row r="137" spans="2:46" s="520" customFormat="1" ht="15">
      <c r="B137" s="301"/>
      <c r="C137" s="1266">
        <f t="shared" si="183"/>
        <v>6</v>
      </c>
      <c r="D137" s="168"/>
      <c r="E137" s="316"/>
      <c r="F137" s="83" t="s">
        <v>54</v>
      </c>
      <c r="G137" s="828">
        <f>IF(F137=Lists!$B$18,0,VLOOKUP(F137,Amend_subrates_table,Subrates!$D$5,FALSE))</f>
        <v>50</v>
      </c>
      <c r="H137" s="77"/>
      <c r="I137" s="828">
        <f t="shared" si="181"/>
        <v>50</v>
      </c>
      <c r="J137" s="77">
        <f t="shared" si="182"/>
        <v>0</v>
      </c>
      <c r="K137" s="77" t="s">
        <v>485</v>
      </c>
      <c r="L137" s="81">
        <f>VLOOKUP(K137,Long_distance_values_subs,Subrates!$D$5,FALSE)</f>
        <v>4.6396214848157348E-2</v>
      </c>
      <c r="M137" s="348">
        <f>J137*VLOOKUP(K137,Long_distance_values_subs,Subrates!$H$5,FALSE)*L137</f>
        <v>0</v>
      </c>
      <c r="N137" s="81">
        <f>IF(F137=Lists!$B$18,0,VLOOKUP(F137,Amend_subrates_table,Subrates!$C$5,FALSE))</f>
        <v>40</v>
      </c>
      <c r="O137" s="345">
        <f t="shared" si="184"/>
        <v>0</v>
      </c>
      <c r="P137" s="122">
        <f t="shared" si="185"/>
        <v>0</v>
      </c>
      <c r="Q137" s="291"/>
      <c r="R137" s="122">
        <f t="shared" si="186"/>
        <v>0</v>
      </c>
      <c r="S137" s="215"/>
      <c r="T137" s="294"/>
      <c r="U137" s="294"/>
      <c r="V137" s="294"/>
      <c r="W137" s="294"/>
      <c r="X137" s="294"/>
      <c r="Y137" s="294"/>
      <c r="Z137" s="295"/>
      <c r="AA137" s="434"/>
      <c r="AB137" s="434"/>
      <c r="AC137" s="495"/>
      <c r="AD137" s="495"/>
      <c r="AI137" s="495"/>
      <c r="AJ137" s="495"/>
      <c r="AK137" s="495"/>
      <c r="AL137" s="495"/>
    </row>
    <row r="138" spans="2:46" s="520" customFormat="1" ht="15">
      <c r="B138" s="301"/>
      <c r="C138" s="1266">
        <f t="shared" si="183"/>
        <v>7</v>
      </c>
      <c r="D138" s="168"/>
      <c r="E138" s="316"/>
      <c r="F138" s="83" t="s">
        <v>55</v>
      </c>
      <c r="G138" s="828">
        <f>IF(F138=Lists!$B$18,0,VLOOKUP(F138,Amend_subrates_table,Subrates!$D$5,FALSE))</f>
        <v>5</v>
      </c>
      <c r="H138" s="77"/>
      <c r="I138" s="828">
        <f t="shared" si="181"/>
        <v>5</v>
      </c>
      <c r="J138" s="77">
        <f t="shared" si="182"/>
        <v>0</v>
      </c>
      <c r="K138" s="77" t="s">
        <v>485</v>
      </c>
      <c r="L138" s="81">
        <f>VLOOKUP(K138,Long_distance_values_subs,Subrates!$D$5,FALSE)</f>
        <v>4.6396214848157348E-2</v>
      </c>
      <c r="M138" s="348">
        <f>J138*VLOOKUP(K138,Long_distance_values_subs,Subrates!$H$5,FALSE)*L138</f>
        <v>0</v>
      </c>
      <c r="N138" s="81">
        <f>IF(F138=Lists!$B$18,0,VLOOKUP(F138,Amend_subrates_table,Subrates!$C$5,FALSE))</f>
        <v>180</v>
      </c>
      <c r="O138" s="345">
        <f t="shared" si="184"/>
        <v>0</v>
      </c>
      <c r="P138" s="122">
        <f t="shared" si="185"/>
        <v>0</v>
      </c>
      <c r="Q138" s="291"/>
      <c r="R138" s="122">
        <f t="shared" si="186"/>
        <v>0</v>
      </c>
      <c r="S138" s="215"/>
      <c r="T138" s="294"/>
      <c r="U138" s="294"/>
      <c r="V138" s="294"/>
      <c r="W138" s="294"/>
      <c r="X138" s="294"/>
      <c r="Y138" s="294"/>
      <c r="Z138" s="295"/>
      <c r="AA138" s="434"/>
      <c r="AB138" s="434"/>
      <c r="AC138" s="495"/>
      <c r="AD138" s="495"/>
      <c r="AI138" s="495"/>
      <c r="AJ138" s="495"/>
      <c r="AK138" s="495"/>
      <c r="AL138" s="495"/>
    </row>
    <row r="139" spans="2:46" s="520" customFormat="1" ht="15">
      <c r="B139" s="301"/>
      <c r="C139" s="1266">
        <f t="shared" si="183"/>
        <v>8</v>
      </c>
      <c r="D139" s="168"/>
      <c r="E139" s="316"/>
      <c r="F139" s="83" t="s">
        <v>56</v>
      </c>
      <c r="G139" s="828">
        <f>IF(F139=Lists!$B$18,0,VLOOKUP(F139,Amend_subrates_table,Subrates!$D$5,FALSE))</f>
        <v>0.25</v>
      </c>
      <c r="H139" s="77"/>
      <c r="I139" s="828">
        <f t="shared" si="181"/>
        <v>0.25</v>
      </c>
      <c r="J139" s="77">
        <f t="shared" si="182"/>
        <v>0</v>
      </c>
      <c r="K139" s="77" t="s">
        <v>485</v>
      </c>
      <c r="L139" s="81">
        <f>VLOOKUP(K139,Long_distance_values_subs,Subrates!$D$5,FALSE)</f>
        <v>4.6396214848157348E-2</v>
      </c>
      <c r="M139" s="348">
        <f>J139*VLOOKUP(K139,Long_distance_values_subs,Subrates!$H$5,FALSE)*L139</f>
        <v>0</v>
      </c>
      <c r="N139" s="81">
        <f>IF(F139=Lists!$B$18,0,VLOOKUP(F139,Amend_subrates_table,Subrates!$C$5,FALSE))</f>
        <v>1000</v>
      </c>
      <c r="O139" s="345">
        <f t="shared" si="184"/>
        <v>0</v>
      </c>
      <c r="P139" s="122">
        <f t="shared" si="185"/>
        <v>0</v>
      </c>
      <c r="Q139" s="291"/>
      <c r="R139" s="122">
        <f t="shared" si="186"/>
        <v>0</v>
      </c>
      <c r="S139" s="215"/>
      <c r="T139" s="294"/>
      <c r="U139" s="294"/>
      <c r="V139" s="294"/>
      <c r="W139" s="294"/>
      <c r="X139" s="294"/>
      <c r="Y139" s="294"/>
      <c r="Z139" s="295"/>
      <c r="AA139" s="434"/>
      <c r="AB139" s="434"/>
      <c r="AC139" s="495"/>
      <c r="AD139" s="495"/>
      <c r="AI139" s="495"/>
      <c r="AJ139" s="495"/>
      <c r="AK139" s="495"/>
      <c r="AL139" s="495"/>
    </row>
    <row r="140" spans="2:46" s="520" customFormat="1" ht="15">
      <c r="B140" s="301"/>
      <c r="C140" s="1266">
        <f t="shared" si="183"/>
        <v>9</v>
      </c>
      <c r="D140" s="168"/>
      <c r="E140" s="316"/>
      <c r="F140" s="83" t="s">
        <v>48</v>
      </c>
      <c r="G140" s="828">
        <f>IF(F140=Lists!$B$18,0,VLOOKUP(F140,Amend_subrates_table,Subrates!$D$5,FALSE))</f>
        <v>0</v>
      </c>
      <c r="H140" s="77"/>
      <c r="I140" s="828">
        <f t="shared" si="181"/>
        <v>0</v>
      </c>
      <c r="J140" s="77">
        <f t="shared" si="182"/>
        <v>0</v>
      </c>
      <c r="K140" s="77" t="s">
        <v>485</v>
      </c>
      <c r="L140" s="81">
        <f>VLOOKUP(K140,Long_distance_values_subs,Subrates!$D$5,FALSE)</f>
        <v>4.6396214848157348E-2</v>
      </c>
      <c r="M140" s="348">
        <f>J140*VLOOKUP(K140,Long_distance_values_subs,Subrates!$H$5,FALSE)*L140</f>
        <v>0</v>
      </c>
      <c r="N140" s="81">
        <f>IF(F140=Lists!$B$18,0,VLOOKUP(F140,Amend_subrates_table,Subrates!$C$5,FALSE))</f>
        <v>0</v>
      </c>
      <c r="O140" s="345">
        <f t="shared" si="184"/>
        <v>0</v>
      </c>
      <c r="P140" s="122">
        <f t="shared" si="185"/>
        <v>0</v>
      </c>
      <c r="Q140" s="291"/>
      <c r="R140" s="122">
        <f t="shared" si="186"/>
        <v>0</v>
      </c>
      <c r="S140" s="215"/>
      <c r="T140" s="294"/>
      <c r="U140" s="294"/>
      <c r="V140" s="294"/>
      <c r="W140" s="294"/>
      <c r="X140" s="294"/>
      <c r="Y140" s="294"/>
      <c r="Z140" s="295"/>
      <c r="AA140" s="434"/>
      <c r="AB140" s="434"/>
      <c r="AC140" s="495"/>
      <c r="AD140" s="495"/>
      <c r="AI140" s="495"/>
      <c r="AJ140" s="495"/>
      <c r="AK140" s="495"/>
      <c r="AL140" s="495"/>
    </row>
    <row r="141" spans="2:46" s="520" customFormat="1" ht="15">
      <c r="B141" s="301"/>
      <c r="C141" s="1266">
        <f t="shared" si="183"/>
        <v>10</v>
      </c>
      <c r="D141" s="168"/>
      <c r="E141" s="316"/>
      <c r="F141" s="83" t="s">
        <v>48</v>
      </c>
      <c r="G141" s="828">
        <f>IF(F141=Lists!$B$18,0,VLOOKUP(F141,Amend_subrates_table,Subrates!$D$5,FALSE))</f>
        <v>0</v>
      </c>
      <c r="H141" s="77"/>
      <c r="I141" s="828">
        <f t="shared" si="181"/>
        <v>0</v>
      </c>
      <c r="J141" s="77">
        <f t="shared" si="182"/>
        <v>0</v>
      </c>
      <c r="K141" s="77" t="s">
        <v>485</v>
      </c>
      <c r="L141" s="81">
        <f>VLOOKUP(K141,Long_distance_values_subs,Subrates!$D$5,FALSE)</f>
        <v>4.6396214848157348E-2</v>
      </c>
      <c r="M141" s="348">
        <f>J141*VLOOKUP(K141,Long_distance_values_subs,Subrates!$H$5,FALSE)*L141</f>
        <v>0</v>
      </c>
      <c r="N141" s="81">
        <f>IF(F141=Lists!$B$18,0,VLOOKUP(F141,Amend_subrates_table,Subrates!$C$5,FALSE))</f>
        <v>0</v>
      </c>
      <c r="O141" s="345">
        <f t="shared" si="184"/>
        <v>0</v>
      </c>
      <c r="P141" s="122">
        <f t="shared" si="185"/>
        <v>0</v>
      </c>
      <c r="Q141" s="291"/>
      <c r="R141" s="122">
        <f t="shared" si="186"/>
        <v>0</v>
      </c>
      <c r="S141" s="215"/>
      <c r="T141" s="294"/>
      <c r="U141" s="294"/>
      <c r="V141" s="294"/>
      <c r="W141" s="294"/>
      <c r="X141" s="294"/>
      <c r="Y141" s="294"/>
      <c r="Z141" s="295"/>
      <c r="AA141" s="434"/>
      <c r="AB141" s="434"/>
      <c r="AC141" s="495"/>
      <c r="AD141" s="495"/>
      <c r="AI141" s="495"/>
      <c r="AJ141" s="495"/>
      <c r="AK141" s="495"/>
      <c r="AL141" s="495"/>
    </row>
    <row r="142" spans="2:46" ht="18" customHeight="1">
      <c r="E142" s="795"/>
      <c r="F142" s="475"/>
      <c r="G142" s="475"/>
      <c r="H142" s="475"/>
      <c r="I142" s="475"/>
      <c r="J142" s="475"/>
      <c r="K142" s="475"/>
      <c r="L142" s="475"/>
      <c r="M142" s="475"/>
      <c r="N142" s="434"/>
      <c r="O142" s="1208"/>
      <c r="P142" s="1105"/>
      <c r="Q142" s="1105"/>
      <c r="R142" s="953"/>
      <c r="S142" s="434"/>
      <c r="U142" s="434"/>
      <c r="V142" s="434"/>
      <c r="W142" s="434"/>
      <c r="X142" s="434"/>
      <c r="Y142" s="434"/>
      <c r="Z142" s="434"/>
      <c r="AA142" s="434"/>
      <c r="AB142" s="434"/>
      <c r="AC142" s="434"/>
      <c r="AD142" s="434"/>
      <c r="AI142" s="434"/>
      <c r="AJ142" s="434"/>
      <c r="AK142" s="434"/>
      <c r="AL142" s="434"/>
    </row>
    <row r="143" spans="2:46" ht="18" customHeight="1">
      <c r="D143" s="848" t="s">
        <v>2467</v>
      </c>
      <c r="E143" s="372">
        <f>SUM(E131:E142)</f>
        <v>0</v>
      </c>
      <c r="F143" s="475"/>
      <c r="G143" s="475"/>
      <c r="H143" s="475"/>
      <c r="I143" s="475"/>
      <c r="J143" s="1272">
        <f>SUM(J142:J142)</f>
        <v>0</v>
      </c>
      <c r="K143" s="475"/>
      <c r="L143" s="434"/>
      <c r="M143" s="1020">
        <f t="shared" ref="M143" si="187">SUM(M131:M142)</f>
        <v>0</v>
      </c>
      <c r="N143" s="434"/>
      <c r="O143" s="1020">
        <f t="shared" ref="O143" si="188">SUM(O131:O142)</f>
        <v>0</v>
      </c>
      <c r="P143" s="1248">
        <f>SUM(P131:P142)</f>
        <v>0</v>
      </c>
      <c r="Q143" s="1268">
        <f>SUM(Q131:Q142)</f>
        <v>0</v>
      </c>
      <c r="R143" s="1248">
        <f>SUM(R131:R142)</f>
        <v>0</v>
      </c>
      <c r="S143" s="1273">
        <f>IF(E143=0,0,R143/E143)</f>
        <v>0</v>
      </c>
      <c r="U143" s="434"/>
      <c r="V143" s="434"/>
      <c r="W143" s="434"/>
      <c r="X143" s="434"/>
      <c r="Y143" s="434"/>
      <c r="Z143" s="434"/>
      <c r="AA143" s="434"/>
      <c r="AB143" s="434"/>
      <c r="AC143" s="434"/>
      <c r="AD143" s="434"/>
      <c r="AI143" s="434"/>
      <c r="AJ143" s="434"/>
      <c r="AK143" s="434"/>
      <c r="AL143" s="434"/>
    </row>
    <row r="144" spans="2:46" ht="18" customHeight="1">
      <c r="E144" s="475"/>
      <c r="F144" s="475"/>
      <c r="G144" s="475"/>
      <c r="H144" s="475"/>
      <c r="I144" s="475"/>
      <c r="J144" s="475"/>
      <c r="K144" s="434"/>
      <c r="L144" s="434"/>
      <c r="M144" s="434"/>
      <c r="N144" s="434"/>
      <c r="O144" s="434"/>
      <c r="P144" s="434"/>
      <c r="Q144" s="434"/>
      <c r="R144" s="434"/>
      <c r="T144" s="434"/>
      <c r="U144" s="434"/>
      <c r="V144" s="434"/>
      <c r="W144" s="434"/>
      <c r="X144" s="434"/>
      <c r="Y144" s="434"/>
      <c r="Z144" s="434"/>
      <c r="AA144" s="434"/>
      <c r="AB144" s="434"/>
      <c r="AH144" s="434"/>
      <c r="AI144" s="434"/>
      <c r="AJ144" s="434"/>
      <c r="AK144" s="434"/>
      <c r="AL144" s="434"/>
      <c r="AM144" s="434"/>
      <c r="AN144" s="434"/>
      <c r="AO144" s="434"/>
      <c r="AP144" s="434"/>
      <c r="AQ144" s="434"/>
      <c r="AR144" s="434"/>
      <c r="AS144" s="434"/>
    </row>
    <row r="145" spans="2:38" s="434" customFormat="1" ht="18" customHeight="1">
      <c r="L145" s="474"/>
      <c r="M145" s="474"/>
      <c r="N145" s="474"/>
      <c r="O145" s="474"/>
      <c r="P145" s="475"/>
      <c r="Q145" s="475"/>
      <c r="R145" s="475"/>
      <c r="S145" s="475"/>
      <c r="T145" s="475"/>
      <c r="U145" s="475"/>
      <c r="V145" s="475"/>
      <c r="W145" s="475"/>
      <c r="X145" s="475"/>
      <c r="AE145" s="475"/>
      <c r="AF145" s="475"/>
    </row>
    <row r="146" spans="2:38" ht="18" customHeight="1">
      <c r="B146" s="286" t="s">
        <v>26</v>
      </c>
      <c r="C146" s="1038" t="s">
        <v>2537</v>
      </c>
      <c r="D146" s="1253"/>
      <c r="E146" s="475"/>
      <c r="F146" s="475"/>
      <c r="O146" s="474"/>
      <c r="X146" s="434"/>
      <c r="Y146" s="639"/>
      <c r="Z146" s="434"/>
      <c r="AA146" s="434"/>
      <c r="AB146" s="434"/>
      <c r="AC146" s="434"/>
      <c r="AD146" s="434"/>
      <c r="AE146" s="434"/>
      <c r="AF146" s="434"/>
      <c r="AG146" s="434"/>
      <c r="AH146" s="434"/>
      <c r="AI146" s="434"/>
      <c r="AJ146" s="434"/>
      <c r="AK146" s="434"/>
      <c r="AL146" s="434"/>
    </row>
    <row r="147" spans="2:38" ht="135.6" customHeight="1">
      <c r="B147" s="1274" t="s">
        <v>1517</v>
      </c>
      <c r="C147" s="1274" t="s">
        <v>27</v>
      </c>
      <c r="D147" s="1274" t="s">
        <v>2456</v>
      </c>
      <c r="E147" s="1274" t="s">
        <v>2538</v>
      </c>
      <c r="F147" s="1274" t="s">
        <v>2091</v>
      </c>
      <c r="G147" s="1274" t="s">
        <v>2092</v>
      </c>
      <c r="H147" s="1274" t="s">
        <v>1992</v>
      </c>
      <c r="I147" s="1274" t="s">
        <v>2539</v>
      </c>
      <c r="J147" s="1274" t="s">
        <v>1993</v>
      </c>
      <c r="K147" s="1274" t="s">
        <v>1994</v>
      </c>
      <c r="L147" s="1274" t="s">
        <v>1995</v>
      </c>
      <c r="M147" s="1274" t="s">
        <v>2540</v>
      </c>
      <c r="N147" s="1274" t="s">
        <v>1996</v>
      </c>
      <c r="O147" s="1274" t="s">
        <v>2541</v>
      </c>
      <c r="P147" s="1274" t="s">
        <v>1998</v>
      </c>
      <c r="Q147" s="1087" t="s">
        <v>83</v>
      </c>
      <c r="R147" s="1274" t="s">
        <v>2542</v>
      </c>
      <c r="S147" s="1087" t="s">
        <v>2466</v>
      </c>
      <c r="T147" s="1275" t="s">
        <v>1526</v>
      </c>
      <c r="U147" s="1061"/>
      <c r="V147" s="1061"/>
      <c r="W147" s="1061"/>
      <c r="X147" s="1061"/>
      <c r="Y147" s="1061"/>
      <c r="Z147" s="1061"/>
      <c r="AA147" s="1276"/>
      <c r="AE147" s="434"/>
      <c r="AF147" s="434"/>
      <c r="AG147" s="434"/>
      <c r="AH147" s="434"/>
      <c r="AI147" s="434"/>
      <c r="AJ147" s="434"/>
      <c r="AK147" s="434"/>
      <c r="AL147" s="434"/>
    </row>
    <row r="148" spans="2:38" ht="18" customHeight="1">
      <c r="B148" s="865"/>
      <c r="C148" s="1182"/>
      <c r="D148" s="865"/>
      <c r="E148" s="183" t="s">
        <v>15</v>
      </c>
      <c r="F148" s="160" t="s">
        <v>1646</v>
      </c>
      <c r="G148" s="160" t="s">
        <v>1646</v>
      </c>
      <c r="H148" s="225" t="str">
        <f>Subrates_Table_1</f>
        <v>Subrates Table 1</v>
      </c>
      <c r="I148" s="1089"/>
      <c r="J148" s="160" t="s">
        <v>1646</v>
      </c>
      <c r="K148" s="160" t="s">
        <v>1646</v>
      </c>
      <c r="L148" s="212" t="str">
        <f>Subrates_Table_9</f>
        <v>Subrates Table 9</v>
      </c>
      <c r="M148" s="865" t="s">
        <v>76</v>
      </c>
      <c r="N148" s="212" t="str">
        <f>Subrates_Table_8</f>
        <v>Subrates Table 8</v>
      </c>
      <c r="O148" s="212"/>
      <c r="P148" s="1089"/>
      <c r="Q148" s="865" t="s">
        <v>76</v>
      </c>
      <c r="R148" s="865" t="s">
        <v>76</v>
      </c>
      <c r="S148" s="1182" t="s">
        <v>76</v>
      </c>
      <c r="T148" s="777"/>
      <c r="U148" s="777"/>
      <c r="V148" s="777"/>
      <c r="W148" s="777"/>
      <c r="X148" s="777"/>
      <c r="Y148" s="777"/>
      <c r="Z148" s="777"/>
      <c r="AA148" s="777"/>
      <c r="AE148" s="434"/>
      <c r="AF148" s="434"/>
      <c r="AG148" s="434"/>
      <c r="AH148" s="434"/>
      <c r="AI148" s="434"/>
      <c r="AJ148" s="434"/>
      <c r="AK148" s="434"/>
      <c r="AL148" s="434"/>
    </row>
    <row r="149" spans="2:38" s="520" customFormat="1" ht="15">
      <c r="B149" s="314"/>
      <c r="C149" s="1092">
        <v>1</v>
      </c>
      <c r="D149" s="169"/>
      <c r="E149" s="326"/>
      <c r="F149" s="65" t="s">
        <v>125</v>
      </c>
      <c r="G149" s="72" t="s">
        <v>348</v>
      </c>
      <c r="H149" s="103">
        <f t="shared" ref="H149:H158" si="189">INDEX(Load_and_Haul_Values,MATCH(F149,Load_and_Haul,0),MATCH(G149,Load_Haul_Fleet_size,0))</f>
        <v>4.8064250364478198</v>
      </c>
      <c r="I149" s="347">
        <f t="shared" ref="I149:I158" si="190">IF(J149=Long_distance_nme,0,E149*H149)</f>
        <v>0</v>
      </c>
      <c r="J149" s="204" t="s">
        <v>2026</v>
      </c>
      <c r="K149" s="1134" t="s">
        <v>485</v>
      </c>
      <c r="L149" s="103">
        <f>IF(J149=Lists!$B$11,0,VLOOKUP(K149,Long_distance_values_subs,Subrates!$C$5,FALSE))</f>
        <v>0</v>
      </c>
      <c r="M149" s="347">
        <f>$E149*VLOOKUP($K149,Long_distance_values_subs,Subrates!$H$5,FALSE)*$L149</f>
        <v>0</v>
      </c>
      <c r="N149" s="103">
        <f>IF(J149=Local,0,Subrates!$D$122)</f>
        <v>0</v>
      </c>
      <c r="O149" s="347">
        <f>$E149*$N149</f>
        <v>0</v>
      </c>
      <c r="P149" s="347">
        <f>M149+O149</f>
        <v>0</v>
      </c>
      <c r="Q149" s="143">
        <f t="shared" ref="Q149:Q158" si="191">I149+P149</f>
        <v>0</v>
      </c>
      <c r="R149" s="291"/>
      <c r="S149" s="122">
        <f t="shared" ref="S149:S158" si="192">IF(R149="",Q149,R149)</f>
        <v>0</v>
      </c>
      <c r="T149" s="215"/>
      <c r="U149" s="294"/>
      <c r="V149" s="294"/>
      <c r="W149" s="294"/>
      <c r="X149" s="294"/>
      <c r="Y149" s="294"/>
      <c r="Z149" s="294"/>
      <c r="AA149" s="295"/>
      <c r="AE149" s="495"/>
      <c r="AF149" s="495"/>
      <c r="AG149" s="495"/>
      <c r="AH149" s="495"/>
      <c r="AI149" s="495"/>
      <c r="AJ149" s="495"/>
      <c r="AK149" s="495"/>
      <c r="AL149" s="495"/>
    </row>
    <row r="150" spans="2:38" s="520" customFormat="1" ht="15">
      <c r="B150" s="301"/>
      <c r="C150" s="1266">
        <f t="shared" ref="C150:C158" si="193">C149+1</f>
        <v>2</v>
      </c>
      <c r="D150" s="168"/>
      <c r="E150" s="316"/>
      <c r="F150" s="37" t="s">
        <v>125</v>
      </c>
      <c r="G150" s="72" t="s">
        <v>348</v>
      </c>
      <c r="H150" s="103">
        <f t="shared" si="189"/>
        <v>4.8064250364478198</v>
      </c>
      <c r="I150" s="347">
        <f t="shared" si="190"/>
        <v>0</v>
      </c>
      <c r="J150" s="149" t="s">
        <v>2026</v>
      </c>
      <c r="K150" s="48" t="s">
        <v>485</v>
      </c>
      <c r="L150" s="103">
        <f>IF(J150=Lists!$B$11,0,VLOOKUP(K150,Long_distance_values_subs,Subrates!$C$5,FALSE))</f>
        <v>0</v>
      </c>
      <c r="M150" s="347">
        <f>$E150*VLOOKUP($K150,Long_distance_values_subs,Subrates!$H$5,FALSE)*$L150</f>
        <v>0</v>
      </c>
      <c r="N150" s="63">
        <f>IF(J150=Local,0,Subrates!$D$122)</f>
        <v>0</v>
      </c>
      <c r="O150" s="347">
        <f t="shared" ref="O150:O158" si="194">$E150*$N150</f>
        <v>0</v>
      </c>
      <c r="P150" s="347">
        <f t="shared" ref="P150:P158" si="195">M150+O150</f>
        <v>0</v>
      </c>
      <c r="Q150" s="143">
        <f t="shared" si="191"/>
        <v>0</v>
      </c>
      <c r="R150" s="291"/>
      <c r="S150" s="122">
        <f t="shared" si="192"/>
        <v>0</v>
      </c>
      <c r="T150" s="215"/>
      <c r="U150" s="294"/>
      <c r="V150" s="294"/>
      <c r="W150" s="294"/>
      <c r="X150" s="294"/>
      <c r="Y150" s="294"/>
      <c r="Z150" s="294"/>
      <c r="AA150" s="295"/>
      <c r="AE150" s="495"/>
      <c r="AF150" s="495"/>
      <c r="AG150" s="495"/>
      <c r="AH150" s="495"/>
      <c r="AI150" s="495"/>
      <c r="AJ150" s="495"/>
      <c r="AK150" s="495"/>
      <c r="AL150" s="495"/>
    </row>
    <row r="151" spans="2:38" s="520" customFormat="1" ht="15">
      <c r="B151" s="301"/>
      <c r="C151" s="1266">
        <f t="shared" si="193"/>
        <v>3</v>
      </c>
      <c r="D151" s="168"/>
      <c r="E151" s="316"/>
      <c r="F151" s="37" t="s">
        <v>125</v>
      </c>
      <c r="G151" s="72" t="s">
        <v>348</v>
      </c>
      <c r="H151" s="103">
        <f t="shared" si="189"/>
        <v>4.8064250364478198</v>
      </c>
      <c r="I151" s="347">
        <f t="shared" si="190"/>
        <v>0</v>
      </c>
      <c r="J151" s="149" t="s">
        <v>2026</v>
      </c>
      <c r="K151" s="48" t="s">
        <v>485</v>
      </c>
      <c r="L151" s="103">
        <f>IF(J151=Lists!$B$11,0,VLOOKUP(K151,Long_distance_values_subs,Subrates!$C$5,FALSE))</f>
        <v>0</v>
      </c>
      <c r="M151" s="347">
        <f>$E151*VLOOKUP($K151,Long_distance_values_subs,Subrates!$H$5,FALSE)*$L151</f>
        <v>0</v>
      </c>
      <c r="N151" s="63">
        <f>IF(J151=Local,0,Subrates!$D$122)</f>
        <v>0</v>
      </c>
      <c r="O151" s="347">
        <f t="shared" si="194"/>
        <v>0</v>
      </c>
      <c r="P151" s="347">
        <f t="shared" si="195"/>
        <v>0</v>
      </c>
      <c r="Q151" s="143">
        <f t="shared" si="191"/>
        <v>0</v>
      </c>
      <c r="R151" s="291"/>
      <c r="S151" s="122">
        <f t="shared" si="192"/>
        <v>0</v>
      </c>
      <c r="T151" s="215"/>
      <c r="U151" s="294"/>
      <c r="V151" s="294"/>
      <c r="W151" s="294"/>
      <c r="X151" s="294"/>
      <c r="Y151" s="294"/>
      <c r="Z151" s="294"/>
      <c r="AA151" s="295"/>
    </row>
    <row r="152" spans="2:38" s="520" customFormat="1" ht="15">
      <c r="B152" s="301"/>
      <c r="C152" s="1266">
        <f t="shared" si="193"/>
        <v>4</v>
      </c>
      <c r="D152" s="168"/>
      <c r="E152" s="316"/>
      <c r="F152" s="37" t="s">
        <v>125</v>
      </c>
      <c r="G152" s="72" t="s">
        <v>348</v>
      </c>
      <c r="H152" s="103">
        <f t="shared" si="189"/>
        <v>4.8064250364478198</v>
      </c>
      <c r="I152" s="347">
        <f t="shared" si="190"/>
        <v>0</v>
      </c>
      <c r="J152" s="149" t="s">
        <v>2026</v>
      </c>
      <c r="K152" s="48" t="s">
        <v>485</v>
      </c>
      <c r="L152" s="103">
        <f>IF(J152=Lists!$B$11,0,VLOOKUP(K152,Long_distance_values_subs,Subrates!$C$5,FALSE))</f>
        <v>0</v>
      </c>
      <c r="M152" s="347">
        <f>$E152*VLOOKUP($K152,Long_distance_values_subs,Subrates!$H$5,FALSE)*$L152</f>
        <v>0</v>
      </c>
      <c r="N152" s="63">
        <f>IF(J152=Local,0,Subrates!$D$122)</f>
        <v>0</v>
      </c>
      <c r="O152" s="347">
        <f t="shared" si="194"/>
        <v>0</v>
      </c>
      <c r="P152" s="347">
        <f t="shared" si="195"/>
        <v>0</v>
      </c>
      <c r="Q152" s="143">
        <f t="shared" si="191"/>
        <v>0</v>
      </c>
      <c r="R152" s="291"/>
      <c r="S152" s="122">
        <f t="shared" si="192"/>
        <v>0</v>
      </c>
      <c r="T152" s="215"/>
      <c r="U152" s="294"/>
      <c r="V152" s="294"/>
      <c r="W152" s="294"/>
      <c r="X152" s="294"/>
      <c r="Y152" s="294"/>
      <c r="Z152" s="294"/>
      <c r="AA152" s="295"/>
    </row>
    <row r="153" spans="2:38" s="520" customFormat="1" ht="15">
      <c r="B153" s="301"/>
      <c r="C153" s="1266">
        <f t="shared" si="193"/>
        <v>5</v>
      </c>
      <c r="D153" s="168"/>
      <c r="E153" s="316"/>
      <c r="F153" s="37" t="s">
        <v>125</v>
      </c>
      <c r="G153" s="72" t="s">
        <v>348</v>
      </c>
      <c r="H153" s="103">
        <f t="shared" si="189"/>
        <v>4.8064250364478198</v>
      </c>
      <c r="I153" s="347">
        <f t="shared" si="190"/>
        <v>0</v>
      </c>
      <c r="J153" s="149" t="s">
        <v>2026</v>
      </c>
      <c r="K153" s="48" t="s">
        <v>485</v>
      </c>
      <c r="L153" s="103">
        <f>IF(J153=Lists!$B$11,0,VLOOKUP(K153,Long_distance_values_subs,Subrates!$C$5,FALSE))</f>
        <v>0</v>
      </c>
      <c r="M153" s="347">
        <f>$E153*VLOOKUP($K153,Long_distance_values_subs,Subrates!$H$5,FALSE)*$L153</f>
        <v>0</v>
      </c>
      <c r="N153" s="63">
        <f>IF(J153=Local,0,Subrates!$D$122)</f>
        <v>0</v>
      </c>
      <c r="O153" s="347">
        <f t="shared" si="194"/>
        <v>0</v>
      </c>
      <c r="P153" s="347">
        <f t="shared" si="195"/>
        <v>0</v>
      </c>
      <c r="Q153" s="143">
        <f t="shared" si="191"/>
        <v>0</v>
      </c>
      <c r="R153" s="291"/>
      <c r="S153" s="122">
        <f t="shared" si="192"/>
        <v>0</v>
      </c>
      <c r="T153" s="215"/>
      <c r="U153" s="294"/>
      <c r="V153" s="294"/>
      <c r="W153" s="294"/>
      <c r="X153" s="294"/>
      <c r="Y153" s="294"/>
      <c r="Z153" s="294"/>
      <c r="AA153" s="295"/>
    </row>
    <row r="154" spans="2:38" s="520" customFormat="1" ht="15">
      <c r="B154" s="301"/>
      <c r="C154" s="1266">
        <f t="shared" si="193"/>
        <v>6</v>
      </c>
      <c r="D154" s="168"/>
      <c r="E154" s="316"/>
      <c r="F154" s="37" t="s">
        <v>125</v>
      </c>
      <c r="G154" s="72" t="s">
        <v>348</v>
      </c>
      <c r="H154" s="103">
        <f t="shared" si="189"/>
        <v>4.8064250364478198</v>
      </c>
      <c r="I154" s="347">
        <f t="shared" si="190"/>
        <v>0</v>
      </c>
      <c r="J154" s="149" t="s">
        <v>2026</v>
      </c>
      <c r="K154" s="48" t="s">
        <v>485</v>
      </c>
      <c r="L154" s="103">
        <f>IF(J154=Lists!$B$11,0,VLOOKUP(K154,Long_distance_values_subs,Subrates!$C$5,FALSE))</f>
        <v>0</v>
      </c>
      <c r="M154" s="347">
        <f>$E154*VLOOKUP($K154,Long_distance_values_subs,Subrates!$H$5,FALSE)*$L154</f>
        <v>0</v>
      </c>
      <c r="N154" s="63">
        <f>IF(J154=Local,0,Subrates!$D$122)</f>
        <v>0</v>
      </c>
      <c r="O154" s="347">
        <f t="shared" si="194"/>
        <v>0</v>
      </c>
      <c r="P154" s="347">
        <f t="shared" si="195"/>
        <v>0</v>
      </c>
      <c r="Q154" s="143">
        <f t="shared" si="191"/>
        <v>0</v>
      </c>
      <c r="R154" s="291"/>
      <c r="S154" s="122">
        <f t="shared" si="192"/>
        <v>0</v>
      </c>
      <c r="T154" s="215"/>
      <c r="U154" s="294"/>
      <c r="V154" s="294"/>
      <c r="W154" s="294"/>
      <c r="X154" s="294"/>
      <c r="Y154" s="294"/>
      <c r="Z154" s="294"/>
      <c r="AA154" s="295"/>
    </row>
    <row r="155" spans="2:38" s="520" customFormat="1" ht="15">
      <c r="B155" s="301"/>
      <c r="C155" s="1266">
        <f t="shared" si="193"/>
        <v>7</v>
      </c>
      <c r="D155" s="168"/>
      <c r="E155" s="316"/>
      <c r="F155" s="37" t="s">
        <v>125</v>
      </c>
      <c r="G155" s="72" t="s">
        <v>348</v>
      </c>
      <c r="H155" s="103">
        <f t="shared" si="189"/>
        <v>4.8064250364478198</v>
      </c>
      <c r="I155" s="347">
        <f t="shared" si="190"/>
        <v>0</v>
      </c>
      <c r="J155" s="149" t="s">
        <v>2026</v>
      </c>
      <c r="K155" s="48" t="s">
        <v>485</v>
      </c>
      <c r="L155" s="103">
        <f>IF(J155=Lists!$B$11,0,VLOOKUP(K155,Long_distance_values_subs,Subrates!$C$5,FALSE))</f>
        <v>0</v>
      </c>
      <c r="M155" s="347">
        <f>$E155*VLOOKUP($K155,Long_distance_values_subs,Subrates!$H$5,FALSE)*$L155</f>
        <v>0</v>
      </c>
      <c r="N155" s="63">
        <f>IF(J155=Local,0,Subrates!$D$122)</f>
        <v>0</v>
      </c>
      <c r="O155" s="347">
        <f t="shared" si="194"/>
        <v>0</v>
      </c>
      <c r="P155" s="347">
        <f t="shared" si="195"/>
        <v>0</v>
      </c>
      <c r="Q155" s="143">
        <f t="shared" si="191"/>
        <v>0</v>
      </c>
      <c r="R155" s="291"/>
      <c r="S155" s="122">
        <f t="shared" si="192"/>
        <v>0</v>
      </c>
      <c r="T155" s="215"/>
      <c r="U155" s="294"/>
      <c r="V155" s="294"/>
      <c r="W155" s="294"/>
      <c r="X155" s="294"/>
      <c r="Y155" s="294"/>
      <c r="Z155" s="294"/>
      <c r="AA155" s="295"/>
    </row>
    <row r="156" spans="2:38" s="520" customFormat="1" ht="15">
      <c r="B156" s="301"/>
      <c r="C156" s="1266">
        <f t="shared" si="193"/>
        <v>8</v>
      </c>
      <c r="D156" s="168"/>
      <c r="E156" s="316"/>
      <c r="F156" s="37" t="s">
        <v>125</v>
      </c>
      <c r="G156" s="72" t="s">
        <v>348</v>
      </c>
      <c r="H156" s="103">
        <f t="shared" si="189"/>
        <v>4.8064250364478198</v>
      </c>
      <c r="I156" s="347">
        <f t="shared" si="190"/>
        <v>0</v>
      </c>
      <c r="J156" s="149" t="s">
        <v>2026</v>
      </c>
      <c r="K156" s="48" t="s">
        <v>485</v>
      </c>
      <c r="L156" s="103">
        <f>IF(J156=Lists!$B$11,0,VLOOKUP(K156,Long_distance_values_subs,Subrates!$C$5,FALSE))</f>
        <v>0</v>
      </c>
      <c r="M156" s="347">
        <f>$E156*VLOOKUP($K156,Long_distance_values_subs,Subrates!$H$5,FALSE)*$L156</f>
        <v>0</v>
      </c>
      <c r="N156" s="63">
        <f>IF(J156=Local,0,Subrates!$D$122)</f>
        <v>0</v>
      </c>
      <c r="O156" s="347">
        <f t="shared" si="194"/>
        <v>0</v>
      </c>
      <c r="P156" s="347">
        <f t="shared" si="195"/>
        <v>0</v>
      </c>
      <c r="Q156" s="143">
        <f t="shared" si="191"/>
        <v>0</v>
      </c>
      <c r="R156" s="291"/>
      <c r="S156" s="122">
        <f t="shared" si="192"/>
        <v>0</v>
      </c>
      <c r="T156" s="215"/>
      <c r="U156" s="294"/>
      <c r="V156" s="294"/>
      <c r="W156" s="294"/>
      <c r="X156" s="294"/>
      <c r="Y156" s="294"/>
      <c r="Z156" s="294"/>
      <c r="AA156" s="295"/>
    </row>
    <row r="157" spans="2:38" s="520" customFormat="1" ht="15">
      <c r="B157" s="301"/>
      <c r="C157" s="1266">
        <f t="shared" si="193"/>
        <v>9</v>
      </c>
      <c r="D157" s="168"/>
      <c r="E157" s="316"/>
      <c r="F157" s="37" t="s">
        <v>125</v>
      </c>
      <c r="G157" s="72" t="s">
        <v>348</v>
      </c>
      <c r="H157" s="103">
        <f t="shared" si="189"/>
        <v>4.8064250364478198</v>
      </c>
      <c r="I157" s="347">
        <f t="shared" si="190"/>
        <v>0</v>
      </c>
      <c r="J157" s="149" t="s">
        <v>2026</v>
      </c>
      <c r="K157" s="48" t="s">
        <v>485</v>
      </c>
      <c r="L157" s="103">
        <f>IF(J157=Lists!$B$11,0,VLOOKUP(K157,Long_distance_values_subs,Subrates!$C$5,FALSE))</f>
        <v>0</v>
      </c>
      <c r="M157" s="347">
        <f>$E157*VLOOKUP($K157,Long_distance_values_subs,Subrates!$H$5,FALSE)*$L157</f>
        <v>0</v>
      </c>
      <c r="N157" s="63">
        <f>IF(J157=Local,0,Subrates!$D$122)</f>
        <v>0</v>
      </c>
      <c r="O157" s="347">
        <f t="shared" si="194"/>
        <v>0</v>
      </c>
      <c r="P157" s="347">
        <f t="shared" si="195"/>
        <v>0</v>
      </c>
      <c r="Q157" s="143">
        <f t="shared" si="191"/>
        <v>0</v>
      </c>
      <c r="R157" s="291"/>
      <c r="S157" s="122">
        <f t="shared" si="192"/>
        <v>0</v>
      </c>
      <c r="T157" s="215"/>
      <c r="U157" s="294"/>
      <c r="V157" s="294"/>
      <c r="W157" s="294"/>
      <c r="X157" s="294"/>
      <c r="Y157" s="294"/>
      <c r="Z157" s="294"/>
      <c r="AA157" s="295"/>
    </row>
    <row r="158" spans="2:38" s="520" customFormat="1" ht="15">
      <c r="B158" s="301"/>
      <c r="C158" s="1266">
        <f t="shared" si="193"/>
        <v>10</v>
      </c>
      <c r="D158" s="168"/>
      <c r="E158" s="316"/>
      <c r="F158" s="37" t="s">
        <v>125</v>
      </c>
      <c r="G158" s="72" t="s">
        <v>348</v>
      </c>
      <c r="H158" s="103">
        <f t="shared" si="189"/>
        <v>4.8064250364478198</v>
      </c>
      <c r="I158" s="347">
        <f t="shared" si="190"/>
        <v>0</v>
      </c>
      <c r="J158" s="149" t="s">
        <v>2026</v>
      </c>
      <c r="K158" s="48" t="s">
        <v>485</v>
      </c>
      <c r="L158" s="103">
        <f>IF(J158=Lists!$B$11,0,VLOOKUP(K158,Long_distance_values_subs,Subrates!$C$5,FALSE))</f>
        <v>0</v>
      </c>
      <c r="M158" s="347">
        <f>$E158*VLOOKUP($K158,Long_distance_values_subs,Subrates!$H$5,FALSE)*$L158</f>
        <v>0</v>
      </c>
      <c r="N158" s="63">
        <f>IF(J158=Local,0,Subrates!$D$122)</f>
        <v>0</v>
      </c>
      <c r="O158" s="347">
        <f t="shared" si="194"/>
        <v>0</v>
      </c>
      <c r="P158" s="347">
        <f t="shared" si="195"/>
        <v>0</v>
      </c>
      <c r="Q158" s="143">
        <f t="shared" si="191"/>
        <v>0</v>
      </c>
      <c r="R158" s="291"/>
      <c r="S158" s="122">
        <f t="shared" si="192"/>
        <v>0</v>
      </c>
      <c r="T158" s="215"/>
      <c r="U158" s="294"/>
      <c r="V158" s="294"/>
      <c r="W158" s="294"/>
      <c r="X158" s="294"/>
      <c r="Y158" s="294"/>
      <c r="Z158" s="294"/>
      <c r="AA158" s="295"/>
    </row>
    <row r="159" spans="2:38" ht="18" customHeight="1">
      <c r="E159" s="795"/>
      <c r="F159" s="475"/>
      <c r="G159" s="434"/>
      <c r="L159" s="475"/>
      <c r="M159" s="475"/>
      <c r="N159" s="434"/>
      <c r="O159" s="434"/>
      <c r="P159" s="434"/>
      <c r="Q159" s="1105"/>
      <c r="R159" s="1105"/>
      <c r="S159" s="953"/>
      <c r="T159" s="434"/>
      <c r="U159" s="434"/>
      <c r="V159" s="434"/>
    </row>
    <row r="160" spans="2:38" ht="18" customHeight="1">
      <c r="D160" s="848" t="s">
        <v>2467</v>
      </c>
      <c r="E160" s="372">
        <f>SUM(E148:E159)</f>
        <v>0</v>
      </c>
      <c r="F160" s="475"/>
      <c r="G160" s="434"/>
      <c r="L160" s="475"/>
      <c r="M160" s="1020">
        <f>SUM(M148:M159)</f>
        <v>0</v>
      </c>
      <c r="N160" s="434"/>
      <c r="O160" s="1020">
        <f>SUM(O148:O159)</f>
        <v>0</v>
      </c>
      <c r="P160" s="434"/>
      <c r="Q160" s="1248">
        <f>SUM(Q148:Q159)</f>
        <v>0</v>
      </c>
      <c r="R160" s="1268">
        <f>SUM(R148:R159)</f>
        <v>0</v>
      </c>
      <c r="S160" s="1248">
        <f>SUM(S148:S159)</f>
        <v>0</v>
      </c>
      <c r="T160" s="1273">
        <f>IF(E160=0,0,S160/E160)</f>
        <v>0</v>
      </c>
      <c r="U160" s="434"/>
      <c r="V160" s="434"/>
    </row>
    <row r="161" spans="2:45" ht="18" customHeight="1">
      <c r="E161" s="475"/>
      <c r="F161" s="475"/>
      <c r="G161" s="475"/>
      <c r="H161" s="475"/>
      <c r="I161" s="475"/>
      <c r="J161" s="475"/>
      <c r="K161" s="475"/>
      <c r="L161" s="475"/>
      <c r="M161" s="434"/>
      <c r="N161" s="434"/>
      <c r="O161" s="434"/>
      <c r="P161" s="434"/>
      <c r="Q161" s="434"/>
      <c r="S161" s="434"/>
      <c r="T161" s="434"/>
      <c r="U161" s="434"/>
      <c r="V161" s="434"/>
      <c r="W161" s="434"/>
      <c r="X161" s="434"/>
      <c r="Y161" s="434"/>
      <c r="Z161" s="434"/>
      <c r="AA161" s="434"/>
      <c r="AG161" s="434"/>
      <c r="AH161" s="434"/>
      <c r="AI161" s="434"/>
      <c r="AJ161" s="434"/>
      <c r="AK161" s="434"/>
      <c r="AL161" s="434"/>
      <c r="AM161" s="434"/>
      <c r="AN161" s="434"/>
      <c r="AO161" s="434"/>
      <c r="AP161" s="434"/>
      <c r="AQ161" s="434"/>
      <c r="AR161" s="434"/>
    </row>
    <row r="162" spans="2:45" ht="18" customHeight="1">
      <c r="B162" s="286" t="s">
        <v>26</v>
      </c>
      <c r="C162" s="1038" t="s">
        <v>2543</v>
      </c>
      <c r="D162" s="1253"/>
      <c r="E162" s="475"/>
      <c r="F162" s="475"/>
      <c r="G162" s="475"/>
      <c r="H162" s="789" t="s">
        <v>2544</v>
      </c>
      <c r="I162" s="828">
        <v>1.8</v>
      </c>
      <c r="J162" s="475"/>
      <c r="K162" s="475"/>
      <c r="L162" s="475"/>
      <c r="M162" s="434"/>
      <c r="N162" s="434"/>
      <c r="O162" s="434"/>
      <c r="P162" s="434"/>
      <c r="Q162" s="434"/>
      <c r="R162" s="434"/>
      <c r="S162" s="434"/>
      <c r="T162" s="434"/>
      <c r="U162" s="434"/>
      <c r="V162" s="434"/>
      <c r="W162" s="434"/>
      <c r="X162" s="434"/>
      <c r="Y162" s="434"/>
      <c r="Z162" s="434"/>
      <c r="AA162" s="434"/>
      <c r="AB162" s="434"/>
      <c r="AC162" s="434"/>
      <c r="AD162" s="434"/>
      <c r="AE162" s="434"/>
      <c r="AF162" s="639"/>
      <c r="AG162" s="639"/>
      <c r="AH162" s="434"/>
      <c r="AI162" s="434"/>
      <c r="AJ162" s="434"/>
      <c r="AK162" s="434"/>
      <c r="AL162" s="434"/>
      <c r="AM162" s="434"/>
      <c r="AN162" s="434"/>
      <c r="AO162" s="434"/>
      <c r="AP162" s="434"/>
      <c r="AQ162" s="434"/>
      <c r="AR162" s="434"/>
      <c r="AS162" s="434"/>
    </row>
    <row r="163" spans="2:45" ht="135.6" customHeight="1">
      <c r="B163" s="773" t="s">
        <v>1517</v>
      </c>
      <c r="C163" s="773" t="s">
        <v>27</v>
      </c>
      <c r="D163" s="773" t="s">
        <v>2456</v>
      </c>
      <c r="E163" s="773" t="s">
        <v>2545</v>
      </c>
      <c r="F163" s="773" t="s">
        <v>2546</v>
      </c>
      <c r="G163" s="773" t="s">
        <v>2547</v>
      </c>
      <c r="H163" s="773" t="s">
        <v>78</v>
      </c>
      <c r="I163" s="773" t="s">
        <v>2475</v>
      </c>
      <c r="J163" s="773" t="str">
        <f>CONCATENATE("Long Distance Haul (one way) of ",G163)</f>
        <v>Long Distance Haul (one way) of Capping Material</v>
      </c>
      <c r="K163" s="773" t="str">
        <f>CONCATENATE(G163," haul ($/t-km)")</f>
        <v>Capping Material haul ($/t-km)</v>
      </c>
      <c r="L163" s="773" t="s">
        <v>2548</v>
      </c>
      <c r="M163" s="773" t="s">
        <v>2549</v>
      </c>
      <c r="N163" s="773" t="s">
        <v>2550</v>
      </c>
      <c r="O163" s="775" t="s">
        <v>83</v>
      </c>
      <c r="P163" s="773" t="s">
        <v>2551</v>
      </c>
      <c r="Q163" s="775" t="s">
        <v>2466</v>
      </c>
      <c r="R163" s="1277" t="s">
        <v>2552</v>
      </c>
      <c r="S163" s="1275" t="s">
        <v>1526</v>
      </c>
      <c r="T163" s="1061"/>
      <c r="U163" s="1061"/>
      <c r="V163" s="1061"/>
      <c r="W163" s="1061"/>
      <c r="X163" s="1061"/>
      <c r="Y163" s="1276"/>
      <c r="Z163" s="434"/>
      <c r="AA163" s="434"/>
      <c r="AB163" s="434"/>
      <c r="AC163" s="434"/>
      <c r="AH163" s="434"/>
      <c r="AI163" s="434"/>
      <c r="AJ163" s="434"/>
      <c r="AK163" s="434"/>
      <c r="AL163" s="434"/>
      <c r="AM163" s="434"/>
      <c r="AN163" s="434"/>
      <c r="AO163" s="434"/>
      <c r="AP163" s="434"/>
      <c r="AQ163" s="434"/>
      <c r="AR163" s="434"/>
      <c r="AS163" s="434"/>
    </row>
    <row r="164" spans="2:45" ht="18" customHeight="1">
      <c r="B164" s="768"/>
      <c r="D164" s="768"/>
      <c r="E164" s="82" t="s">
        <v>95</v>
      </c>
      <c r="F164" s="82" t="s">
        <v>11</v>
      </c>
      <c r="G164" s="145"/>
      <c r="H164" s="82" t="s">
        <v>15</v>
      </c>
      <c r="I164" s="82" t="s">
        <v>33</v>
      </c>
      <c r="J164" s="82" t="s">
        <v>2553</v>
      </c>
      <c r="K164" s="768" t="s">
        <v>2554</v>
      </c>
      <c r="L164" s="768"/>
      <c r="M164" s="768" t="s">
        <v>34</v>
      </c>
      <c r="N164" s="768"/>
      <c r="O164" s="768" t="s">
        <v>76</v>
      </c>
      <c r="P164" s="768" t="s">
        <v>76</v>
      </c>
      <c r="Q164" s="768" t="s">
        <v>76</v>
      </c>
      <c r="R164" s="777"/>
      <c r="S164" s="777"/>
      <c r="T164" s="777"/>
      <c r="U164" s="777"/>
      <c r="V164" s="777"/>
      <c r="W164" s="777"/>
      <c r="X164" s="777"/>
      <c r="Y164" s="777"/>
      <c r="Z164" s="434"/>
      <c r="AA164" s="434"/>
      <c r="AB164" s="434"/>
      <c r="AC164" s="434"/>
      <c r="AH164" s="434"/>
      <c r="AI164" s="434"/>
      <c r="AJ164" s="434"/>
      <c r="AK164" s="434"/>
      <c r="AL164" s="434"/>
      <c r="AM164" s="434"/>
      <c r="AN164" s="434"/>
      <c r="AO164" s="434"/>
      <c r="AP164" s="434"/>
      <c r="AQ164" s="434"/>
      <c r="AR164" s="434"/>
      <c r="AS164" s="434"/>
    </row>
    <row r="165" spans="2:45" s="520" customFormat="1" ht="15">
      <c r="B165" s="301"/>
      <c r="C165" s="989">
        <v>1</v>
      </c>
      <c r="D165" s="168"/>
      <c r="E165" s="316"/>
      <c r="F165" s="77"/>
      <c r="G165" s="1278" t="str">
        <f>Lists!$B$15</f>
        <v>Clay</v>
      </c>
      <c r="H165" s="324">
        <f t="shared" ref="H165:H174" si="196">E165*10000*F165</f>
        <v>0</v>
      </c>
      <c r="I165" s="324">
        <f>H165*$I$162</f>
        <v>0</v>
      </c>
      <c r="J165" s="77" t="s">
        <v>485</v>
      </c>
      <c r="K165" s="81">
        <f>VLOOKUP(J165,Long_distance_values_subs,Subrates!$D$5,FALSE)</f>
        <v>4.6396214848157348E-2</v>
      </c>
      <c r="L165" s="346">
        <f>I165*VLOOKUP(J165,Long_distance_values_subs,Subrates!$H$5,FALSE)*K165</f>
        <v>0</v>
      </c>
      <c r="M165" s="81">
        <f t="shared" ref="M165:M174" si="197">Clay_purchase</f>
        <v>50</v>
      </c>
      <c r="N165" s="345">
        <f>M165*I165</f>
        <v>0</v>
      </c>
      <c r="O165" s="122">
        <f>L165+N165</f>
        <v>0</v>
      </c>
      <c r="P165" s="291"/>
      <c r="Q165" s="122">
        <f t="shared" ref="Q165:Q174" si="198">IF(P165="",O165,P165)</f>
        <v>0</v>
      </c>
      <c r="R165" s="1279">
        <f>IF(I165=0,0,Q165/I165)</f>
        <v>0</v>
      </c>
      <c r="S165" s="217"/>
      <c r="T165" s="294"/>
      <c r="U165" s="294"/>
      <c r="V165" s="294"/>
      <c r="W165" s="294"/>
      <c r="X165" s="294"/>
      <c r="Y165" s="295"/>
      <c r="Z165" s="434"/>
      <c r="AA165" s="434"/>
      <c r="AB165" s="495"/>
      <c r="AC165" s="495"/>
      <c r="AH165" s="495"/>
      <c r="AI165" s="495"/>
      <c r="AJ165" s="495"/>
      <c r="AK165" s="495"/>
      <c r="AL165" s="495"/>
      <c r="AM165" s="495"/>
      <c r="AN165" s="495"/>
      <c r="AO165" s="495"/>
      <c r="AP165" s="495"/>
      <c r="AQ165" s="495"/>
      <c r="AR165" s="495"/>
      <c r="AS165" s="495"/>
    </row>
    <row r="166" spans="2:45" s="520" customFormat="1" ht="15">
      <c r="B166" s="301"/>
      <c r="C166" s="1266">
        <f t="shared" ref="C166:C174" si="199">C165+1</f>
        <v>2</v>
      </c>
      <c r="D166" s="168"/>
      <c r="E166" s="316"/>
      <c r="F166" s="77"/>
      <c r="G166" s="1278" t="str">
        <f>Lists!$B$15</f>
        <v>Clay</v>
      </c>
      <c r="H166" s="1280">
        <f t="shared" si="196"/>
        <v>0</v>
      </c>
      <c r="I166" s="1280">
        <f t="shared" ref="I166:I174" si="200">H166*$I$162</f>
        <v>0</v>
      </c>
      <c r="J166" s="77" t="s">
        <v>485</v>
      </c>
      <c r="K166" s="81">
        <f>VLOOKUP(J166,Long_distance_values_subs,Subrates!$D$5,FALSE)</f>
        <v>4.6396214848157348E-2</v>
      </c>
      <c r="L166" s="346">
        <f>I166*VLOOKUP(J166,Long_distance_values_subs,Subrates!$H$5,FALSE)*K166</f>
        <v>0</v>
      </c>
      <c r="M166" s="81">
        <f t="shared" si="197"/>
        <v>50</v>
      </c>
      <c r="N166" s="345">
        <f t="shared" ref="N166:N174" si="201">M166*I166</f>
        <v>0</v>
      </c>
      <c r="O166" s="122">
        <f t="shared" ref="O166:O174" si="202">L166+N166</f>
        <v>0</v>
      </c>
      <c r="P166" s="291"/>
      <c r="Q166" s="122">
        <f t="shared" si="198"/>
        <v>0</v>
      </c>
      <c r="R166" s="1279">
        <f t="shared" ref="R166:R174" si="203">IF(I166=0,0,Q166/I166)</f>
        <v>0</v>
      </c>
      <c r="S166" s="217"/>
      <c r="T166" s="294"/>
      <c r="U166" s="294"/>
      <c r="V166" s="294"/>
      <c r="W166" s="294"/>
      <c r="X166" s="294"/>
      <c r="Y166" s="295"/>
      <c r="Z166" s="434"/>
      <c r="AA166" s="434"/>
      <c r="AB166" s="495"/>
      <c r="AC166" s="495"/>
      <c r="AH166" s="495"/>
      <c r="AI166" s="495"/>
      <c r="AJ166" s="495"/>
      <c r="AK166" s="495"/>
      <c r="AL166" s="495"/>
      <c r="AM166" s="495"/>
      <c r="AN166" s="495"/>
      <c r="AO166" s="495"/>
      <c r="AP166" s="495"/>
      <c r="AQ166" s="495"/>
      <c r="AR166" s="495"/>
      <c r="AS166" s="495"/>
    </row>
    <row r="167" spans="2:45" s="520" customFormat="1" ht="15">
      <c r="B167" s="301"/>
      <c r="C167" s="1266">
        <f t="shared" si="199"/>
        <v>3</v>
      </c>
      <c r="D167" s="168"/>
      <c r="E167" s="316"/>
      <c r="F167" s="77"/>
      <c r="G167" s="1278" t="str">
        <f>Lists!$B$15</f>
        <v>Clay</v>
      </c>
      <c r="H167" s="1280">
        <f t="shared" si="196"/>
        <v>0</v>
      </c>
      <c r="I167" s="1280">
        <f t="shared" si="200"/>
        <v>0</v>
      </c>
      <c r="J167" s="77" t="s">
        <v>485</v>
      </c>
      <c r="K167" s="81">
        <f>VLOOKUP(J167,Long_distance_values_subs,Subrates!$D$5,FALSE)</f>
        <v>4.6396214848157348E-2</v>
      </c>
      <c r="L167" s="346">
        <f>I167*VLOOKUP(J167,Long_distance_values_subs,Subrates!$H$5,FALSE)*K167</f>
        <v>0</v>
      </c>
      <c r="M167" s="81">
        <f t="shared" si="197"/>
        <v>50</v>
      </c>
      <c r="N167" s="345">
        <f t="shared" si="201"/>
        <v>0</v>
      </c>
      <c r="O167" s="122">
        <f t="shared" si="202"/>
        <v>0</v>
      </c>
      <c r="P167" s="291"/>
      <c r="Q167" s="122">
        <f t="shared" si="198"/>
        <v>0</v>
      </c>
      <c r="R167" s="1279">
        <f t="shared" si="203"/>
        <v>0</v>
      </c>
      <c r="S167" s="217"/>
      <c r="T167" s="294"/>
      <c r="U167" s="294"/>
      <c r="V167" s="294"/>
      <c r="W167" s="294"/>
      <c r="X167" s="294"/>
      <c r="Y167" s="295"/>
      <c r="Z167" s="434"/>
      <c r="AA167" s="434"/>
      <c r="AB167" s="495"/>
      <c r="AC167" s="495"/>
      <c r="AH167" s="495"/>
      <c r="AI167" s="495"/>
      <c r="AJ167" s="495"/>
      <c r="AK167" s="495"/>
    </row>
    <row r="168" spans="2:45" s="520" customFormat="1" ht="15">
      <c r="B168" s="301"/>
      <c r="C168" s="1266">
        <f t="shared" si="199"/>
        <v>4</v>
      </c>
      <c r="D168" s="168"/>
      <c r="E168" s="316"/>
      <c r="F168" s="77"/>
      <c r="G168" s="1278" t="str">
        <f>Lists!$B$15</f>
        <v>Clay</v>
      </c>
      <c r="H168" s="1280">
        <f t="shared" si="196"/>
        <v>0</v>
      </c>
      <c r="I168" s="1280">
        <f t="shared" si="200"/>
        <v>0</v>
      </c>
      <c r="J168" s="77" t="s">
        <v>485</v>
      </c>
      <c r="K168" s="81">
        <f>VLOOKUP(J168,Long_distance_values_subs,Subrates!$D$5,FALSE)</f>
        <v>4.6396214848157348E-2</v>
      </c>
      <c r="L168" s="346">
        <f>I168*VLOOKUP(J168,Long_distance_values_subs,Subrates!$H$5,FALSE)*K168</f>
        <v>0</v>
      </c>
      <c r="M168" s="81">
        <f t="shared" si="197"/>
        <v>50</v>
      </c>
      <c r="N168" s="345">
        <f t="shared" si="201"/>
        <v>0</v>
      </c>
      <c r="O168" s="122">
        <f t="shared" si="202"/>
        <v>0</v>
      </c>
      <c r="P168" s="291"/>
      <c r="Q168" s="122">
        <f t="shared" si="198"/>
        <v>0</v>
      </c>
      <c r="R168" s="1279">
        <f t="shared" si="203"/>
        <v>0</v>
      </c>
      <c r="S168" s="217"/>
      <c r="T168" s="294"/>
      <c r="U168" s="294"/>
      <c r="V168" s="294"/>
      <c r="W168" s="294"/>
      <c r="X168" s="294"/>
      <c r="Y168" s="295"/>
      <c r="Z168" s="434"/>
      <c r="AA168" s="434"/>
      <c r="AB168" s="495"/>
      <c r="AC168" s="495"/>
      <c r="AH168" s="495"/>
      <c r="AI168" s="495"/>
      <c r="AJ168" s="495"/>
      <c r="AK168" s="495"/>
    </row>
    <row r="169" spans="2:45" s="520" customFormat="1" ht="15">
      <c r="B169" s="301"/>
      <c r="C169" s="1266">
        <f t="shared" si="199"/>
        <v>5</v>
      </c>
      <c r="D169" s="168"/>
      <c r="E169" s="316"/>
      <c r="F169" s="77"/>
      <c r="G169" s="1278" t="str">
        <f>Lists!$B$15</f>
        <v>Clay</v>
      </c>
      <c r="H169" s="1280">
        <f t="shared" si="196"/>
        <v>0</v>
      </c>
      <c r="I169" s="1280">
        <f t="shared" si="200"/>
        <v>0</v>
      </c>
      <c r="J169" s="77" t="s">
        <v>485</v>
      </c>
      <c r="K169" s="81">
        <f>VLOOKUP(J169,Long_distance_values_subs,Subrates!$D$5,FALSE)</f>
        <v>4.6396214848157348E-2</v>
      </c>
      <c r="L169" s="346">
        <f>I169*VLOOKUP(J169,Long_distance_values_subs,Subrates!$H$5,FALSE)*K169</f>
        <v>0</v>
      </c>
      <c r="M169" s="81">
        <f t="shared" si="197"/>
        <v>50</v>
      </c>
      <c r="N169" s="345">
        <f t="shared" si="201"/>
        <v>0</v>
      </c>
      <c r="O169" s="122">
        <f t="shared" si="202"/>
        <v>0</v>
      </c>
      <c r="P169" s="291"/>
      <c r="Q169" s="122">
        <f t="shared" si="198"/>
        <v>0</v>
      </c>
      <c r="R169" s="1279">
        <f t="shared" si="203"/>
        <v>0</v>
      </c>
      <c r="S169" s="217"/>
      <c r="T169" s="294"/>
      <c r="U169" s="294"/>
      <c r="V169" s="294"/>
      <c r="W169" s="294"/>
      <c r="X169" s="294"/>
      <c r="Y169" s="295"/>
      <c r="Z169" s="434"/>
      <c r="AA169" s="434"/>
      <c r="AB169" s="495"/>
      <c r="AC169" s="495"/>
      <c r="AH169" s="495"/>
      <c r="AI169" s="495"/>
      <c r="AJ169" s="495"/>
      <c r="AK169" s="495"/>
    </row>
    <row r="170" spans="2:45" s="520" customFormat="1" ht="15">
      <c r="B170" s="301"/>
      <c r="C170" s="1266">
        <f t="shared" si="199"/>
        <v>6</v>
      </c>
      <c r="D170" s="168"/>
      <c r="E170" s="316"/>
      <c r="F170" s="77"/>
      <c r="G170" s="1278" t="str">
        <f>Lists!$B$15</f>
        <v>Clay</v>
      </c>
      <c r="H170" s="1280">
        <f t="shared" si="196"/>
        <v>0</v>
      </c>
      <c r="I170" s="1280">
        <f t="shared" si="200"/>
        <v>0</v>
      </c>
      <c r="J170" s="77" t="s">
        <v>485</v>
      </c>
      <c r="K170" s="81">
        <f>VLOOKUP(J170,Long_distance_values_subs,Subrates!$D$5,FALSE)</f>
        <v>4.6396214848157348E-2</v>
      </c>
      <c r="L170" s="346">
        <f>I170*VLOOKUP(J170,Long_distance_values_subs,Subrates!$H$5,FALSE)*K170</f>
        <v>0</v>
      </c>
      <c r="M170" s="81">
        <f t="shared" si="197"/>
        <v>50</v>
      </c>
      <c r="N170" s="345">
        <f t="shared" si="201"/>
        <v>0</v>
      </c>
      <c r="O170" s="122">
        <f t="shared" si="202"/>
        <v>0</v>
      </c>
      <c r="P170" s="291"/>
      <c r="Q170" s="122">
        <f t="shared" si="198"/>
        <v>0</v>
      </c>
      <c r="R170" s="1279">
        <f t="shared" si="203"/>
        <v>0</v>
      </c>
      <c r="S170" s="217"/>
      <c r="T170" s="294"/>
      <c r="U170" s="294"/>
      <c r="V170" s="294"/>
      <c r="W170" s="294"/>
      <c r="X170" s="294"/>
      <c r="Y170" s="295"/>
      <c r="Z170" s="434"/>
      <c r="AA170" s="434"/>
      <c r="AB170" s="495"/>
      <c r="AC170" s="495"/>
      <c r="AH170" s="495"/>
      <c r="AI170" s="495"/>
      <c r="AJ170" s="495"/>
      <c r="AK170" s="495"/>
    </row>
    <row r="171" spans="2:45" s="520" customFormat="1" ht="15">
      <c r="B171" s="301"/>
      <c r="C171" s="1266">
        <f t="shared" si="199"/>
        <v>7</v>
      </c>
      <c r="D171" s="168"/>
      <c r="E171" s="316"/>
      <c r="F171" s="77"/>
      <c r="G171" s="1278" t="str">
        <f>Lists!$B$15</f>
        <v>Clay</v>
      </c>
      <c r="H171" s="1280">
        <f t="shared" si="196"/>
        <v>0</v>
      </c>
      <c r="I171" s="1280">
        <f t="shared" si="200"/>
        <v>0</v>
      </c>
      <c r="J171" s="77" t="s">
        <v>485</v>
      </c>
      <c r="K171" s="81">
        <f>VLOOKUP(J171,Long_distance_values_subs,Subrates!$D$5,FALSE)</f>
        <v>4.6396214848157348E-2</v>
      </c>
      <c r="L171" s="346">
        <f>I171*VLOOKUP(J171,Long_distance_values_subs,Subrates!$H$5,FALSE)*K171</f>
        <v>0</v>
      </c>
      <c r="M171" s="81">
        <f t="shared" si="197"/>
        <v>50</v>
      </c>
      <c r="N171" s="345">
        <f t="shared" si="201"/>
        <v>0</v>
      </c>
      <c r="O171" s="122">
        <f t="shared" si="202"/>
        <v>0</v>
      </c>
      <c r="P171" s="291"/>
      <c r="Q171" s="122">
        <f t="shared" si="198"/>
        <v>0</v>
      </c>
      <c r="R171" s="1279">
        <f t="shared" si="203"/>
        <v>0</v>
      </c>
      <c r="S171" s="217"/>
      <c r="T171" s="294"/>
      <c r="U171" s="294"/>
      <c r="V171" s="294"/>
      <c r="W171" s="294"/>
      <c r="X171" s="294"/>
      <c r="Y171" s="295"/>
      <c r="Z171" s="434"/>
      <c r="AA171" s="434"/>
      <c r="AB171" s="495"/>
      <c r="AC171" s="495"/>
      <c r="AH171" s="495"/>
      <c r="AI171" s="495"/>
      <c r="AJ171" s="495"/>
      <c r="AK171" s="495"/>
    </row>
    <row r="172" spans="2:45" s="520" customFormat="1" ht="15">
      <c r="B172" s="301"/>
      <c r="C172" s="1266">
        <f t="shared" si="199"/>
        <v>8</v>
      </c>
      <c r="D172" s="168"/>
      <c r="E172" s="316"/>
      <c r="F172" s="77"/>
      <c r="G172" s="1278" t="str">
        <f>Lists!$B$15</f>
        <v>Clay</v>
      </c>
      <c r="H172" s="1280">
        <f t="shared" si="196"/>
        <v>0</v>
      </c>
      <c r="I172" s="1280">
        <f t="shared" si="200"/>
        <v>0</v>
      </c>
      <c r="J172" s="77" t="s">
        <v>485</v>
      </c>
      <c r="K172" s="81">
        <f>VLOOKUP(J172,Long_distance_values_subs,Subrates!$D$5,FALSE)</f>
        <v>4.6396214848157348E-2</v>
      </c>
      <c r="L172" s="346">
        <f>I172*VLOOKUP(J172,Long_distance_values_subs,Subrates!$H$5,FALSE)*K172</f>
        <v>0</v>
      </c>
      <c r="M172" s="81">
        <f t="shared" si="197"/>
        <v>50</v>
      </c>
      <c r="N172" s="345">
        <f t="shared" si="201"/>
        <v>0</v>
      </c>
      <c r="O172" s="122">
        <f t="shared" si="202"/>
        <v>0</v>
      </c>
      <c r="P172" s="291"/>
      <c r="Q172" s="122">
        <f t="shared" si="198"/>
        <v>0</v>
      </c>
      <c r="R172" s="1279">
        <f t="shared" si="203"/>
        <v>0</v>
      </c>
      <c r="S172" s="217"/>
      <c r="T172" s="294"/>
      <c r="U172" s="294"/>
      <c r="V172" s="294"/>
      <c r="W172" s="294"/>
      <c r="X172" s="294"/>
      <c r="Y172" s="295"/>
      <c r="Z172" s="434"/>
      <c r="AA172" s="434"/>
      <c r="AB172" s="495"/>
      <c r="AC172" s="495"/>
      <c r="AH172" s="495"/>
      <c r="AI172" s="495"/>
      <c r="AJ172" s="495"/>
      <c r="AK172" s="495"/>
    </row>
    <row r="173" spans="2:45" s="520" customFormat="1" ht="15">
      <c r="B173" s="301"/>
      <c r="C173" s="1266">
        <f t="shared" si="199"/>
        <v>9</v>
      </c>
      <c r="D173" s="168"/>
      <c r="E173" s="316"/>
      <c r="F173" s="77"/>
      <c r="G173" s="1278" t="str">
        <f>Lists!$B$15</f>
        <v>Clay</v>
      </c>
      <c r="H173" s="1280">
        <f t="shared" si="196"/>
        <v>0</v>
      </c>
      <c r="I173" s="1280">
        <f t="shared" si="200"/>
        <v>0</v>
      </c>
      <c r="J173" s="77" t="s">
        <v>485</v>
      </c>
      <c r="K173" s="81">
        <f>VLOOKUP(J173,Long_distance_values_subs,Subrates!$D$5,FALSE)</f>
        <v>4.6396214848157348E-2</v>
      </c>
      <c r="L173" s="346">
        <f>I173*VLOOKUP(J173,Long_distance_values_subs,Subrates!$H$5,FALSE)*K173</f>
        <v>0</v>
      </c>
      <c r="M173" s="81">
        <f t="shared" si="197"/>
        <v>50</v>
      </c>
      <c r="N173" s="345">
        <f t="shared" si="201"/>
        <v>0</v>
      </c>
      <c r="O173" s="122">
        <f t="shared" si="202"/>
        <v>0</v>
      </c>
      <c r="P173" s="291"/>
      <c r="Q173" s="122">
        <f t="shared" si="198"/>
        <v>0</v>
      </c>
      <c r="R173" s="1279">
        <f t="shared" si="203"/>
        <v>0</v>
      </c>
      <c r="S173" s="217"/>
      <c r="T173" s="294"/>
      <c r="U173" s="294"/>
      <c r="V173" s="294"/>
      <c r="W173" s="294"/>
      <c r="X173" s="294"/>
      <c r="Y173" s="295"/>
      <c r="Z173" s="434"/>
      <c r="AA173" s="434"/>
      <c r="AB173" s="495"/>
      <c r="AC173" s="495"/>
      <c r="AH173" s="495"/>
      <c r="AI173" s="495"/>
      <c r="AJ173" s="495"/>
      <c r="AK173" s="495"/>
    </row>
    <row r="174" spans="2:45" s="520" customFormat="1" ht="15">
      <c r="B174" s="301"/>
      <c r="C174" s="1266">
        <f t="shared" si="199"/>
        <v>10</v>
      </c>
      <c r="D174" s="168"/>
      <c r="E174" s="316"/>
      <c r="F174" s="77"/>
      <c r="G174" s="1278" t="str">
        <f>Lists!$B$15</f>
        <v>Clay</v>
      </c>
      <c r="H174" s="1280">
        <f t="shared" si="196"/>
        <v>0</v>
      </c>
      <c r="I174" s="1280">
        <f t="shared" si="200"/>
        <v>0</v>
      </c>
      <c r="J174" s="77" t="s">
        <v>485</v>
      </c>
      <c r="K174" s="81">
        <f>VLOOKUP(J174,Long_distance_values_subs,Subrates!$D$5,FALSE)</f>
        <v>4.6396214848157348E-2</v>
      </c>
      <c r="L174" s="346">
        <f>I174*VLOOKUP(J174,Long_distance_values_subs,Subrates!$H$5,FALSE)*K174</f>
        <v>0</v>
      </c>
      <c r="M174" s="81">
        <f t="shared" si="197"/>
        <v>50</v>
      </c>
      <c r="N174" s="345">
        <f t="shared" si="201"/>
        <v>0</v>
      </c>
      <c r="O174" s="122">
        <f t="shared" si="202"/>
        <v>0</v>
      </c>
      <c r="P174" s="291"/>
      <c r="Q174" s="122">
        <f t="shared" si="198"/>
        <v>0</v>
      </c>
      <c r="R174" s="1279">
        <f t="shared" si="203"/>
        <v>0</v>
      </c>
      <c r="S174" s="217"/>
      <c r="T174" s="294"/>
      <c r="U174" s="294"/>
      <c r="V174" s="294"/>
      <c r="W174" s="294"/>
      <c r="X174" s="294"/>
      <c r="Y174" s="295"/>
      <c r="Z174" s="434"/>
      <c r="AA174" s="434"/>
      <c r="AB174" s="495"/>
      <c r="AC174" s="495"/>
      <c r="AH174" s="495"/>
      <c r="AI174" s="495"/>
      <c r="AJ174" s="495"/>
      <c r="AK174" s="495"/>
    </row>
    <row r="175" spans="2:45" ht="18" customHeight="1">
      <c r="B175" s="286" t="s">
        <v>26</v>
      </c>
      <c r="E175" s="795"/>
      <c r="F175" s="1040"/>
      <c r="G175" s="475"/>
      <c r="H175" s="475"/>
      <c r="I175" s="475"/>
      <c r="J175" s="475"/>
      <c r="K175" s="475"/>
      <c r="L175" s="475"/>
      <c r="M175" s="434"/>
      <c r="N175" s="434"/>
      <c r="O175" s="1105"/>
      <c r="P175" s="1105"/>
      <c r="Q175" s="953"/>
      <c r="R175" s="434"/>
      <c r="T175" s="434"/>
      <c r="U175" s="434"/>
      <c r="V175" s="434"/>
      <c r="W175" s="434"/>
      <c r="X175" s="434"/>
      <c r="Y175" s="434"/>
      <c r="Z175" s="434"/>
      <c r="AA175" s="434"/>
      <c r="AB175" s="434"/>
      <c r="AC175" s="434"/>
      <c r="AH175" s="434"/>
      <c r="AI175" s="434"/>
      <c r="AJ175" s="434"/>
      <c r="AK175" s="434"/>
    </row>
    <row r="176" spans="2:45" ht="18" customHeight="1">
      <c r="D176" s="848" t="s">
        <v>2467</v>
      </c>
      <c r="E176" s="329">
        <f>SUM(E164:E175)</f>
        <v>0</v>
      </c>
      <c r="F176" s="1040"/>
      <c r="H176" s="1281">
        <f t="shared" ref="H176:I176" si="204">SUM(H164:H175)</f>
        <v>0</v>
      </c>
      <c r="I176" s="1281">
        <f t="shared" si="204"/>
        <v>0</v>
      </c>
      <c r="J176" s="475"/>
      <c r="K176" s="434"/>
      <c r="L176" s="1020">
        <f t="shared" ref="L176:N176" si="205">SUM(L164:L175)</f>
        <v>0</v>
      </c>
      <c r="M176" s="434"/>
      <c r="N176" s="1020">
        <f t="shared" si="205"/>
        <v>0</v>
      </c>
      <c r="O176" s="1248">
        <f>SUM(O164:O175)</f>
        <v>0</v>
      </c>
      <c r="P176" s="1268">
        <f t="shared" ref="P176" si="206">SUM(P164:P175)</f>
        <v>0</v>
      </c>
      <c r="Q176" s="1248">
        <f t="shared" ref="Q176" si="207">SUM(Q164:Q175)</f>
        <v>0</v>
      </c>
      <c r="R176" s="882">
        <f>IF(I176=0,0,Q176/I176)</f>
        <v>0</v>
      </c>
      <c r="S176" s="475" t="s">
        <v>34</v>
      </c>
      <c r="T176" s="434"/>
      <c r="U176" s="434"/>
      <c r="V176" s="434"/>
      <c r="W176" s="434"/>
      <c r="X176" s="434"/>
      <c r="Y176" s="434"/>
      <c r="Z176" s="434"/>
      <c r="AA176" s="434"/>
      <c r="AB176" s="434"/>
      <c r="AC176" s="434"/>
      <c r="AH176" s="434"/>
      <c r="AI176" s="434"/>
      <c r="AJ176" s="434"/>
      <c r="AK176" s="434"/>
    </row>
    <row r="177" spans="3:42" ht="12.75">
      <c r="C177" s="434"/>
      <c r="H177" s="475"/>
      <c r="I177" s="475"/>
      <c r="J177" s="434"/>
      <c r="K177" s="434"/>
      <c r="L177" s="434"/>
      <c r="M177" s="434"/>
      <c r="N177" s="434"/>
      <c r="O177" s="434"/>
      <c r="P177" s="434"/>
      <c r="Q177" s="434"/>
      <c r="R177" s="1273">
        <f>IF(E176=0,0,Q176/E176)</f>
        <v>0</v>
      </c>
      <c r="S177" s="475" t="s">
        <v>28</v>
      </c>
      <c r="T177" s="434"/>
      <c r="U177" s="434"/>
      <c r="V177" s="434"/>
      <c r="W177" s="434"/>
      <c r="X177" s="434"/>
      <c r="Y177" s="434"/>
      <c r="Z177" s="434"/>
      <c r="AA177" s="434"/>
      <c r="AB177" s="434"/>
      <c r="AC177" s="434"/>
      <c r="AD177" s="434"/>
      <c r="AE177" s="434"/>
      <c r="AF177" s="434"/>
      <c r="AG177" s="434"/>
      <c r="AH177" s="434"/>
      <c r="AI177" s="434"/>
      <c r="AJ177" s="434"/>
      <c r="AK177" s="434"/>
      <c r="AL177" s="434"/>
      <c r="AM177" s="434"/>
      <c r="AN177" s="434"/>
      <c r="AO177" s="434"/>
      <c r="AP177" s="434"/>
    </row>
    <row r="178" spans="3:42" ht="12.75">
      <c r="M178" s="434"/>
      <c r="N178" s="475"/>
    </row>
    <row r="179" spans="3:42" ht="12.75">
      <c r="M179" s="434"/>
      <c r="N179" s="475"/>
    </row>
    <row r="180" spans="3:42" ht="12.75">
      <c r="N180" s="434"/>
    </row>
  </sheetData>
  <sheetProtection algorithmName="SHA-512" hashValue="i2D/e6gVi7+nsbqjWRhASzujaszYNq2MZiiy6FhKKuqYzW109DWPCintbLsk/MIwBskQiNpeNrpTcj14iUAguw==" saltValue="tcu8sHAQ70K5nfs7dO05iw==" spinCount="100000" sheet="1" objects="1" scenarios="1" autoFilter="0"/>
  <phoneticPr fontId="15" type="noConversion"/>
  <conditionalFormatting sqref="B42:S42">
    <cfRule type="containsText" dxfId="52" priority="185" operator="containsText" text="No Alert">
      <formula>NOT(ISERROR(SEARCH("No Alert",B42)))</formula>
    </cfRule>
    <cfRule type="containsText" dxfId="51" priority="186" operator="containsText" text="Enter">
      <formula>NOT(ISERROR(SEARCH("Enter",B42)))</formula>
    </cfRule>
  </conditionalFormatting>
  <conditionalFormatting sqref="H148">
    <cfRule type="containsText" dxfId="50" priority="41" operator="containsText" text="Enter">
      <formula>NOT(ISERROR(SEARCH("Enter",H148)))</formula>
    </cfRule>
    <cfRule type="containsText" dxfId="49" priority="40" operator="containsText" text="ok">
      <formula>NOT(ISERROR(SEARCH("ok",H148)))</formula>
    </cfRule>
  </conditionalFormatting>
  <conditionalFormatting sqref="J149:J158">
    <cfRule type="containsText" dxfId="48" priority="54" operator="containsText" text="Long">
      <formula>NOT(ISERROR(SEARCH("Long",J149)))</formula>
    </cfRule>
  </conditionalFormatting>
  <conditionalFormatting sqref="M25:T25">
    <cfRule type="containsText" dxfId="47" priority="12" operator="containsText" text="No Alert">
      <formula>NOT(ISERROR(SEARCH("No Alert",M25)))</formula>
    </cfRule>
    <cfRule type="containsText" dxfId="46" priority="13" operator="containsText" text="Enter">
      <formula>NOT(ISERROR(SEARCH("Enter",M25)))</formula>
    </cfRule>
  </conditionalFormatting>
  <conditionalFormatting sqref="N45:V45">
    <cfRule type="containsText" dxfId="45" priority="10" operator="containsText" text="No Alert">
      <formula>NOT(ISERROR(SEARCH("No Alert",N45)))</formula>
    </cfRule>
    <cfRule type="containsText" dxfId="44" priority="11" operator="containsText" text="Enter">
      <formula>NOT(ISERROR(SEARCH("Enter",N45)))</formula>
    </cfRule>
  </conditionalFormatting>
  <conditionalFormatting sqref="N106:V106">
    <cfRule type="containsText" dxfId="43" priority="4" operator="containsText" text="No Alert">
      <formula>NOT(ISERROR(SEARCH("No Alert",N106)))</formula>
    </cfRule>
    <cfRule type="containsText" dxfId="42" priority="5" operator="containsText" text="Enter">
      <formula>NOT(ISERROR(SEARCH("Enter",N106)))</formula>
    </cfRule>
  </conditionalFormatting>
  <conditionalFormatting sqref="Q5:Y5">
    <cfRule type="containsText" dxfId="41" priority="14" operator="containsText" text="No Alert">
      <formula>NOT(ISERROR(SEARCH("No Alert",Q5)))</formula>
    </cfRule>
    <cfRule type="containsText" dxfId="40" priority="15" operator="containsText" text="Enter">
      <formula>NOT(ISERROR(SEARCH("Enter",Q5)))</formula>
    </cfRule>
  </conditionalFormatting>
  <conditionalFormatting sqref="Q8:Y8 AD12:AD21 M28:T28 W32:W41 N48:V48 X52:X61 Q68:AB68 AD72:AD81 R89:AD89 AF93:AF102 N109:V109 X113:X122 Q132:Q141 R149:R158 P165:P174">
    <cfRule type="cellIs" dxfId="39" priority="2" operator="notEqual">
      <formula>""</formula>
    </cfRule>
  </conditionalFormatting>
  <conditionalFormatting sqref="Q65:AB65">
    <cfRule type="containsText" dxfId="38" priority="8" operator="containsText" text="No Alert">
      <formula>NOT(ISERROR(SEARCH("No Alert",Q65)))</formula>
    </cfRule>
    <cfRule type="containsText" dxfId="37" priority="9" operator="containsText" text="Enter">
      <formula>NOT(ISERROR(SEARCH("Enter",Q65)))</formula>
    </cfRule>
  </conditionalFormatting>
  <conditionalFormatting sqref="R177">
    <cfRule type="containsText" dxfId="36" priority="153" operator="containsText" text="No Alert">
      <formula>NOT(ISERROR(SEARCH("No Alert",R177)))</formula>
    </cfRule>
    <cfRule type="containsText" dxfId="35" priority="154" operator="containsText" text="Enter">
      <formula>NOT(ISERROR(SEARCH("Enter",R177)))</formula>
    </cfRule>
  </conditionalFormatting>
  <conditionalFormatting sqref="R86:AD86">
    <cfRule type="containsText" dxfId="34" priority="6" operator="containsText" text="No Alert">
      <formula>NOT(ISERROR(SEARCH("No Alert",R86)))</formula>
    </cfRule>
    <cfRule type="containsText" dxfId="33" priority="7" operator="containsText" text="Enter">
      <formula>NOT(ISERROR(SEARCH("Enter",R86)))</formula>
    </cfRule>
  </conditionalFormatting>
  <conditionalFormatting sqref="S143">
    <cfRule type="containsText" dxfId="32" priority="157" operator="containsText" text="ok">
      <formula>NOT(ISERROR(SEARCH("ok",S143)))</formula>
    </cfRule>
    <cfRule type="containsText" dxfId="31" priority="158" operator="containsText" text="Enter">
      <formula>NOT(ISERROR(SEARCH("Enter",S143)))</formula>
    </cfRule>
  </conditionalFormatting>
  <conditionalFormatting sqref="S165:Y174">
    <cfRule type="expression" dxfId="30" priority="16">
      <formula>$P165&lt;&gt;""</formula>
    </cfRule>
  </conditionalFormatting>
  <conditionalFormatting sqref="S132:Z141">
    <cfRule type="expression" dxfId="29" priority="18">
      <formula>$Q132&lt;&gt;""</formula>
    </cfRule>
  </conditionalFormatting>
  <conditionalFormatting sqref="T160">
    <cfRule type="containsText" dxfId="28" priority="101" operator="containsText" text="ok">
      <formula>NOT(ISERROR(SEARCH("ok",T160)))</formula>
    </cfRule>
    <cfRule type="containsText" dxfId="27" priority="102" operator="containsText" text="Enter">
      <formula>NOT(ISERROR(SEARCH("Enter",T160)))</formula>
    </cfRule>
  </conditionalFormatting>
  <conditionalFormatting sqref="T149:AA158">
    <cfRule type="expression" dxfId="26" priority="634">
      <formula>$R149&lt;&gt;""</formula>
    </cfRule>
    <cfRule type="expression" dxfId="25" priority="633">
      <formula>#REF!&lt;&gt;""</formula>
    </cfRule>
  </conditionalFormatting>
  <conditionalFormatting sqref="V42:Y42">
    <cfRule type="containsText" dxfId="24" priority="177" operator="containsText" text="ok">
      <formula>NOT(ISERROR(SEARCH("ok",V42)))</formula>
    </cfRule>
    <cfRule type="containsText" dxfId="23" priority="178" operator="containsText" text="Enter">
      <formula>NOT(ISERROR(SEARCH("Enter",V42)))</formula>
    </cfRule>
  </conditionalFormatting>
  <conditionalFormatting sqref="Y32:AF41">
    <cfRule type="expression" dxfId="22" priority="23">
      <formula>$W32&lt;&gt;""</formula>
    </cfRule>
  </conditionalFormatting>
  <conditionalFormatting sqref="Z52:AG61">
    <cfRule type="expression" dxfId="21" priority="22">
      <formula>$X52&lt;&gt;""</formula>
    </cfRule>
  </conditionalFormatting>
  <conditionalFormatting sqref="Z113:AG122">
    <cfRule type="expression" dxfId="20" priority="19">
      <formula>$X113&lt;&gt;""</formula>
    </cfRule>
  </conditionalFormatting>
  <conditionalFormatting sqref="AF12:AM21">
    <cfRule type="expression" dxfId="19" priority="24">
      <formula>$AD12&lt;&gt;""</formula>
    </cfRule>
  </conditionalFormatting>
  <conditionalFormatting sqref="AF72:AM81">
    <cfRule type="expression" dxfId="18" priority="21">
      <formula>$AD72&lt;&gt;""</formula>
    </cfRule>
  </conditionalFormatting>
  <conditionalFormatting sqref="AH93:AO102">
    <cfRule type="expression" dxfId="17" priority="20">
      <formula>$AF93&lt;&gt;""</formula>
    </cfRule>
  </conditionalFormatting>
  <dataValidations count="12">
    <dataValidation allowBlank="1" showInputMessage="1" showErrorMessage="1" prompt="Rates for Existing Rehabilitation repair (minor, moderate, major) can be used for subsidence repair.  However, significant issues in third-party land may require a specific quote." sqref="M10" xr:uid="{00000000-0002-0000-1000-000010000000}"/>
    <dataValidation type="list" allowBlank="1" showInputMessage="1" showErrorMessage="1" sqref="K132:K141 K149:K158 J165:J174" xr:uid="{4C75AE88-5C45-42FE-BA89-E991C47B6C0C}">
      <formula1>Long_distance</formula1>
    </dataValidation>
    <dataValidation type="list" allowBlank="1" showInputMessage="1" showErrorMessage="1" sqref="F132:F141" xr:uid="{E2A2BA79-7DF4-45C1-B198-A32E0FA85276}">
      <formula1>Amendments</formula1>
    </dataValidation>
    <dataValidation type="whole" allowBlank="1" showInputMessage="1" showErrorMessage="1" sqref="E113:M122" xr:uid="{1ACB0004-81F6-4800-80AF-66CA6D7C5142}">
      <formula1>0</formula1>
      <formula2>10000</formula2>
    </dataValidation>
    <dataValidation type="list" allowBlank="1" showInputMessage="1" showErrorMessage="1" sqref="J149:J158" xr:uid="{F9874F0A-372C-4137-B43C-40A942B83C4D}">
      <formula1>LongHaul</formula1>
    </dataValidation>
    <dataValidation allowBlank="1" showInputMessage="1" showErrorMessage="1" prompt="Select fleet size for growth media haulage." sqref="G147" xr:uid="{7E01DB86-CE50-4700-AEE3-ADB399B0FE8B}"/>
    <dataValidation allowBlank="1" showInputMessage="1" showErrorMessage="1" prompt="Select haulage distance for growth media." sqref="F147" xr:uid="{CE3B8C7B-6777-4B75-BF7A-448800ABAC14}"/>
    <dataValidation type="list" allowBlank="1" showInputMessage="1" showErrorMessage="1" sqref="F149:F158" xr:uid="{C68FC7F3-7105-4D2A-8E9F-23AA74624678}">
      <formula1>Load_and_Haul</formula1>
    </dataValidation>
    <dataValidation allowBlank="1" showInputMessage="1" showErrorMessage="1" prompt="This is set to zero if a User Growth Media Delivered to Site is entered" sqref="M147 O147" xr:uid="{D817B7B1-1602-4B52-ADB4-88E22721F71E}"/>
    <dataValidation allowBlank="1" showInputMessage="1" showErrorMessage="1" prompt="This is set to zero if long haul is selected or User entered price delivered is entered." sqref="I147" xr:uid="{08172AFE-494A-42C1-BE18-68B390839E15}"/>
    <dataValidation allowBlank="1" showInputMessage="1" showErrorMessage="1" prompt="If a value is entered, the User must provide justification at end of the row." sqref="R147" xr:uid="{08E99E04-9DE3-4FF5-B4CA-B37DCF506793}"/>
    <dataValidation type="list" allowBlank="1" showInputMessage="1" showErrorMessage="1" sqref="G149:G158" xr:uid="{E2D3C455-90E5-46E0-BE42-D3A010B91F9F}">
      <formula1>Load_haul_fleet_sm1ml</formula1>
    </dataValidation>
  </dataValidations>
  <hyperlinks>
    <hyperlink ref="B29" location="'14. General Land Rehabilitation'!B6" display="Top" xr:uid="{9DF71E04-EE9B-4192-A9CA-184022F79D1D}"/>
    <hyperlink ref="B49" location="'14. General Land Rehabilitation'!B6" display="Top" xr:uid="{444D1E37-4D1B-4550-92EC-735B1851879E}"/>
    <hyperlink ref="B69" location="'14. General Land Rehabilitation'!B6" display="Top" xr:uid="{344A91F8-1D00-4C0E-8AA7-EF0A7BE19B27}"/>
    <hyperlink ref="B90" location="'14. General Land Rehabilitation'!B6" display="Top" xr:uid="{3176D489-11CB-4A29-829A-F212B7E4FB38}"/>
    <hyperlink ref="B110" location="'14. General Land Rehabilitation'!B6" display="Top" xr:uid="{55FFF92E-ACE6-4D86-B9AF-0909A0A35947}"/>
    <hyperlink ref="B129" location="'14. General Land Rehabilitation'!B6" display="Top" xr:uid="{F061EF58-5475-4A01-92F5-538161E8B281}"/>
    <hyperlink ref="B146" location="'14. General Land Rehabilitation'!B6" display="Top" xr:uid="{A776D301-8206-4A3C-8F5A-6D2DA334A8FF}"/>
    <hyperlink ref="B162" location="'14. General Land Rehabilitation'!B6" display="Top" xr:uid="{47315E01-3EEB-4C3D-A101-48147026BCB6}"/>
    <hyperlink ref="B175" location="'14. General Land Rehabilitation'!B6" display="Top" xr:uid="{7AA1BA98-A3DA-412C-812B-7CCE44B8444D}"/>
    <hyperlink ref="H148" location="Subrates!B7" display="Subrates!B7" xr:uid="{D375F1E8-95A4-4728-9B27-83AF5B727ABC}"/>
    <hyperlink ref="N148" location="Subrates_Table_8" display="Subrates_Table_8" xr:uid="{36DD5D3C-C2B2-479D-A682-BBF4BF34E9CB}"/>
    <hyperlink ref="L148" location="Subrates_Table_9" display="Subrates_Table_9" xr:uid="{6BFADE52-B124-47B0-AE55-82C083BCB725}"/>
    <hyperlink ref="B2" location="CONTENTS!A1" display="Contents" xr:uid="{A062BAAD-3DC5-4755-AC79-9CD71019CC86}"/>
    <hyperlink ref="L131" location="Subrates_Table_9" display="Subrates_Table_9" xr:uid="{1A2D4434-F73B-4DDB-9BF7-8330D13A93E4}"/>
  </hyperlinks>
  <pageMargins left="0.7" right="0.7"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3">
    <tabColor theme="9" tint="-0.249977111117893"/>
  </sheetPr>
  <dimension ref="A1:J68"/>
  <sheetViews>
    <sheetView showGridLines="0" zoomScaleNormal="100" zoomScaleSheetLayoutView="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10" style="474" customWidth="1"/>
    <col min="4" max="4" width="76.28515625" style="474" customWidth="1"/>
    <col min="5" max="5" width="18.7109375" style="474" customWidth="1"/>
    <col min="6" max="8" width="18.7109375" style="475" customWidth="1"/>
    <col min="9" max="9" width="101.7109375" style="475" customWidth="1"/>
    <col min="10" max="16384" width="9" style="475"/>
  </cols>
  <sheetData>
    <row r="1" spans="1:10" ht="14.25">
      <c r="B1" s="433" t="s">
        <v>0</v>
      </c>
      <c r="C1" s="433"/>
      <c r="D1" s="734"/>
      <c r="I1" s="474"/>
    </row>
    <row r="2" spans="1:10" ht="18" customHeight="1">
      <c r="B2" s="286" t="s">
        <v>256</v>
      </c>
      <c r="C2" s="1285" t="s">
        <v>2555</v>
      </c>
      <c r="D2" s="1286"/>
      <c r="E2" s="1286"/>
      <c r="F2" s="1286"/>
      <c r="G2" s="1286"/>
      <c r="H2" s="1286"/>
      <c r="I2" s="1286"/>
    </row>
    <row r="3" spans="1:10" ht="18" customHeight="1">
      <c r="B3" s="644">
        <f>H27+H64</f>
        <v>0</v>
      </c>
      <c r="C3" s="736" t="s">
        <v>1516</v>
      </c>
    </row>
    <row r="4" spans="1:10" ht="18" customHeight="1">
      <c r="B4" s="738">
        <f>Summary!$G$122</f>
        <v>0</v>
      </c>
      <c r="C4" s="736" t="s">
        <v>1484</v>
      </c>
    </row>
    <row r="5" spans="1:10" ht="147.75" customHeight="1">
      <c r="C5" s="475"/>
      <c r="D5" s="475"/>
      <c r="E5" s="475"/>
    </row>
    <row r="6" spans="1:10" ht="18" customHeight="1">
      <c r="C6" s="475"/>
      <c r="D6" s="475"/>
      <c r="E6" s="1104"/>
      <c r="G6" s="1032"/>
      <c r="H6" s="1104"/>
      <c r="I6" s="474"/>
    </row>
    <row r="7" spans="1:10" ht="18" customHeight="1" thickBot="1">
      <c r="C7" s="1287" t="s">
        <v>44</v>
      </c>
      <c r="D7" s="1288"/>
      <c r="F7" s="474"/>
      <c r="G7" s="474"/>
      <c r="H7" s="474"/>
      <c r="I7" s="474"/>
    </row>
    <row r="8" spans="1:10" ht="18" customHeight="1">
      <c r="A8" s="772"/>
      <c r="B8" s="1289"/>
      <c r="C8" s="773" t="s">
        <v>1521</v>
      </c>
      <c r="D8" s="1290" t="s">
        <v>2556</v>
      </c>
      <c r="E8" s="773" t="s">
        <v>244</v>
      </c>
      <c r="F8" s="773" t="s">
        <v>1549</v>
      </c>
      <c r="G8" s="773" t="s">
        <v>1556</v>
      </c>
      <c r="H8" s="113" t="s">
        <v>75</v>
      </c>
      <c r="I8" s="745" t="s">
        <v>1526</v>
      </c>
      <c r="J8" s="434"/>
    </row>
    <row r="9" spans="1:10" ht="18" customHeight="1">
      <c r="C9" s="475"/>
      <c r="D9" s="475"/>
      <c r="E9" s="475"/>
      <c r="I9" s="474"/>
      <c r="J9" s="434"/>
    </row>
    <row r="10" spans="1:10" ht="12.75">
      <c r="A10" s="772"/>
      <c r="B10" s="1289"/>
      <c r="C10" s="783" t="str">
        <f>TOV!C587</f>
        <v>#15.01</v>
      </c>
      <c r="D10" s="827" t="str">
        <f>VLOOKUP(C10,TOV!$C$587:$G$602,3,0)</f>
        <v xml:space="preserve">
Mobilisation &amp; Demobilisation - Small Fleet (&lt;= 150 km)
</v>
      </c>
      <c r="E10" s="30"/>
      <c r="F10" s="115">
        <f>VLOOKUP(C10,TOV!$C$587:$G$602,4,0)</f>
        <v>130000</v>
      </c>
      <c r="G10" s="291"/>
      <c r="H10" s="111">
        <f>IF(G10="",F10,G10)*E10</f>
        <v>0</v>
      </c>
      <c r="I10" s="216"/>
      <c r="J10" s="434"/>
    </row>
    <row r="11" spans="1:10" ht="12.75">
      <c r="A11" s="772"/>
      <c r="B11" s="1289"/>
      <c r="C11" s="783" t="str">
        <f>TOV!C588</f>
        <v>#15.02</v>
      </c>
      <c r="D11" s="827" t="str">
        <f>VLOOKUP(C11,TOV!$C$587:$G$602,3,0)</f>
        <v xml:space="preserve">
Mobilisation &amp; Demobilisation - Small Fleet (&gt; 150 km and &lt;= 500 km)
</v>
      </c>
      <c r="E11" s="30"/>
      <c r="F11" s="115">
        <f>VLOOKUP(C11,TOV!$C$587:$G$602,4,0)</f>
        <v>238500</v>
      </c>
      <c r="G11" s="291"/>
      <c r="H11" s="111">
        <f t="shared" ref="H11:H25" si="0">IF(G11="",F11,G11)*E11</f>
        <v>0</v>
      </c>
      <c r="I11" s="216"/>
      <c r="J11" s="434"/>
    </row>
    <row r="12" spans="1:10">
      <c r="A12" s="772"/>
      <c r="B12" s="1289"/>
      <c r="C12" s="783" t="str">
        <f>TOV!C589</f>
        <v>#15.03</v>
      </c>
      <c r="D12" s="827" t="str">
        <f>VLOOKUP(C12,TOV!$C$587:$G$602,3,0)</f>
        <v xml:space="preserve">
Mobilisation &amp; Demobilisation - Small Fleet (&gt; 500 km and &lt;= 1000 km)
</v>
      </c>
      <c r="E12" s="30"/>
      <c r="F12" s="115">
        <f>VLOOKUP(C12,TOV!$C$587:$G$602,4,0)</f>
        <v>451000</v>
      </c>
      <c r="G12" s="291"/>
      <c r="H12" s="111">
        <f t="shared" si="0"/>
        <v>0</v>
      </c>
      <c r="I12" s="216"/>
    </row>
    <row r="13" spans="1:10">
      <c r="A13" s="772"/>
      <c r="B13" s="1289"/>
      <c r="C13" s="783" t="str">
        <f>TOV!C590</f>
        <v>#15.04</v>
      </c>
      <c r="D13" s="827" t="str">
        <f>VLOOKUP(C13,TOV!$C$587:$G$602,3,0)</f>
        <v xml:space="preserve">
Mobilisation &amp; Demobilisation - Small Fleet (&gt; 1000 km)
</v>
      </c>
      <c r="E13" s="30"/>
      <c r="F13" s="115">
        <f>VLOOKUP(C13,TOV!$C$587:$G$602,4,0)</f>
        <v>555000</v>
      </c>
      <c r="G13" s="291"/>
      <c r="H13" s="111">
        <f t="shared" si="0"/>
        <v>0</v>
      </c>
      <c r="I13" s="216"/>
    </row>
    <row r="14" spans="1:10">
      <c r="A14" s="772"/>
      <c r="B14" s="1289"/>
      <c r="C14" s="783" t="str">
        <f>TOV!C591</f>
        <v>#15.05</v>
      </c>
      <c r="D14" s="827" t="str">
        <f>VLOOKUP(C14,TOV!$C$587:$G$602,3,0)</f>
        <v xml:space="preserve">
Mobilisation &amp; Demobilisation - Medium Fleet (&lt;=150 km)
</v>
      </c>
      <c r="E14" s="30"/>
      <c r="F14" s="115">
        <f>VLOOKUP(C14,TOV!$C$587:$G$602,4,0)</f>
        <v>191000</v>
      </c>
      <c r="G14" s="291"/>
      <c r="H14" s="111">
        <f t="shared" si="0"/>
        <v>0</v>
      </c>
      <c r="I14" s="216"/>
    </row>
    <row r="15" spans="1:10">
      <c r="A15" s="772"/>
      <c r="B15" s="1289"/>
      <c r="C15" s="783" t="str">
        <f>TOV!C592</f>
        <v>#15.06</v>
      </c>
      <c r="D15" s="827" t="str">
        <f>VLOOKUP(C15,TOV!$C$587:$G$602,3,0)</f>
        <v xml:space="preserve">
Mobilisation &amp; Demobilisation - Medium Fleet (&gt; 150 km and &lt;= 500 km)
</v>
      </c>
      <c r="E15" s="30"/>
      <c r="F15" s="115">
        <f>VLOOKUP(C15,TOV!$C$587:$G$602,4,0)</f>
        <v>350000</v>
      </c>
      <c r="G15" s="291"/>
      <c r="H15" s="111">
        <f t="shared" si="0"/>
        <v>0</v>
      </c>
      <c r="I15" s="216"/>
    </row>
    <row r="16" spans="1:10">
      <c r="A16" s="772"/>
      <c r="B16" s="1289"/>
      <c r="C16" s="783" t="str">
        <f>TOV!C593</f>
        <v>#15.07</v>
      </c>
      <c r="D16" s="827" t="str">
        <f>VLOOKUP(C16,TOV!$C$587:$G$602,3,0)</f>
        <v xml:space="preserve">
Mobilisation &amp; Demobilisation - Medium Fleet (&gt; 500 km and &lt;= 1000 km)
</v>
      </c>
      <c r="E16" s="30"/>
      <c r="F16" s="115">
        <f>VLOOKUP(C16,TOV!$C$587:$G$602,4,0)</f>
        <v>661500</v>
      </c>
      <c r="G16" s="291"/>
      <c r="H16" s="111">
        <f t="shared" si="0"/>
        <v>0</v>
      </c>
      <c r="I16" s="216"/>
    </row>
    <row r="17" spans="1:9">
      <c r="A17" s="772"/>
      <c r="B17" s="1289"/>
      <c r="C17" s="783" t="str">
        <f>TOV!C594</f>
        <v>#15.08</v>
      </c>
      <c r="D17" s="827" t="str">
        <f>VLOOKUP(C17,TOV!$C$587:$G$602,3,0)</f>
        <v xml:space="preserve">
Mobilisation &amp; Demobilisation - Medium Fleet (&gt; 1000 km)
</v>
      </c>
      <c r="E17" s="30"/>
      <c r="F17" s="115">
        <f>VLOOKUP(C17,TOV!$C$587:$G$602,4,0)</f>
        <v>814000</v>
      </c>
      <c r="G17" s="291"/>
      <c r="H17" s="111">
        <f t="shared" si="0"/>
        <v>0</v>
      </c>
      <c r="I17" s="216"/>
    </row>
    <row r="18" spans="1:9">
      <c r="A18" s="772"/>
      <c r="B18" s="1289"/>
      <c r="C18" s="783" t="str">
        <f>TOV!C595</f>
        <v>#15.09</v>
      </c>
      <c r="D18" s="827" t="str">
        <f>VLOOKUP(C18,TOV!$C$587:$G$602,3,0)</f>
        <v xml:space="preserve">
Mobilisation &amp; Demobilisation - Large Fleet (&lt;= 150 km)
</v>
      </c>
      <c r="E18" s="30"/>
      <c r="F18" s="115">
        <f>VLOOKUP(C18,TOV!$C$587:$G$602,4,0)</f>
        <v>208000</v>
      </c>
      <c r="G18" s="291"/>
      <c r="H18" s="111">
        <f t="shared" si="0"/>
        <v>0</v>
      </c>
      <c r="I18" s="216"/>
    </row>
    <row r="19" spans="1:9">
      <c r="A19" s="772"/>
      <c r="B19" s="1289"/>
      <c r="C19" s="783" t="str">
        <f>TOV!C596</f>
        <v>#15.10</v>
      </c>
      <c r="D19" s="827" t="str">
        <f>VLOOKUP(C19,TOV!$C$587:$G$602,3,0)</f>
        <v xml:space="preserve">
Mobilisation &amp; Demobilisation - Large Fleet (&gt; 150 km and &lt;= 500 km)
</v>
      </c>
      <c r="E19" s="30"/>
      <c r="F19" s="115">
        <f>VLOOKUP(C19,TOV!$C$587:$G$602,4,0)</f>
        <v>381000</v>
      </c>
      <c r="G19" s="291"/>
      <c r="H19" s="111">
        <f t="shared" si="0"/>
        <v>0</v>
      </c>
      <c r="I19" s="216"/>
    </row>
    <row r="20" spans="1:9">
      <c r="A20" s="772"/>
      <c r="B20" s="1289"/>
      <c r="C20" s="783" t="str">
        <f>TOV!C597</f>
        <v>#15.11</v>
      </c>
      <c r="D20" s="827" t="str">
        <f>VLOOKUP(C20,TOV!$C$587:$G$602,3,0)</f>
        <v xml:space="preserve">
Mobilisation &amp; Demobilisation - Large Fleet (&gt; 500 km and &lt;= 1000 km)
</v>
      </c>
      <c r="E20" s="30"/>
      <c r="F20" s="115">
        <f>VLOOKUP(C20,TOV!$C$587:$G$602,4,0)</f>
        <v>720500</v>
      </c>
      <c r="G20" s="291"/>
      <c r="H20" s="111">
        <f t="shared" si="0"/>
        <v>0</v>
      </c>
      <c r="I20" s="216"/>
    </row>
    <row r="21" spans="1:9">
      <c r="A21" s="772"/>
      <c r="B21" s="1289"/>
      <c r="C21" s="783" t="str">
        <f>TOV!C598</f>
        <v>#15.12</v>
      </c>
      <c r="D21" s="827" t="str">
        <f>VLOOKUP(C21,TOV!$C$587:$G$602,3,0)</f>
        <v xml:space="preserve">
Mobilisation &amp; Demobilisation - Large Fleet (&gt; 1000 km)
</v>
      </c>
      <c r="E21" s="30"/>
      <c r="F21" s="115">
        <f>VLOOKUP(C21,TOV!$C$587:$G$602,4,0)</f>
        <v>887000</v>
      </c>
      <c r="G21" s="291"/>
      <c r="H21" s="111">
        <f t="shared" si="0"/>
        <v>0</v>
      </c>
      <c r="I21" s="216"/>
    </row>
    <row r="22" spans="1:9">
      <c r="A22" s="772"/>
      <c r="B22" s="1289"/>
      <c r="C22" s="783" t="str">
        <f>TOV!C599</f>
        <v>#15.13</v>
      </c>
      <c r="D22" s="827" t="str">
        <f>VLOOKUP(C22,TOV!$C$587:$G$602,3,0)</f>
        <v xml:space="preserve">
Mobilisation &amp; Demobilisation - Truck/Shovel Fleet (&lt;= 150 km)
</v>
      </c>
      <c r="E22" s="30"/>
      <c r="F22" s="115">
        <f>VLOOKUP(C22,TOV!$C$587:$G$602,4,0)</f>
        <v>275000</v>
      </c>
      <c r="G22" s="291"/>
      <c r="H22" s="111">
        <f t="shared" si="0"/>
        <v>0</v>
      </c>
      <c r="I22" s="216"/>
    </row>
    <row r="23" spans="1:9">
      <c r="A23" s="772"/>
      <c r="B23" s="1289"/>
      <c r="C23" s="783" t="str">
        <f>TOV!C600</f>
        <v>#15.14</v>
      </c>
      <c r="D23" s="827" t="str">
        <f>VLOOKUP(C23,TOV!$C$587:$G$602,3,0)</f>
        <v xml:space="preserve">
Mobilisation &amp; Demobilisation - Truck/Shovel (&gt; 150 km and &lt;= 500 km)
</v>
      </c>
      <c r="E23" s="30"/>
      <c r="F23" s="115">
        <f>VLOOKUP(C23,TOV!$C$587:$G$602,4,0)</f>
        <v>483500</v>
      </c>
      <c r="G23" s="291"/>
      <c r="H23" s="111">
        <f t="shared" si="0"/>
        <v>0</v>
      </c>
      <c r="I23" s="216"/>
    </row>
    <row r="24" spans="1:9">
      <c r="A24" s="772"/>
      <c r="B24" s="1289"/>
      <c r="C24" s="783" t="str">
        <f>TOV!C601</f>
        <v>#15.15</v>
      </c>
      <c r="D24" s="827" t="str">
        <f>VLOOKUP(C24,TOV!$C$587:$G$602,3,0)</f>
        <v xml:space="preserve">
Mobilisation &amp; Demobilisation - Truck/Shovel (&gt; 500 km and &lt;= 1000 km)
</v>
      </c>
      <c r="E24" s="30"/>
      <c r="F24" s="115">
        <f>VLOOKUP(C24,TOV!$C$587:$G$602,4,0)</f>
        <v>924000</v>
      </c>
      <c r="G24" s="291"/>
      <c r="H24" s="111">
        <f t="shared" si="0"/>
        <v>0</v>
      </c>
      <c r="I24" s="216"/>
    </row>
    <row r="25" spans="1:9">
      <c r="A25" s="772"/>
      <c r="B25" s="1289"/>
      <c r="C25" s="783" t="str">
        <f>TOV!C602</f>
        <v>#15.16</v>
      </c>
      <c r="D25" s="827" t="str">
        <f>VLOOKUP(C25,TOV!$C$587:$G$602,3,0)</f>
        <v xml:space="preserve">
Mobilisation &amp; Demobilisation - Truck/Shovel Fleet (&gt; 1000 km)
</v>
      </c>
      <c r="E25" s="30"/>
      <c r="F25" s="115">
        <f>VLOOKUP(C25,TOV!$C$587:$G$602,4,0)</f>
        <v>1156000</v>
      </c>
      <c r="G25" s="291"/>
      <c r="H25" s="111">
        <f t="shared" si="0"/>
        <v>0</v>
      </c>
      <c r="I25" s="216"/>
    </row>
    <row r="26" spans="1:9" ht="18" customHeight="1">
      <c r="A26" s="772"/>
      <c r="B26" s="1289"/>
      <c r="C26" s="1289"/>
      <c r="D26" s="770"/>
      <c r="E26" s="770"/>
      <c r="F26" s="1291"/>
      <c r="G26" s="1291"/>
      <c r="H26" s="1292"/>
      <c r="I26" s="770"/>
    </row>
    <row r="27" spans="1:9" ht="18" customHeight="1">
      <c r="C27" s="475"/>
      <c r="D27" s="1162"/>
      <c r="E27" s="806">
        <f>SUM(E9:E26)</f>
        <v>0</v>
      </c>
      <c r="G27" s="1105"/>
      <c r="H27" s="111">
        <f>SUM(H8:H26)</f>
        <v>0</v>
      </c>
      <c r="I27" s="1293"/>
    </row>
    <row r="28" spans="1:9" ht="18" customHeight="1">
      <c r="C28" s="475"/>
      <c r="D28" s="475"/>
      <c r="E28" s="475"/>
      <c r="G28" s="474"/>
      <c r="H28" s="474"/>
      <c r="I28" s="474"/>
    </row>
    <row r="29" spans="1:9" ht="18" customHeight="1">
      <c r="C29" s="475"/>
      <c r="D29" s="475"/>
      <c r="E29" s="475"/>
      <c r="G29" s="474"/>
      <c r="H29" s="474"/>
      <c r="I29" s="474"/>
    </row>
    <row r="30" spans="1:9" ht="18" customHeight="1" thickBot="1">
      <c r="B30" s="286" t="s">
        <v>26</v>
      </c>
      <c r="C30" s="1287" t="s">
        <v>2557</v>
      </c>
      <c r="D30" s="1287"/>
      <c r="F30" s="474"/>
      <c r="G30" s="474"/>
      <c r="H30" s="474"/>
      <c r="I30" s="474"/>
    </row>
    <row r="31" spans="1:9" ht="18" customHeight="1">
      <c r="B31" s="773" t="s">
        <v>1517</v>
      </c>
      <c r="C31" s="773" t="s">
        <v>27</v>
      </c>
      <c r="D31" s="1290" t="s">
        <v>2558</v>
      </c>
      <c r="E31" s="773" t="s">
        <v>244</v>
      </c>
      <c r="F31" s="773" t="s">
        <v>2</v>
      </c>
      <c r="G31" s="773" t="s">
        <v>35</v>
      </c>
      <c r="H31" s="113" t="s">
        <v>75</v>
      </c>
      <c r="I31" s="773" t="s">
        <v>2559</v>
      </c>
    </row>
    <row r="32" spans="1:9" ht="18" customHeight="1">
      <c r="C32" s="475"/>
      <c r="D32" s="475"/>
      <c r="E32" s="475"/>
    </row>
    <row r="33" spans="2:9">
      <c r="B33" s="301"/>
      <c r="C33" s="1294">
        <v>1</v>
      </c>
      <c r="D33" s="166"/>
      <c r="E33" s="77"/>
      <c r="F33" s="30"/>
      <c r="G33" s="291"/>
      <c r="H33" s="111">
        <f>E33*G33</f>
        <v>0</v>
      </c>
      <c r="I33" s="216"/>
    </row>
    <row r="34" spans="2:9">
      <c r="B34" s="301"/>
      <c r="C34" s="1294">
        <f>C33+1</f>
        <v>2</v>
      </c>
      <c r="D34" s="166" t="s">
        <v>628</v>
      </c>
      <c r="E34" s="77"/>
      <c r="F34" s="30"/>
      <c r="G34" s="291"/>
      <c r="H34" s="111">
        <f t="shared" ref="H34:H62" si="1">E34*G34</f>
        <v>0</v>
      </c>
      <c r="I34" s="216"/>
    </row>
    <row r="35" spans="2:9">
      <c r="B35" s="301"/>
      <c r="C35" s="1294">
        <f t="shared" ref="C35:C62" si="2">C34+1</f>
        <v>3</v>
      </c>
      <c r="D35" s="166"/>
      <c r="E35" s="77"/>
      <c r="F35" s="30"/>
      <c r="G35" s="291"/>
      <c r="H35" s="111">
        <f t="shared" si="1"/>
        <v>0</v>
      </c>
      <c r="I35" s="216"/>
    </row>
    <row r="36" spans="2:9">
      <c r="B36" s="301"/>
      <c r="C36" s="1294">
        <f t="shared" si="2"/>
        <v>4</v>
      </c>
      <c r="D36" s="166"/>
      <c r="E36" s="77"/>
      <c r="F36" s="30"/>
      <c r="G36" s="291"/>
      <c r="H36" s="111">
        <f t="shared" si="1"/>
        <v>0</v>
      </c>
      <c r="I36" s="216"/>
    </row>
    <row r="37" spans="2:9">
      <c r="B37" s="301"/>
      <c r="C37" s="1294">
        <f t="shared" si="2"/>
        <v>5</v>
      </c>
      <c r="D37" s="166"/>
      <c r="E37" s="77"/>
      <c r="F37" s="30"/>
      <c r="G37" s="291"/>
      <c r="H37" s="111">
        <f t="shared" si="1"/>
        <v>0</v>
      </c>
      <c r="I37" s="216"/>
    </row>
    <row r="38" spans="2:9">
      <c r="B38" s="301"/>
      <c r="C38" s="1294">
        <f t="shared" si="2"/>
        <v>6</v>
      </c>
      <c r="D38" s="166"/>
      <c r="E38" s="77"/>
      <c r="F38" s="30"/>
      <c r="G38" s="291"/>
      <c r="H38" s="111">
        <f t="shared" si="1"/>
        <v>0</v>
      </c>
      <c r="I38" s="216"/>
    </row>
    <row r="39" spans="2:9">
      <c r="B39" s="301"/>
      <c r="C39" s="1294">
        <f t="shared" si="2"/>
        <v>7</v>
      </c>
      <c r="D39" s="166"/>
      <c r="E39" s="77"/>
      <c r="F39" s="30"/>
      <c r="G39" s="291"/>
      <c r="H39" s="111">
        <f t="shared" si="1"/>
        <v>0</v>
      </c>
      <c r="I39" s="216"/>
    </row>
    <row r="40" spans="2:9">
      <c r="B40" s="301"/>
      <c r="C40" s="1294">
        <f t="shared" si="2"/>
        <v>8</v>
      </c>
      <c r="D40" s="166"/>
      <c r="E40" s="77"/>
      <c r="F40" s="30"/>
      <c r="G40" s="291"/>
      <c r="H40" s="111">
        <f t="shared" si="1"/>
        <v>0</v>
      </c>
      <c r="I40" s="216"/>
    </row>
    <row r="41" spans="2:9">
      <c r="B41" s="301"/>
      <c r="C41" s="1294">
        <f t="shared" si="2"/>
        <v>9</v>
      </c>
      <c r="D41" s="166"/>
      <c r="E41" s="77"/>
      <c r="F41" s="30"/>
      <c r="G41" s="291"/>
      <c r="H41" s="111">
        <f t="shared" si="1"/>
        <v>0</v>
      </c>
      <c r="I41" s="216"/>
    </row>
    <row r="42" spans="2:9">
      <c r="B42" s="301"/>
      <c r="C42" s="1294">
        <f t="shared" si="2"/>
        <v>10</v>
      </c>
      <c r="D42" s="166"/>
      <c r="E42" s="77"/>
      <c r="F42" s="30"/>
      <c r="G42" s="291"/>
      <c r="H42" s="111">
        <f t="shared" si="1"/>
        <v>0</v>
      </c>
      <c r="I42" s="216"/>
    </row>
    <row r="43" spans="2:9">
      <c r="B43" s="301"/>
      <c r="C43" s="1294">
        <f t="shared" si="2"/>
        <v>11</v>
      </c>
      <c r="D43" s="166"/>
      <c r="E43" s="77"/>
      <c r="F43" s="30"/>
      <c r="G43" s="291"/>
      <c r="H43" s="111">
        <f t="shared" si="1"/>
        <v>0</v>
      </c>
      <c r="I43" s="216"/>
    </row>
    <row r="44" spans="2:9">
      <c r="B44" s="301"/>
      <c r="C44" s="1294">
        <f t="shared" si="2"/>
        <v>12</v>
      </c>
      <c r="D44" s="166"/>
      <c r="E44" s="77"/>
      <c r="F44" s="30"/>
      <c r="G44" s="291"/>
      <c r="H44" s="111">
        <f t="shared" si="1"/>
        <v>0</v>
      </c>
      <c r="I44" s="216"/>
    </row>
    <row r="45" spans="2:9">
      <c r="B45" s="301"/>
      <c r="C45" s="1294">
        <f t="shared" si="2"/>
        <v>13</v>
      </c>
      <c r="D45" s="166"/>
      <c r="E45" s="77"/>
      <c r="F45" s="30"/>
      <c r="G45" s="291"/>
      <c r="H45" s="111">
        <f t="shared" si="1"/>
        <v>0</v>
      </c>
      <c r="I45" s="216"/>
    </row>
    <row r="46" spans="2:9">
      <c r="B46" s="301"/>
      <c r="C46" s="1294">
        <f t="shared" si="2"/>
        <v>14</v>
      </c>
      <c r="D46" s="166"/>
      <c r="E46" s="77"/>
      <c r="F46" s="30"/>
      <c r="G46" s="291"/>
      <c r="H46" s="111">
        <f t="shared" si="1"/>
        <v>0</v>
      </c>
      <c r="I46" s="216"/>
    </row>
    <row r="47" spans="2:9">
      <c r="B47" s="301"/>
      <c r="C47" s="1294">
        <f t="shared" si="2"/>
        <v>15</v>
      </c>
      <c r="D47" s="166"/>
      <c r="E47" s="77"/>
      <c r="F47" s="30"/>
      <c r="G47" s="291"/>
      <c r="H47" s="111">
        <f t="shared" si="1"/>
        <v>0</v>
      </c>
      <c r="I47" s="216"/>
    </row>
    <row r="48" spans="2:9">
      <c r="B48" s="301"/>
      <c r="C48" s="1294">
        <f t="shared" si="2"/>
        <v>16</v>
      </c>
      <c r="D48" s="166"/>
      <c r="E48" s="77"/>
      <c r="F48" s="30"/>
      <c r="G48" s="291"/>
      <c r="H48" s="111">
        <f t="shared" si="1"/>
        <v>0</v>
      </c>
      <c r="I48" s="216"/>
    </row>
    <row r="49" spans="2:9">
      <c r="B49" s="301"/>
      <c r="C49" s="1294">
        <f t="shared" si="2"/>
        <v>17</v>
      </c>
      <c r="D49" s="166"/>
      <c r="E49" s="77"/>
      <c r="F49" s="30"/>
      <c r="G49" s="291"/>
      <c r="H49" s="111">
        <f t="shared" si="1"/>
        <v>0</v>
      </c>
      <c r="I49" s="216"/>
    </row>
    <row r="50" spans="2:9">
      <c r="B50" s="301"/>
      <c r="C50" s="1294">
        <f t="shared" si="2"/>
        <v>18</v>
      </c>
      <c r="D50" s="166"/>
      <c r="E50" s="77"/>
      <c r="F50" s="30"/>
      <c r="G50" s="291"/>
      <c r="H50" s="111">
        <f t="shared" si="1"/>
        <v>0</v>
      </c>
      <c r="I50" s="216"/>
    </row>
    <row r="51" spans="2:9">
      <c r="B51" s="301"/>
      <c r="C51" s="1294">
        <f t="shared" si="2"/>
        <v>19</v>
      </c>
      <c r="D51" s="166"/>
      <c r="E51" s="77"/>
      <c r="F51" s="30"/>
      <c r="G51" s="291"/>
      <c r="H51" s="111">
        <f t="shared" si="1"/>
        <v>0</v>
      </c>
      <c r="I51" s="216"/>
    </row>
    <row r="52" spans="2:9">
      <c r="B52" s="301"/>
      <c r="C52" s="1294">
        <f t="shared" si="2"/>
        <v>20</v>
      </c>
      <c r="D52" s="166"/>
      <c r="E52" s="77"/>
      <c r="F52" s="30"/>
      <c r="G52" s="291"/>
      <c r="H52" s="111">
        <f t="shared" si="1"/>
        <v>0</v>
      </c>
      <c r="I52" s="216"/>
    </row>
    <row r="53" spans="2:9">
      <c r="B53" s="301"/>
      <c r="C53" s="1294">
        <f t="shared" si="2"/>
        <v>21</v>
      </c>
      <c r="D53" s="166"/>
      <c r="E53" s="77"/>
      <c r="F53" s="30"/>
      <c r="G53" s="291"/>
      <c r="H53" s="111">
        <f t="shared" si="1"/>
        <v>0</v>
      </c>
      <c r="I53" s="216"/>
    </row>
    <row r="54" spans="2:9">
      <c r="B54" s="301"/>
      <c r="C54" s="1294">
        <f t="shared" si="2"/>
        <v>22</v>
      </c>
      <c r="D54" s="166"/>
      <c r="E54" s="77"/>
      <c r="F54" s="30"/>
      <c r="G54" s="291"/>
      <c r="H54" s="111">
        <f t="shared" si="1"/>
        <v>0</v>
      </c>
      <c r="I54" s="216"/>
    </row>
    <row r="55" spans="2:9">
      <c r="B55" s="301"/>
      <c r="C55" s="1294">
        <f t="shared" si="2"/>
        <v>23</v>
      </c>
      <c r="D55" s="166"/>
      <c r="E55" s="77"/>
      <c r="F55" s="30"/>
      <c r="G55" s="291"/>
      <c r="H55" s="111">
        <f t="shared" si="1"/>
        <v>0</v>
      </c>
      <c r="I55" s="216"/>
    </row>
    <row r="56" spans="2:9">
      <c r="B56" s="301"/>
      <c r="C56" s="1294">
        <f t="shared" si="2"/>
        <v>24</v>
      </c>
      <c r="D56" s="166"/>
      <c r="E56" s="77"/>
      <c r="F56" s="30"/>
      <c r="G56" s="291"/>
      <c r="H56" s="111">
        <f t="shared" si="1"/>
        <v>0</v>
      </c>
      <c r="I56" s="216"/>
    </row>
    <row r="57" spans="2:9">
      <c r="B57" s="301"/>
      <c r="C57" s="1294">
        <f t="shared" si="2"/>
        <v>25</v>
      </c>
      <c r="D57" s="166"/>
      <c r="E57" s="77"/>
      <c r="F57" s="30"/>
      <c r="G57" s="291"/>
      <c r="H57" s="111">
        <f t="shared" si="1"/>
        <v>0</v>
      </c>
      <c r="I57" s="216"/>
    </row>
    <row r="58" spans="2:9">
      <c r="B58" s="301"/>
      <c r="C58" s="1294">
        <f t="shared" si="2"/>
        <v>26</v>
      </c>
      <c r="D58" s="166"/>
      <c r="E58" s="77"/>
      <c r="F58" s="30"/>
      <c r="G58" s="291"/>
      <c r="H58" s="111">
        <f t="shared" si="1"/>
        <v>0</v>
      </c>
      <c r="I58" s="216"/>
    </row>
    <row r="59" spans="2:9">
      <c r="B59" s="301"/>
      <c r="C59" s="1294">
        <f t="shared" si="2"/>
        <v>27</v>
      </c>
      <c r="D59" s="166"/>
      <c r="E59" s="77"/>
      <c r="F59" s="30"/>
      <c r="G59" s="291"/>
      <c r="H59" s="111">
        <f t="shared" si="1"/>
        <v>0</v>
      </c>
      <c r="I59" s="216"/>
    </row>
    <row r="60" spans="2:9">
      <c r="B60" s="301"/>
      <c r="C60" s="1294">
        <f t="shared" si="2"/>
        <v>28</v>
      </c>
      <c r="D60" s="166"/>
      <c r="E60" s="77"/>
      <c r="F60" s="30"/>
      <c r="G60" s="291"/>
      <c r="H60" s="111">
        <f t="shared" si="1"/>
        <v>0</v>
      </c>
      <c r="I60" s="216"/>
    </row>
    <row r="61" spans="2:9">
      <c r="B61" s="301"/>
      <c r="C61" s="1294">
        <f t="shared" si="2"/>
        <v>29</v>
      </c>
      <c r="D61" s="166"/>
      <c r="E61" s="77"/>
      <c r="F61" s="30"/>
      <c r="G61" s="291"/>
      <c r="H61" s="111">
        <f t="shared" si="1"/>
        <v>0</v>
      </c>
      <c r="I61" s="216"/>
    </row>
    <row r="62" spans="2:9">
      <c r="B62" s="301"/>
      <c r="C62" s="1294">
        <f t="shared" si="2"/>
        <v>30</v>
      </c>
      <c r="D62" s="166"/>
      <c r="E62" s="77"/>
      <c r="F62" s="30"/>
      <c r="G62" s="291"/>
      <c r="H62" s="111">
        <f t="shared" si="1"/>
        <v>0</v>
      </c>
      <c r="I62" s="216"/>
    </row>
    <row r="63" spans="2:9" ht="18" customHeight="1">
      <c r="B63" s="286" t="s">
        <v>26</v>
      </c>
      <c r="C63" s="475"/>
      <c r="D63" s="475"/>
      <c r="E63" s="925"/>
      <c r="G63" s="1295"/>
      <c r="H63" s="1295"/>
    </row>
    <row r="64" spans="2:9" ht="18" customHeight="1">
      <c r="C64" s="475"/>
      <c r="D64" s="1162"/>
      <c r="E64" s="373">
        <f>SUM(E32:E63)</f>
        <v>0</v>
      </c>
      <c r="G64" s="1295"/>
      <c r="H64" s="111">
        <f>SUM(H32:H63)</f>
        <v>0</v>
      </c>
      <c r="I64" s="1293"/>
    </row>
    <row r="65" spans="3:9" ht="18" customHeight="1">
      <c r="C65" s="475"/>
      <c r="D65" s="475"/>
      <c r="E65" s="475"/>
      <c r="H65" s="797">
        <f>IF(E64=0,0,H64/E64)</f>
        <v>0</v>
      </c>
      <c r="I65" s="770" t="s">
        <v>2560</v>
      </c>
    </row>
    <row r="66" spans="3:9" ht="18" customHeight="1"/>
    <row r="67" spans="3:9" ht="18" customHeight="1"/>
    <row r="68" spans="3:9" ht="18" customHeight="1"/>
  </sheetData>
  <sheetProtection algorithmName="SHA-512" hashValue="SwrNA+FzZG4w03CLR9lA5oAavxUtX5bLRWl+XZ6mX4NvtOvpA1ct23bCalSeWGf8DVT5HuZ5ZQSsIOE+E0NkAQ==" saltValue="p7rIf1wUCPJqLhh/N38XpQ==" spinCount="100000" sheet="1" objects="1" scenarios="1" autoFilter="0"/>
  <conditionalFormatting sqref="G10:G25">
    <cfRule type="cellIs" dxfId="16" priority="4" operator="notEqual">
      <formula>""</formula>
    </cfRule>
  </conditionalFormatting>
  <conditionalFormatting sqref="G33:G62">
    <cfRule type="cellIs" dxfId="15" priority="2" operator="notEqual">
      <formula>""</formula>
    </cfRule>
  </conditionalFormatting>
  <conditionalFormatting sqref="I10:I25">
    <cfRule type="expression" dxfId="14" priority="3">
      <formula>$G10&lt;&gt;""</formula>
    </cfRule>
  </conditionalFormatting>
  <conditionalFormatting sqref="I33:I62">
    <cfRule type="expression" dxfId="13" priority="1">
      <formula>$G33&lt;&gt;""</formula>
    </cfRule>
  </conditionalFormatting>
  <hyperlinks>
    <hyperlink ref="B30" location="'14. General Land Rehabilitation'!B7" display="Top" xr:uid="{8D38BE3A-D23A-4911-9EBE-F8BE9BC09783}"/>
    <hyperlink ref="B63" location="'14. General Land Rehabilitation'!B7" display="Top" xr:uid="{21F2C38C-8286-47A4-915C-B35FA8755F87}"/>
    <hyperlink ref="B2" location="CONTENTS!A1" display="Contents" xr:uid="{40783CD9-9A67-4C32-AB82-83310BDABCBD}"/>
  </hyperlinks>
  <pageMargins left="0.7" right="0.7" top="0.75" bottom="0.75" header="0.3" footer="0.3"/>
  <pageSetup paperSize="9" scale="98"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4">
    <tabColor theme="9" tint="-0.249977111117893"/>
  </sheetPr>
  <dimension ref="A1:BE126"/>
  <sheetViews>
    <sheetView showGridLines="0" zoomScaleNormal="100" zoomScaleSheetLayoutView="100" workbookViewId="0">
      <pane xSplit="2" ySplit="6" topLeftCell="C7" activePane="bottomRight" state="frozen"/>
      <selection pane="topRight" activeCell="C1" sqref="C1"/>
      <selection pane="bottomLeft" activeCell="A10" sqref="A10"/>
      <selection pane="bottomRight"/>
    </sheetView>
  </sheetViews>
  <sheetFormatPr defaultColWidth="9" defaultRowHeight="12"/>
  <cols>
    <col min="1" max="1" width="3.42578125" style="475" customWidth="1"/>
    <col min="2" max="2" width="20.7109375" style="475" customWidth="1"/>
    <col min="3" max="3" width="22.42578125" style="474" customWidth="1"/>
    <col min="4" max="26" width="11.5703125" style="474" customWidth="1"/>
    <col min="27" max="16384" width="9" style="475"/>
  </cols>
  <sheetData>
    <row r="1" spans="1:57" ht="14.25">
      <c r="B1" s="433" t="s">
        <v>0</v>
      </c>
      <c r="C1" s="808"/>
      <c r="D1" s="520"/>
      <c r="F1" s="734"/>
      <c r="S1" s="475"/>
      <c r="T1" s="475"/>
      <c r="U1" s="475"/>
      <c r="V1" s="475"/>
      <c r="W1" s="475"/>
      <c r="X1" s="475"/>
      <c r="Y1" s="475"/>
      <c r="Z1" s="475"/>
    </row>
    <row r="2" spans="1:57" ht="18" customHeight="1">
      <c r="B2" s="286" t="s">
        <v>256</v>
      </c>
      <c r="C2" s="540" t="s">
        <v>2561</v>
      </c>
      <c r="D2" s="1285"/>
      <c r="E2" s="1285"/>
      <c r="F2" s="1285"/>
      <c r="G2" s="1285"/>
      <c r="H2" s="1285"/>
      <c r="I2" s="1285"/>
      <c r="J2" s="1285"/>
      <c r="K2" s="1285"/>
      <c r="L2" s="1285"/>
      <c r="M2" s="1285"/>
      <c r="N2" s="1285"/>
      <c r="O2" s="1285"/>
      <c r="P2" s="1285"/>
      <c r="Q2" s="1285"/>
      <c r="R2" s="1285"/>
      <c r="S2" s="1285"/>
      <c r="T2" s="1285"/>
      <c r="U2" s="1218"/>
      <c r="V2" s="475"/>
      <c r="W2" s="475"/>
      <c r="X2" s="475"/>
      <c r="Y2" s="475"/>
      <c r="Z2" s="475"/>
    </row>
    <row r="3" spans="1:57" ht="18" customHeight="1">
      <c r="B3" s="644">
        <f>Summary!$G$122</f>
        <v>0</v>
      </c>
      <c r="C3" s="460" t="s">
        <v>1484</v>
      </c>
      <c r="G3" s="1104"/>
      <c r="H3" s="1104"/>
      <c r="I3" s="1104"/>
      <c r="J3" s="1104"/>
      <c r="K3" s="1104"/>
      <c r="L3" s="1104"/>
      <c r="M3" s="1104"/>
      <c r="N3" s="1104"/>
      <c r="O3" s="1104"/>
      <c r="P3" s="1104"/>
      <c r="Q3" s="1104"/>
      <c r="R3" s="1104"/>
      <c r="S3" s="1104"/>
      <c r="T3" s="1104"/>
      <c r="U3" s="1104"/>
      <c r="V3" s="1104"/>
      <c r="W3" s="1104"/>
      <c r="X3" s="1104"/>
      <c r="Y3" s="1104"/>
      <c r="Z3" s="434"/>
      <c r="AA3" s="474"/>
    </row>
    <row r="4" spans="1:57" s="434" customFormat="1" ht="99.6" customHeight="1">
      <c r="A4" s="642"/>
      <c r="B4" s="642"/>
      <c r="F4" s="1296"/>
      <c r="G4" s="1296"/>
      <c r="H4" s="1296"/>
      <c r="I4" s="1296"/>
      <c r="J4" s="1296"/>
      <c r="K4" s="1296"/>
      <c r="L4" s="1296"/>
      <c r="M4" s="1296"/>
      <c r="N4" s="1296"/>
      <c r="O4" s="1296"/>
      <c r="P4" s="1296"/>
      <c r="Q4" s="1296"/>
      <c r="R4" s="1296"/>
      <c r="S4" s="1296"/>
      <c r="T4" s="1296"/>
      <c r="U4" s="1296"/>
      <c r="V4" s="1296"/>
      <c r="W4" s="1296"/>
      <c r="X4" s="1296"/>
      <c r="Y4" s="1296"/>
      <c r="Z4" s="1104"/>
      <c r="BD4" s="475"/>
      <c r="BE4" s="475"/>
    </row>
    <row r="5" spans="1:57" s="434" customFormat="1" ht="9" customHeight="1">
      <c r="A5" s="642"/>
      <c r="B5" s="1297"/>
      <c r="C5" s="1298"/>
      <c r="D5" s="1298"/>
      <c r="E5" s="1298"/>
      <c r="G5" s="741"/>
      <c r="H5" s="741"/>
      <c r="I5" s="741"/>
      <c r="J5" s="741"/>
      <c r="K5" s="741"/>
      <c r="L5" s="741"/>
      <c r="M5" s="741"/>
      <c r="N5" s="741"/>
      <c r="O5" s="741"/>
      <c r="P5" s="741"/>
      <c r="Q5" s="741"/>
      <c r="R5" s="741"/>
      <c r="S5" s="741"/>
      <c r="T5" s="741"/>
      <c r="U5" s="741"/>
      <c r="V5" s="741"/>
      <c r="W5" s="741"/>
      <c r="X5" s="741"/>
      <c r="Y5" s="741"/>
      <c r="Z5" s="741"/>
      <c r="BD5" s="475"/>
      <c r="BE5" s="475"/>
    </row>
    <row r="6" spans="1:57">
      <c r="B6" s="29"/>
      <c r="C6" s="5"/>
      <c r="D6" s="5"/>
      <c r="E6" s="5"/>
      <c r="F6" s="5"/>
      <c r="G6" s="5"/>
      <c r="H6" s="5"/>
      <c r="I6" s="5"/>
      <c r="J6" s="5"/>
      <c r="K6" s="5"/>
      <c r="L6" s="5"/>
      <c r="M6" s="5"/>
      <c r="N6" s="5"/>
      <c r="O6" s="5"/>
      <c r="P6" s="5"/>
      <c r="Q6" s="5"/>
      <c r="R6" s="5"/>
      <c r="S6" s="5"/>
      <c r="T6" s="5"/>
      <c r="U6" s="5"/>
      <c r="V6" s="5"/>
      <c r="W6" s="5"/>
      <c r="X6" s="5"/>
      <c r="Y6" s="5"/>
      <c r="Z6" s="5"/>
    </row>
    <row r="7" spans="1:57">
      <c r="B7" s="29"/>
      <c r="C7" s="5"/>
      <c r="D7" s="5"/>
      <c r="E7" s="5"/>
      <c r="F7" s="5"/>
      <c r="G7" s="5"/>
      <c r="H7" s="5"/>
      <c r="I7" s="5"/>
      <c r="J7" s="5"/>
      <c r="K7" s="5"/>
      <c r="L7" s="5"/>
      <c r="M7" s="5"/>
      <c r="N7" s="5"/>
      <c r="O7" s="5"/>
      <c r="P7" s="5"/>
      <c r="Q7" s="5"/>
      <c r="R7" s="5"/>
      <c r="S7" s="5"/>
      <c r="T7" s="5"/>
      <c r="U7" s="5"/>
      <c r="V7" s="5"/>
      <c r="W7" s="5"/>
      <c r="X7" s="5"/>
      <c r="Y7" s="5"/>
      <c r="Z7" s="5"/>
    </row>
    <row r="8" spans="1:57">
      <c r="B8" s="29"/>
      <c r="C8" s="5"/>
      <c r="D8" s="5"/>
      <c r="E8" s="5"/>
      <c r="F8" s="5"/>
      <c r="G8" s="5"/>
      <c r="H8" s="5"/>
      <c r="I8" s="5"/>
      <c r="J8" s="5"/>
      <c r="K8" s="5"/>
      <c r="L8" s="5"/>
      <c r="M8" s="5"/>
      <c r="N8" s="5"/>
      <c r="O8" s="5"/>
      <c r="P8" s="5"/>
      <c r="Q8" s="5"/>
      <c r="R8" s="5"/>
      <c r="S8" s="5"/>
      <c r="T8" s="5"/>
      <c r="U8" s="5"/>
      <c r="V8" s="5"/>
      <c r="W8" s="5"/>
      <c r="X8" s="5"/>
      <c r="Y8" s="5"/>
      <c r="Z8" s="5"/>
    </row>
    <row r="9" spans="1:57">
      <c r="B9" s="29"/>
      <c r="C9" s="5"/>
      <c r="D9" s="5"/>
      <c r="E9" s="5"/>
      <c r="F9" s="5"/>
      <c r="G9" s="5"/>
      <c r="H9" s="5"/>
      <c r="I9" s="5"/>
      <c r="J9" s="5"/>
      <c r="K9" s="5"/>
      <c r="L9" s="5"/>
      <c r="M9" s="5"/>
      <c r="N9" s="5"/>
      <c r="O9" s="5"/>
      <c r="P9" s="5"/>
      <c r="Q9" s="5"/>
      <c r="R9" s="5"/>
      <c r="S9" s="5"/>
      <c r="T9" s="5"/>
      <c r="U9" s="5"/>
      <c r="V9" s="5"/>
      <c r="W9" s="5"/>
      <c r="X9" s="5"/>
      <c r="Y9" s="5"/>
      <c r="Z9" s="5"/>
    </row>
    <row r="10" spans="1:57">
      <c r="B10" s="29"/>
      <c r="C10" s="5"/>
      <c r="D10" s="5"/>
      <c r="E10" s="5"/>
      <c r="F10" s="5"/>
      <c r="G10" s="5"/>
      <c r="H10" s="5"/>
      <c r="I10" s="5"/>
      <c r="J10" s="5"/>
      <c r="K10" s="5"/>
      <c r="L10" s="5"/>
      <c r="M10" s="5"/>
      <c r="N10" s="5"/>
      <c r="O10" s="5"/>
      <c r="P10" s="5"/>
      <c r="Q10" s="5"/>
      <c r="R10" s="5"/>
      <c r="S10" s="5"/>
      <c r="T10" s="5"/>
      <c r="U10" s="5"/>
      <c r="V10" s="5"/>
      <c r="W10" s="5"/>
      <c r="X10" s="5"/>
      <c r="Y10" s="5"/>
      <c r="Z10" s="5"/>
    </row>
    <row r="11" spans="1:57">
      <c r="B11" s="29"/>
      <c r="C11" s="5"/>
      <c r="D11" s="5"/>
      <c r="E11" s="5"/>
      <c r="F11" s="5"/>
      <c r="G11" s="5"/>
      <c r="H11" s="5"/>
      <c r="I11" s="5"/>
      <c r="J11" s="5"/>
      <c r="K11" s="5"/>
      <c r="L11" s="5"/>
      <c r="M11" s="5"/>
      <c r="N11" s="5"/>
      <c r="O11" s="5"/>
      <c r="P11" s="5"/>
      <c r="Q11" s="5"/>
      <c r="R11" s="5"/>
      <c r="S11" s="5"/>
      <c r="T11" s="5"/>
      <c r="U11" s="5"/>
      <c r="V11" s="5"/>
      <c r="W11" s="5"/>
      <c r="X11" s="5"/>
      <c r="Y11" s="5"/>
      <c r="Z11" s="5"/>
    </row>
    <row r="12" spans="1:57">
      <c r="B12" s="29"/>
      <c r="C12" s="5"/>
      <c r="D12" s="5"/>
      <c r="E12" s="5"/>
      <c r="F12" s="5"/>
      <c r="G12" s="5"/>
      <c r="H12" s="5"/>
      <c r="I12" s="5"/>
      <c r="J12" s="5"/>
      <c r="K12" s="5"/>
      <c r="L12" s="5"/>
      <c r="M12" s="5"/>
      <c r="N12" s="5"/>
      <c r="O12" s="5"/>
      <c r="P12" s="5"/>
      <c r="Q12" s="5"/>
      <c r="R12" s="5"/>
      <c r="S12" s="5"/>
      <c r="T12" s="5"/>
      <c r="U12" s="5"/>
      <c r="V12" s="5"/>
      <c r="W12" s="5"/>
      <c r="X12" s="5"/>
      <c r="Y12" s="5"/>
      <c r="Z12" s="5"/>
    </row>
    <row r="13" spans="1:57">
      <c r="B13" s="29"/>
      <c r="C13" s="5"/>
      <c r="D13" s="5"/>
      <c r="E13" s="5"/>
      <c r="F13" s="5"/>
      <c r="G13" s="5"/>
      <c r="H13" s="5"/>
      <c r="I13" s="5"/>
      <c r="J13" s="5"/>
      <c r="K13" s="5"/>
      <c r="L13" s="5"/>
      <c r="M13" s="5"/>
      <c r="N13" s="5"/>
      <c r="O13" s="5"/>
      <c r="P13" s="5"/>
      <c r="Q13" s="5"/>
      <c r="R13" s="5"/>
      <c r="S13" s="5"/>
      <c r="T13" s="5"/>
      <c r="U13" s="5"/>
      <c r="V13" s="5"/>
      <c r="W13" s="5"/>
      <c r="X13" s="5"/>
      <c r="Y13" s="5"/>
      <c r="Z13" s="5"/>
    </row>
    <row r="14" spans="1:57">
      <c r="B14" s="29"/>
      <c r="C14" s="5"/>
      <c r="D14" s="5"/>
      <c r="E14" s="5"/>
      <c r="F14" s="5"/>
      <c r="G14" s="5"/>
      <c r="H14" s="5"/>
      <c r="I14" s="5"/>
      <c r="J14" s="5"/>
      <c r="K14" s="5"/>
      <c r="L14" s="5"/>
      <c r="M14" s="5"/>
      <c r="N14" s="5"/>
      <c r="O14" s="5"/>
      <c r="P14" s="5"/>
      <c r="Q14" s="5"/>
      <c r="R14" s="5"/>
      <c r="S14" s="5"/>
      <c r="T14" s="5"/>
      <c r="U14" s="5"/>
      <c r="V14" s="5"/>
      <c r="W14" s="5"/>
      <c r="X14" s="5"/>
      <c r="Y14" s="5"/>
      <c r="Z14" s="5"/>
    </row>
    <row r="15" spans="1:57">
      <c r="B15" s="29"/>
      <c r="C15" s="5"/>
      <c r="D15" s="5"/>
      <c r="E15" s="5"/>
      <c r="F15" s="5"/>
      <c r="G15" s="5"/>
      <c r="H15" s="5"/>
      <c r="I15" s="5"/>
      <c r="J15" s="5"/>
      <c r="K15" s="5"/>
      <c r="L15" s="5"/>
      <c r="M15" s="5"/>
      <c r="N15" s="5"/>
      <c r="O15" s="5"/>
      <c r="P15" s="5"/>
      <c r="Q15" s="5"/>
      <c r="R15" s="5"/>
      <c r="S15" s="5"/>
      <c r="T15" s="5"/>
      <c r="U15" s="5"/>
      <c r="V15" s="5"/>
      <c r="W15" s="5"/>
      <c r="X15" s="5"/>
      <c r="Y15" s="5"/>
      <c r="Z15" s="5"/>
    </row>
    <row r="16" spans="1:57">
      <c r="B16" s="29"/>
      <c r="C16" s="5"/>
      <c r="D16" s="5"/>
      <c r="E16" s="5"/>
      <c r="F16" s="5"/>
      <c r="G16" s="5"/>
      <c r="H16" s="5"/>
      <c r="I16" s="5"/>
      <c r="J16" s="5"/>
      <c r="K16" s="5"/>
      <c r="L16" s="5"/>
      <c r="M16" s="5"/>
      <c r="N16" s="5"/>
      <c r="O16" s="5"/>
      <c r="P16" s="5"/>
      <c r="Q16" s="5"/>
      <c r="R16" s="5"/>
      <c r="S16" s="5"/>
      <c r="T16" s="5"/>
      <c r="U16" s="5"/>
      <c r="V16" s="5"/>
      <c r="W16" s="5"/>
      <c r="X16" s="5"/>
      <c r="Y16" s="5"/>
      <c r="Z16" s="5"/>
    </row>
    <row r="17" spans="2:26">
      <c r="B17" s="29"/>
      <c r="C17" s="5"/>
      <c r="D17" s="5"/>
      <c r="E17" s="5"/>
      <c r="F17" s="5"/>
      <c r="G17" s="5"/>
      <c r="H17" s="5"/>
      <c r="I17" s="5"/>
      <c r="J17" s="5"/>
      <c r="K17" s="5"/>
      <c r="L17" s="5"/>
      <c r="M17" s="5"/>
      <c r="N17" s="5"/>
      <c r="O17" s="5"/>
      <c r="P17" s="5"/>
      <c r="Q17" s="5"/>
      <c r="R17" s="5"/>
      <c r="S17" s="5"/>
      <c r="T17" s="5"/>
      <c r="U17" s="5"/>
      <c r="V17" s="5"/>
      <c r="W17" s="5"/>
      <c r="X17" s="5"/>
      <c r="Y17" s="5"/>
      <c r="Z17" s="5"/>
    </row>
    <row r="18" spans="2:26">
      <c r="B18" s="29"/>
      <c r="C18" s="5"/>
      <c r="D18" s="5"/>
      <c r="E18" s="5"/>
      <c r="F18" s="5"/>
      <c r="G18" s="5"/>
      <c r="H18" s="5"/>
      <c r="I18" s="5"/>
      <c r="J18" s="5"/>
      <c r="K18" s="5"/>
      <c r="L18" s="5"/>
      <c r="M18" s="5"/>
      <c r="N18" s="5"/>
      <c r="O18" s="5"/>
      <c r="P18" s="5"/>
      <c r="Q18" s="5"/>
      <c r="R18" s="5"/>
      <c r="S18" s="5"/>
      <c r="T18" s="5"/>
      <c r="U18" s="5"/>
      <c r="V18" s="5"/>
      <c r="W18" s="5"/>
      <c r="X18" s="5"/>
      <c r="Y18" s="5"/>
      <c r="Z18" s="5"/>
    </row>
    <row r="19" spans="2:26">
      <c r="B19" s="29"/>
      <c r="C19" s="5"/>
      <c r="D19" s="5"/>
      <c r="E19" s="5"/>
      <c r="F19" s="5"/>
      <c r="G19" s="5"/>
      <c r="H19" s="5"/>
      <c r="I19" s="5"/>
      <c r="J19" s="5"/>
      <c r="K19" s="5"/>
      <c r="L19" s="5"/>
      <c r="M19" s="5"/>
      <c r="N19" s="5"/>
      <c r="O19" s="5"/>
      <c r="P19" s="5"/>
      <c r="Q19" s="5"/>
      <c r="R19" s="5"/>
      <c r="S19" s="5"/>
      <c r="T19" s="5"/>
      <c r="U19" s="5"/>
      <c r="V19" s="5"/>
      <c r="W19" s="5"/>
      <c r="X19" s="5"/>
      <c r="Y19" s="5"/>
      <c r="Z19" s="5"/>
    </row>
    <row r="20" spans="2:26">
      <c r="B20" s="29"/>
      <c r="C20" s="5"/>
      <c r="D20" s="5"/>
      <c r="E20" s="5"/>
      <c r="F20" s="5"/>
      <c r="G20" s="5"/>
      <c r="H20" s="5"/>
      <c r="I20" s="5"/>
      <c r="J20" s="5"/>
      <c r="K20" s="5"/>
      <c r="L20" s="5"/>
      <c r="M20" s="5"/>
      <c r="N20" s="5"/>
      <c r="O20" s="5"/>
      <c r="P20" s="5"/>
      <c r="Q20" s="5"/>
      <c r="R20" s="5"/>
      <c r="S20" s="5"/>
      <c r="T20" s="5"/>
      <c r="U20" s="5"/>
      <c r="V20" s="5"/>
      <c r="W20" s="5"/>
      <c r="X20" s="5"/>
      <c r="Y20" s="5"/>
      <c r="Z20" s="5"/>
    </row>
    <row r="21" spans="2:26">
      <c r="B21" s="29"/>
      <c r="C21" s="5"/>
      <c r="D21" s="5"/>
      <c r="E21" s="5"/>
      <c r="F21" s="5"/>
      <c r="G21" s="5"/>
      <c r="H21" s="5"/>
      <c r="I21" s="5"/>
      <c r="J21" s="5"/>
      <c r="K21" s="5"/>
      <c r="L21" s="5"/>
      <c r="M21" s="5"/>
      <c r="N21" s="5"/>
      <c r="O21" s="5"/>
      <c r="P21" s="5"/>
      <c r="Q21" s="5"/>
      <c r="R21" s="5"/>
      <c r="S21" s="5"/>
      <c r="T21" s="5"/>
      <c r="U21" s="5"/>
      <c r="V21" s="5"/>
      <c r="W21" s="5"/>
      <c r="X21" s="5"/>
      <c r="Y21" s="5"/>
      <c r="Z21" s="5"/>
    </row>
    <row r="22" spans="2:26">
      <c r="B22" s="29"/>
      <c r="C22" s="5"/>
      <c r="D22" s="5"/>
      <c r="E22" s="5"/>
      <c r="F22" s="5"/>
      <c r="G22" s="5"/>
      <c r="H22" s="5"/>
      <c r="I22" s="5"/>
      <c r="J22" s="5"/>
      <c r="K22" s="5"/>
      <c r="L22" s="5"/>
      <c r="M22" s="5"/>
      <c r="N22" s="5"/>
      <c r="O22" s="5"/>
      <c r="P22" s="5"/>
      <c r="Q22" s="5"/>
      <c r="R22" s="5"/>
      <c r="S22" s="5"/>
      <c r="T22" s="5"/>
      <c r="U22" s="5"/>
      <c r="V22" s="5"/>
      <c r="W22" s="5"/>
      <c r="X22" s="5"/>
      <c r="Y22" s="5"/>
      <c r="Z22" s="5"/>
    </row>
    <row r="23" spans="2:26">
      <c r="B23" s="29"/>
      <c r="C23" s="5"/>
      <c r="D23" s="5"/>
      <c r="E23" s="5"/>
      <c r="F23" s="5"/>
      <c r="G23" s="5"/>
      <c r="H23" s="5"/>
      <c r="I23" s="5"/>
      <c r="J23" s="5"/>
      <c r="K23" s="5"/>
      <c r="L23" s="5"/>
      <c r="M23" s="5"/>
      <c r="N23" s="5"/>
      <c r="O23" s="5"/>
      <c r="P23" s="5"/>
      <c r="Q23" s="5"/>
      <c r="R23" s="5"/>
      <c r="S23" s="5"/>
      <c r="T23" s="5"/>
      <c r="U23" s="5"/>
      <c r="V23" s="5"/>
      <c r="W23" s="5"/>
      <c r="X23" s="5"/>
      <c r="Y23" s="5"/>
      <c r="Z23" s="5"/>
    </row>
    <row r="24" spans="2:26">
      <c r="B24" s="29"/>
      <c r="C24" s="5"/>
      <c r="D24" s="5"/>
      <c r="E24" s="5"/>
      <c r="F24" s="5"/>
      <c r="G24" s="5"/>
      <c r="H24" s="5"/>
      <c r="I24" s="5"/>
      <c r="J24" s="5"/>
      <c r="K24" s="5"/>
      <c r="L24" s="5"/>
      <c r="M24" s="5"/>
      <c r="N24" s="5"/>
      <c r="O24" s="5"/>
      <c r="P24" s="5"/>
      <c r="Q24" s="5"/>
      <c r="R24" s="5"/>
      <c r="S24" s="5"/>
      <c r="T24" s="5"/>
      <c r="U24" s="5"/>
      <c r="V24" s="5"/>
      <c r="W24" s="5"/>
      <c r="X24" s="5"/>
      <c r="Y24" s="5"/>
      <c r="Z24" s="5"/>
    </row>
    <row r="25" spans="2:26">
      <c r="B25" s="29"/>
      <c r="C25" s="5"/>
      <c r="D25" s="5"/>
      <c r="E25" s="5"/>
      <c r="F25" s="5"/>
      <c r="G25" s="5"/>
      <c r="H25" s="5"/>
      <c r="I25" s="5"/>
      <c r="J25" s="5"/>
      <c r="K25" s="5"/>
      <c r="L25" s="5"/>
      <c r="M25" s="5"/>
      <c r="N25" s="5"/>
      <c r="O25" s="5"/>
      <c r="P25" s="5"/>
      <c r="Q25" s="5"/>
      <c r="R25" s="5"/>
      <c r="S25" s="5"/>
      <c r="T25" s="5"/>
      <c r="U25" s="5"/>
      <c r="V25" s="5"/>
      <c r="W25" s="5"/>
      <c r="X25" s="5"/>
      <c r="Y25" s="5"/>
      <c r="Z25" s="5"/>
    </row>
    <row r="26" spans="2:26">
      <c r="B26" s="29"/>
      <c r="C26" s="5"/>
      <c r="D26" s="5"/>
      <c r="E26" s="5"/>
      <c r="F26" s="5"/>
      <c r="G26" s="5"/>
      <c r="H26" s="5"/>
      <c r="I26" s="5"/>
      <c r="J26" s="5"/>
      <c r="K26" s="5"/>
      <c r="L26" s="5"/>
      <c r="M26" s="5"/>
      <c r="N26" s="5"/>
      <c r="O26" s="5"/>
      <c r="P26" s="5"/>
      <c r="Q26" s="5"/>
      <c r="R26" s="5"/>
      <c r="S26" s="5"/>
      <c r="T26" s="5"/>
      <c r="U26" s="5"/>
      <c r="V26" s="5"/>
      <c r="W26" s="5"/>
      <c r="X26" s="5"/>
      <c r="Y26" s="5"/>
      <c r="Z26" s="5"/>
    </row>
    <row r="27" spans="2:26">
      <c r="B27" s="29"/>
      <c r="C27" s="5"/>
      <c r="D27" s="5"/>
      <c r="E27" s="5"/>
      <c r="F27" s="5"/>
      <c r="G27" s="5"/>
      <c r="H27" s="5"/>
      <c r="I27" s="5"/>
      <c r="J27" s="5"/>
      <c r="K27" s="5"/>
      <c r="L27" s="5"/>
      <c r="M27" s="5"/>
      <c r="N27" s="5"/>
      <c r="O27" s="5"/>
      <c r="P27" s="5"/>
      <c r="Q27" s="5"/>
      <c r="R27" s="5"/>
      <c r="S27" s="5"/>
      <c r="T27" s="5"/>
      <c r="U27" s="5"/>
      <c r="V27" s="5"/>
      <c r="W27" s="5"/>
      <c r="X27" s="5"/>
      <c r="Y27" s="5"/>
      <c r="Z27" s="5"/>
    </row>
    <row r="28" spans="2:26">
      <c r="B28" s="29"/>
      <c r="C28" s="5"/>
      <c r="D28" s="5"/>
      <c r="E28" s="5"/>
      <c r="F28" s="5"/>
      <c r="G28" s="5"/>
      <c r="H28" s="5"/>
      <c r="I28" s="5"/>
      <c r="J28" s="5"/>
      <c r="K28" s="5"/>
      <c r="L28" s="5"/>
      <c r="M28" s="5"/>
      <c r="N28" s="5"/>
      <c r="O28" s="5"/>
      <c r="P28" s="5"/>
      <c r="Q28" s="5"/>
      <c r="R28" s="5"/>
      <c r="S28" s="5"/>
      <c r="T28" s="5"/>
      <c r="U28" s="5"/>
      <c r="V28" s="5"/>
      <c r="W28" s="5"/>
      <c r="X28" s="5"/>
      <c r="Y28" s="5"/>
      <c r="Z28" s="5"/>
    </row>
    <row r="29" spans="2:26">
      <c r="B29" s="29"/>
      <c r="C29" s="5"/>
      <c r="D29" s="5"/>
      <c r="E29" s="5"/>
      <c r="F29" s="5"/>
      <c r="G29" s="5"/>
      <c r="H29" s="5"/>
      <c r="I29" s="5"/>
      <c r="J29" s="5"/>
      <c r="K29" s="5"/>
      <c r="L29" s="5"/>
      <c r="M29" s="5"/>
      <c r="N29" s="5"/>
      <c r="O29" s="5"/>
      <c r="P29" s="5"/>
      <c r="Q29" s="5"/>
      <c r="R29" s="5"/>
      <c r="S29" s="5"/>
      <c r="T29" s="5"/>
      <c r="U29" s="5"/>
      <c r="V29" s="5"/>
      <c r="W29" s="5"/>
      <c r="X29" s="5"/>
      <c r="Y29" s="5"/>
      <c r="Z29" s="5"/>
    </row>
    <row r="30" spans="2:26">
      <c r="B30" s="29"/>
      <c r="C30" s="5"/>
      <c r="D30" s="5"/>
      <c r="E30" s="5"/>
      <c r="F30" s="5"/>
      <c r="G30" s="5"/>
      <c r="H30" s="5"/>
      <c r="I30" s="5"/>
      <c r="J30" s="5"/>
      <c r="K30" s="5"/>
      <c r="L30" s="5"/>
      <c r="M30" s="5"/>
      <c r="N30" s="5"/>
      <c r="O30" s="5"/>
      <c r="P30" s="5"/>
      <c r="Q30" s="5"/>
      <c r="R30" s="5"/>
      <c r="S30" s="5"/>
      <c r="T30" s="5"/>
      <c r="U30" s="5"/>
      <c r="V30" s="5"/>
      <c r="W30" s="5"/>
      <c r="X30" s="5"/>
      <c r="Y30" s="5"/>
      <c r="Z30" s="5"/>
    </row>
    <row r="31" spans="2:26">
      <c r="B31" s="29"/>
      <c r="C31" s="5"/>
      <c r="D31" s="5"/>
      <c r="E31" s="5"/>
      <c r="F31" s="5"/>
      <c r="G31" s="5"/>
      <c r="H31" s="5"/>
      <c r="I31" s="5"/>
      <c r="J31" s="5"/>
      <c r="K31" s="5"/>
      <c r="L31" s="5"/>
      <c r="M31" s="5"/>
      <c r="N31" s="5"/>
      <c r="O31" s="5"/>
      <c r="P31" s="5"/>
      <c r="Q31" s="5"/>
      <c r="R31" s="5"/>
      <c r="S31" s="5"/>
      <c r="T31" s="5"/>
      <c r="U31" s="5"/>
      <c r="V31" s="5"/>
      <c r="W31" s="5"/>
      <c r="X31" s="5"/>
      <c r="Y31" s="5"/>
      <c r="Z31" s="5"/>
    </row>
    <row r="32" spans="2:26">
      <c r="B32" s="29"/>
      <c r="C32" s="5"/>
      <c r="D32" s="5"/>
      <c r="E32" s="5"/>
      <c r="F32" s="5"/>
      <c r="G32" s="5"/>
      <c r="H32" s="5"/>
      <c r="I32" s="5"/>
      <c r="J32" s="5"/>
      <c r="K32" s="5"/>
      <c r="L32" s="5"/>
      <c r="M32" s="5"/>
      <c r="N32" s="5"/>
      <c r="O32" s="5"/>
      <c r="P32" s="5"/>
      <c r="Q32" s="5"/>
      <c r="R32" s="5"/>
      <c r="S32" s="5"/>
      <c r="T32" s="5"/>
      <c r="U32" s="5"/>
      <c r="V32" s="5"/>
      <c r="W32" s="5"/>
      <c r="X32" s="5"/>
      <c r="Y32" s="5"/>
      <c r="Z32" s="5"/>
    </row>
    <row r="33" spans="2:26">
      <c r="B33" s="29"/>
      <c r="C33" s="5"/>
      <c r="D33" s="5"/>
      <c r="E33" s="5"/>
      <c r="F33" s="5"/>
      <c r="G33" s="5"/>
      <c r="H33" s="5"/>
      <c r="I33" s="5"/>
      <c r="J33" s="5"/>
      <c r="K33" s="5"/>
      <c r="L33" s="5"/>
      <c r="M33" s="5"/>
      <c r="N33" s="5"/>
      <c r="O33" s="5"/>
      <c r="P33" s="5"/>
      <c r="Q33" s="5"/>
      <c r="R33" s="5"/>
      <c r="S33" s="5"/>
      <c r="T33" s="5"/>
      <c r="U33" s="5"/>
      <c r="V33" s="5"/>
      <c r="W33" s="5"/>
      <c r="X33" s="5"/>
      <c r="Y33" s="5"/>
      <c r="Z33" s="5"/>
    </row>
    <row r="34" spans="2:26">
      <c r="B34" s="29"/>
      <c r="C34" s="5"/>
      <c r="D34" s="5"/>
      <c r="E34" s="5"/>
      <c r="F34" s="5"/>
      <c r="G34" s="5"/>
      <c r="H34" s="5"/>
      <c r="I34" s="5"/>
      <c r="J34" s="5"/>
      <c r="K34" s="5"/>
      <c r="L34" s="5"/>
      <c r="M34" s="5"/>
      <c r="N34" s="5"/>
      <c r="O34" s="5"/>
      <c r="P34" s="5"/>
      <c r="Q34" s="5"/>
      <c r="R34" s="5"/>
      <c r="S34" s="5"/>
      <c r="T34" s="5"/>
      <c r="U34" s="5"/>
      <c r="V34" s="5"/>
      <c r="W34" s="5"/>
      <c r="X34" s="5"/>
      <c r="Y34" s="5"/>
      <c r="Z34" s="5"/>
    </row>
    <row r="35" spans="2:26">
      <c r="B35" s="29"/>
      <c r="C35" s="5"/>
      <c r="D35" s="5"/>
      <c r="E35" s="5"/>
      <c r="F35" s="5"/>
      <c r="G35" s="5"/>
      <c r="H35" s="5"/>
      <c r="I35" s="5"/>
      <c r="J35" s="5"/>
      <c r="K35" s="5"/>
      <c r="L35" s="5"/>
      <c r="M35" s="5"/>
      <c r="N35" s="5"/>
      <c r="O35" s="5"/>
      <c r="P35" s="5"/>
      <c r="Q35" s="5"/>
      <c r="R35" s="5"/>
      <c r="S35" s="5"/>
      <c r="T35" s="5"/>
      <c r="U35" s="5"/>
      <c r="V35" s="5"/>
      <c r="W35" s="5"/>
      <c r="X35" s="5"/>
      <c r="Y35" s="5"/>
      <c r="Z35" s="5"/>
    </row>
    <row r="36" spans="2:26">
      <c r="B36" s="29"/>
      <c r="C36" s="5"/>
      <c r="D36" s="5"/>
      <c r="E36" s="5"/>
      <c r="F36" s="5"/>
      <c r="G36" s="5"/>
      <c r="H36" s="5"/>
      <c r="I36" s="5"/>
      <c r="J36" s="5"/>
      <c r="K36" s="5"/>
      <c r="L36" s="5"/>
      <c r="M36" s="5"/>
      <c r="N36" s="5"/>
      <c r="O36" s="5"/>
      <c r="P36" s="5"/>
      <c r="Q36" s="5"/>
      <c r="R36" s="5"/>
      <c r="S36" s="5"/>
      <c r="T36" s="5"/>
      <c r="U36" s="5"/>
      <c r="V36" s="5"/>
      <c r="W36" s="5"/>
      <c r="X36" s="5"/>
      <c r="Y36" s="5"/>
      <c r="Z36" s="5"/>
    </row>
    <row r="37" spans="2:26">
      <c r="B37" s="29"/>
      <c r="C37" s="5"/>
      <c r="D37" s="5"/>
      <c r="E37" s="5"/>
      <c r="F37" s="5"/>
      <c r="G37" s="5"/>
      <c r="H37" s="5"/>
      <c r="I37" s="5"/>
      <c r="J37" s="5"/>
      <c r="K37" s="5"/>
      <c r="L37" s="5"/>
      <c r="M37" s="5"/>
      <c r="N37" s="5"/>
      <c r="O37" s="5"/>
      <c r="P37" s="5"/>
      <c r="Q37" s="5"/>
      <c r="R37" s="5"/>
      <c r="S37" s="5"/>
      <c r="T37" s="5"/>
      <c r="U37" s="5"/>
      <c r="V37" s="5"/>
      <c r="W37" s="5"/>
      <c r="X37" s="5"/>
      <c r="Y37" s="5"/>
      <c r="Z37" s="5"/>
    </row>
    <row r="38" spans="2:26">
      <c r="B38" s="29"/>
      <c r="C38" s="5"/>
      <c r="D38" s="5"/>
      <c r="E38" s="5"/>
      <c r="F38" s="5"/>
      <c r="G38" s="5"/>
      <c r="H38" s="5"/>
      <c r="I38" s="5"/>
      <c r="J38" s="5"/>
      <c r="K38" s="5"/>
      <c r="L38" s="5"/>
      <c r="M38" s="5"/>
      <c r="N38" s="5"/>
      <c r="O38" s="5"/>
      <c r="P38" s="5"/>
      <c r="Q38" s="5"/>
      <c r="R38" s="5"/>
      <c r="S38" s="5"/>
      <c r="T38" s="5"/>
      <c r="U38" s="5"/>
      <c r="V38" s="5"/>
      <c r="W38" s="5"/>
      <c r="X38" s="5"/>
      <c r="Y38" s="5"/>
      <c r="Z38" s="5"/>
    </row>
    <row r="39" spans="2:26">
      <c r="B39" s="29"/>
      <c r="C39" s="5"/>
      <c r="D39" s="5"/>
      <c r="E39" s="5"/>
      <c r="F39" s="5"/>
      <c r="G39" s="5"/>
      <c r="H39" s="5"/>
      <c r="I39" s="5"/>
      <c r="J39" s="5"/>
      <c r="K39" s="5"/>
      <c r="L39" s="5"/>
      <c r="M39" s="5"/>
      <c r="N39" s="5"/>
      <c r="O39" s="5"/>
      <c r="P39" s="5"/>
      <c r="Q39" s="5"/>
      <c r="R39" s="5"/>
      <c r="S39" s="5"/>
      <c r="T39" s="5"/>
      <c r="U39" s="5"/>
      <c r="V39" s="5"/>
      <c r="W39" s="5"/>
      <c r="X39" s="5"/>
      <c r="Y39" s="5"/>
      <c r="Z39" s="5"/>
    </row>
    <row r="40" spans="2:26">
      <c r="B40" s="29"/>
      <c r="C40" s="5"/>
      <c r="D40" s="5"/>
      <c r="E40" s="5"/>
      <c r="F40" s="5"/>
      <c r="G40" s="5"/>
      <c r="H40" s="5"/>
      <c r="I40" s="5"/>
      <c r="J40" s="5"/>
      <c r="K40" s="5"/>
      <c r="L40" s="5"/>
      <c r="M40" s="5"/>
      <c r="N40" s="5"/>
      <c r="O40" s="5"/>
      <c r="P40" s="5"/>
      <c r="Q40" s="5"/>
      <c r="R40" s="5"/>
      <c r="S40" s="5"/>
      <c r="T40" s="5"/>
      <c r="U40" s="5"/>
      <c r="V40" s="5"/>
      <c r="W40" s="5"/>
      <c r="X40" s="5"/>
      <c r="Y40" s="5"/>
      <c r="Z40" s="5"/>
    </row>
    <row r="41" spans="2:26">
      <c r="B41" s="29"/>
      <c r="C41" s="5"/>
      <c r="D41" s="5"/>
      <c r="E41" s="5"/>
      <c r="F41" s="5"/>
      <c r="G41" s="5"/>
      <c r="H41" s="5"/>
      <c r="I41" s="5"/>
      <c r="J41" s="5"/>
      <c r="K41" s="5"/>
      <c r="L41" s="5"/>
      <c r="M41" s="5"/>
      <c r="N41" s="5"/>
      <c r="O41" s="5"/>
      <c r="P41" s="5"/>
      <c r="Q41" s="5"/>
      <c r="R41" s="5"/>
      <c r="S41" s="5"/>
      <c r="T41" s="5"/>
      <c r="U41" s="5"/>
      <c r="V41" s="5"/>
      <c r="W41" s="5"/>
      <c r="X41" s="5"/>
      <c r="Y41" s="5"/>
      <c r="Z41" s="5"/>
    </row>
    <row r="42" spans="2:26">
      <c r="B42" s="29"/>
      <c r="C42" s="5"/>
      <c r="D42" s="5"/>
      <c r="E42" s="5"/>
      <c r="F42" s="5"/>
      <c r="G42" s="5"/>
      <c r="H42" s="5"/>
      <c r="I42" s="5"/>
      <c r="J42" s="5"/>
      <c r="K42" s="5"/>
      <c r="L42" s="5"/>
      <c r="M42" s="5"/>
      <c r="N42" s="5"/>
      <c r="O42" s="5"/>
      <c r="P42" s="5"/>
      <c r="Q42" s="5"/>
      <c r="R42" s="5"/>
      <c r="S42" s="5"/>
      <c r="T42" s="5"/>
      <c r="U42" s="5"/>
      <c r="V42" s="5"/>
      <c r="W42" s="5"/>
      <c r="X42" s="5"/>
      <c r="Y42" s="5"/>
      <c r="Z42" s="5"/>
    </row>
    <row r="43" spans="2:26">
      <c r="B43" s="29"/>
      <c r="C43" s="5"/>
      <c r="D43" s="5"/>
      <c r="E43" s="5"/>
      <c r="F43" s="5"/>
      <c r="G43" s="5"/>
      <c r="H43" s="5"/>
      <c r="I43" s="5"/>
      <c r="J43" s="5"/>
      <c r="K43" s="5"/>
      <c r="L43" s="5"/>
      <c r="M43" s="5"/>
      <c r="N43" s="5"/>
      <c r="O43" s="5"/>
      <c r="P43" s="5"/>
      <c r="Q43" s="5"/>
      <c r="R43" s="5"/>
      <c r="S43" s="5"/>
      <c r="T43" s="5"/>
      <c r="U43" s="5"/>
      <c r="V43" s="5"/>
      <c r="W43" s="5"/>
      <c r="X43" s="5"/>
      <c r="Y43" s="5"/>
      <c r="Z43" s="5"/>
    </row>
    <row r="44" spans="2:26">
      <c r="B44" s="29"/>
      <c r="C44" s="5"/>
      <c r="D44" s="5"/>
      <c r="E44" s="5"/>
      <c r="F44" s="5"/>
      <c r="G44" s="5"/>
      <c r="H44" s="5"/>
      <c r="I44" s="5"/>
      <c r="J44" s="5"/>
      <c r="K44" s="5"/>
      <c r="L44" s="5"/>
      <c r="M44" s="5"/>
      <c r="N44" s="5"/>
      <c r="O44" s="5"/>
      <c r="P44" s="5"/>
      <c r="Q44" s="5"/>
      <c r="R44" s="5"/>
      <c r="S44" s="5"/>
      <c r="T44" s="5"/>
      <c r="U44" s="5"/>
      <c r="V44" s="5"/>
      <c r="W44" s="5"/>
      <c r="X44" s="5"/>
      <c r="Y44" s="5"/>
      <c r="Z44" s="5"/>
    </row>
    <row r="45" spans="2:26">
      <c r="B45" s="29"/>
      <c r="C45" s="5"/>
      <c r="D45" s="5"/>
      <c r="E45" s="5"/>
      <c r="F45" s="5"/>
      <c r="G45" s="5"/>
      <c r="H45" s="5"/>
      <c r="I45" s="5"/>
      <c r="J45" s="5"/>
      <c r="K45" s="5"/>
      <c r="L45" s="5"/>
      <c r="M45" s="5"/>
      <c r="N45" s="5"/>
      <c r="O45" s="5"/>
      <c r="P45" s="5"/>
      <c r="Q45" s="5"/>
      <c r="R45" s="5"/>
      <c r="S45" s="5"/>
      <c r="T45" s="5"/>
      <c r="U45" s="5"/>
      <c r="V45" s="5"/>
      <c r="W45" s="5"/>
      <c r="X45" s="5"/>
      <c r="Y45" s="5"/>
      <c r="Z45" s="5"/>
    </row>
    <row r="46" spans="2:26">
      <c r="B46" s="29"/>
      <c r="C46" s="5"/>
      <c r="D46" s="5"/>
      <c r="E46" s="5"/>
      <c r="F46" s="5"/>
      <c r="G46" s="5"/>
      <c r="H46" s="5"/>
      <c r="I46" s="5"/>
      <c r="J46" s="5"/>
      <c r="K46" s="5"/>
      <c r="L46" s="5"/>
      <c r="M46" s="5"/>
      <c r="N46" s="5"/>
      <c r="O46" s="5"/>
      <c r="P46" s="5"/>
      <c r="Q46" s="5"/>
      <c r="R46" s="5"/>
      <c r="S46" s="5"/>
      <c r="T46" s="5"/>
      <c r="U46" s="5"/>
      <c r="V46" s="5"/>
      <c r="W46" s="5"/>
      <c r="X46" s="5"/>
      <c r="Y46" s="5"/>
      <c r="Z46" s="5"/>
    </row>
    <row r="47" spans="2:26">
      <c r="B47" s="29"/>
      <c r="C47" s="5"/>
      <c r="D47" s="5"/>
      <c r="E47" s="5"/>
      <c r="F47" s="5"/>
      <c r="G47" s="5"/>
      <c r="H47" s="5"/>
      <c r="I47" s="5"/>
      <c r="J47" s="5"/>
      <c r="K47" s="5"/>
      <c r="L47" s="5"/>
      <c r="M47" s="5"/>
      <c r="N47" s="5"/>
      <c r="O47" s="5"/>
      <c r="P47" s="5"/>
      <c r="Q47" s="5"/>
      <c r="R47" s="5"/>
      <c r="S47" s="5"/>
      <c r="T47" s="5"/>
      <c r="U47" s="5"/>
      <c r="V47" s="5"/>
      <c r="W47" s="5"/>
      <c r="X47" s="5"/>
      <c r="Y47" s="5"/>
      <c r="Z47" s="5"/>
    </row>
    <row r="48" spans="2:26">
      <c r="B48" s="29"/>
      <c r="C48" s="5"/>
      <c r="D48" s="5"/>
      <c r="E48" s="5"/>
      <c r="F48" s="5"/>
      <c r="G48" s="5"/>
      <c r="H48" s="5"/>
      <c r="I48" s="5"/>
      <c r="J48" s="5"/>
      <c r="K48" s="5"/>
      <c r="L48" s="5"/>
      <c r="M48" s="5"/>
      <c r="N48" s="5"/>
      <c r="O48" s="5"/>
      <c r="P48" s="5"/>
      <c r="Q48" s="5"/>
      <c r="R48" s="5"/>
      <c r="S48" s="5"/>
      <c r="T48" s="5"/>
      <c r="U48" s="5"/>
      <c r="V48" s="5"/>
      <c r="W48" s="5"/>
      <c r="X48" s="5"/>
      <c r="Y48" s="5"/>
      <c r="Z48" s="5"/>
    </row>
    <row r="49" spans="2:26">
      <c r="B49" s="29"/>
      <c r="C49" s="5"/>
      <c r="D49" s="5"/>
      <c r="E49" s="5"/>
      <c r="F49" s="5"/>
      <c r="G49" s="5"/>
      <c r="H49" s="5"/>
      <c r="I49" s="5"/>
      <c r="J49" s="5"/>
      <c r="K49" s="5"/>
      <c r="L49" s="5"/>
      <c r="M49" s="5"/>
      <c r="N49" s="5"/>
      <c r="O49" s="5"/>
      <c r="P49" s="5"/>
      <c r="Q49" s="5"/>
      <c r="R49" s="5"/>
      <c r="S49" s="5"/>
      <c r="T49" s="5"/>
      <c r="U49" s="5"/>
      <c r="V49" s="5"/>
      <c r="W49" s="5"/>
      <c r="X49" s="5"/>
      <c r="Y49" s="5"/>
      <c r="Z49" s="5"/>
    </row>
    <row r="50" spans="2:26">
      <c r="B50" s="29"/>
      <c r="C50" s="5"/>
      <c r="D50" s="5"/>
      <c r="E50" s="5"/>
      <c r="F50" s="5"/>
      <c r="G50" s="5"/>
      <c r="H50" s="5"/>
      <c r="I50" s="5"/>
      <c r="J50" s="5"/>
      <c r="K50" s="5"/>
      <c r="L50" s="5"/>
      <c r="M50" s="5"/>
      <c r="N50" s="5"/>
      <c r="O50" s="5"/>
      <c r="P50" s="5"/>
      <c r="Q50" s="5"/>
      <c r="R50" s="5"/>
      <c r="S50" s="5"/>
      <c r="T50" s="5"/>
      <c r="U50" s="5"/>
      <c r="V50" s="5"/>
      <c r="W50" s="5"/>
      <c r="X50" s="5"/>
      <c r="Y50" s="5"/>
      <c r="Z50" s="5"/>
    </row>
    <row r="51" spans="2:26">
      <c r="B51" s="29"/>
      <c r="C51" s="5"/>
      <c r="D51" s="5"/>
      <c r="E51" s="5"/>
      <c r="F51" s="5"/>
      <c r="G51" s="5"/>
      <c r="H51" s="5"/>
      <c r="I51" s="5"/>
      <c r="J51" s="5"/>
      <c r="K51" s="5"/>
      <c r="L51" s="5"/>
      <c r="M51" s="5"/>
      <c r="N51" s="5"/>
      <c r="O51" s="5"/>
      <c r="P51" s="5"/>
      <c r="Q51" s="5"/>
      <c r="R51" s="5"/>
      <c r="S51" s="5"/>
      <c r="T51" s="5"/>
      <c r="U51" s="5"/>
      <c r="V51" s="5"/>
      <c r="W51" s="5"/>
      <c r="X51" s="5"/>
      <c r="Y51" s="5"/>
      <c r="Z51" s="5"/>
    </row>
    <row r="52" spans="2:26">
      <c r="B52" s="29"/>
      <c r="C52" s="5"/>
      <c r="D52" s="5"/>
      <c r="E52" s="5"/>
      <c r="F52" s="5"/>
      <c r="G52" s="5"/>
      <c r="H52" s="5"/>
      <c r="I52" s="5"/>
      <c r="J52" s="5"/>
      <c r="K52" s="5"/>
      <c r="L52" s="5"/>
      <c r="M52" s="5"/>
      <c r="N52" s="5"/>
      <c r="O52" s="5"/>
      <c r="P52" s="5"/>
      <c r="Q52" s="5"/>
      <c r="R52" s="5"/>
      <c r="S52" s="5"/>
      <c r="T52" s="5"/>
      <c r="U52" s="5"/>
      <c r="V52" s="5"/>
      <c r="W52" s="5"/>
      <c r="X52" s="5"/>
      <c r="Y52" s="5"/>
      <c r="Z52" s="5"/>
    </row>
    <row r="53" spans="2:26">
      <c r="B53" s="29"/>
      <c r="C53" s="5"/>
      <c r="D53" s="5"/>
      <c r="E53" s="5"/>
      <c r="F53" s="5"/>
      <c r="G53" s="5"/>
      <c r="H53" s="5"/>
      <c r="I53" s="5"/>
      <c r="J53" s="5"/>
      <c r="K53" s="5"/>
      <c r="L53" s="5"/>
      <c r="M53" s="5"/>
      <c r="N53" s="5"/>
      <c r="O53" s="5"/>
      <c r="P53" s="5"/>
      <c r="Q53" s="5"/>
      <c r="R53" s="5"/>
      <c r="S53" s="5"/>
      <c r="T53" s="5"/>
      <c r="U53" s="5"/>
      <c r="V53" s="5"/>
      <c r="W53" s="5"/>
      <c r="X53" s="5"/>
      <c r="Y53" s="5"/>
      <c r="Z53" s="5"/>
    </row>
    <row r="54" spans="2:26">
      <c r="B54" s="29"/>
      <c r="C54" s="5"/>
      <c r="D54" s="5"/>
      <c r="E54" s="5"/>
      <c r="F54" s="5"/>
      <c r="G54" s="5"/>
      <c r="H54" s="5"/>
      <c r="I54" s="5"/>
      <c r="J54" s="5"/>
      <c r="K54" s="5"/>
      <c r="L54" s="5"/>
      <c r="M54" s="5"/>
      <c r="N54" s="5"/>
      <c r="O54" s="5"/>
      <c r="P54" s="5"/>
      <c r="Q54" s="5"/>
      <c r="R54" s="5"/>
      <c r="S54" s="5"/>
      <c r="T54" s="5"/>
      <c r="U54" s="5"/>
      <c r="V54" s="5"/>
      <c r="W54" s="5"/>
      <c r="X54" s="5"/>
      <c r="Y54" s="5"/>
      <c r="Z54" s="5"/>
    </row>
    <row r="55" spans="2:26">
      <c r="B55" s="29"/>
      <c r="C55" s="5"/>
      <c r="D55" s="5"/>
      <c r="E55" s="5"/>
      <c r="F55" s="5"/>
      <c r="G55" s="5"/>
      <c r="H55" s="5"/>
      <c r="I55" s="5"/>
      <c r="J55" s="5"/>
      <c r="K55" s="5"/>
      <c r="L55" s="5"/>
      <c r="M55" s="5"/>
      <c r="N55" s="5"/>
      <c r="O55" s="5"/>
      <c r="P55" s="5"/>
      <c r="Q55" s="5"/>
      <c r="R55" s="5"/>
      <c r="S55" s="5"/>
      <c r="T55" s="5"/>
      <c r="U55" s="5"/>
      <c r="V55" s="5"/>
      <c r="W55" s="5"/>
      <c r="X55" s="5"/>
      <c r="Y55" s="5"/>
      <c r="Z55" s="5"/>
    </row>
    <row r="56" spans="2:26">
      <c r="B56" s="29"/>
      <c r="C56" s="5"/>
      <c r="D56" s="5"/>
      <c r="E56" s="5"/>
      <c r="F56" s="5"/>
      <c r="G56" s="5"/>
      <c r="H56" s="5"/>
      <c r="I56" s="5"/>
      <c r="J56" s="5"/>
      <c r="K56" s="5"/>
      <c r="L56" s="5"/>
      <c r="M56" s="5"/>
      <c r="N56" s="5"/>
      <c r="O56" s="5"/>
      <c r="P56" s="5"/>
      <c r="Q56" s="5"/>
      <c r="R56" s="5"/>
      <c r="S56" s="5"/>
      <c r="T56" s="5"/>
      <c r="U56" s="5"/>
      <c r="V56" s="5"/>
      <c r="W56" s="5"/>
      <c r="X56" s="5"/>
      <c r="Y56" s="5"/>
      <c r="Z56" s="5"/>
    </row>
    <row r="57" spans="2:26">
      <c r="B57" s="29"/>
      <c r="C57" s="5"/>
      <c r="D57" s="5"/>
      <c r="E57" s="5"/>
      <c r="F57" s="5"/>
      <c r="G57" s="5"/>
      <c r="H57" s="5"/>
      <c r="I57" s="5"/>
      <c r="J57" s="5"/>
      <c r="K57" s="5"/>
      <c r="L57" s="5"/>
      <c r="M57" s="5"/>
      <c r="N57" s="5"/>
      <c r="O57" s="5"/>
      <c r="P57" s="5"/>
      <c r="Q57" s="5"/>
      <c r="R57" s="5"/>
      <c r="S57" s="5"/>
      <c r="T57" s="5"/>
      <c r="U57" s="5"/>
      <c r="V57" s="5"/>
      <c r="W57" s="5"/>
      <c r="X57" s="5"/>
      <c r="Y57" s="5"/>
      <c r="Z57" s="5"/>
    </row>
    <row r="58" spans="2:26">
      <c r="B58" s="29"/>
      <c r="C58" s="5"/>
      <c r="D58" s="5"/>
      <c r="E58" s="5"/>
      <c r="F58" s="5"/>
      <c r="G58" s="5"/>
      <c r="H58" s="5"/>
      <c r="I58" s="5"/>
      <c r="J58" s="5"/>
      <c r="K58" s="5"/>
      <c r="L58" s="5"/>
      <c r="M58" s="5"/>
      <c r="N58" s="5"/>
      <c r="O58" s="5"/>
      <c r="P58" s="5"/>
      <c r="Q58" s="5"/>
      <c r="R58" s="5"/>
      <c r="S58" s="5"/>
      <c r="T58" s="5"/>
      <c r="U58" s="5"/>
      <c r="V58" s="5"/>
      <c r="W58" s="5"/>
      <c r="X58" s="5"/>
      <c r="Y58" s="5"/>
      <c r="Z58" s="5"/>
    </row>
    <row r="59" spans="2:26">
      <c r="B59" s="29"/>
      <c r="C59" s="5"/>
      <c r="D59" s="5"/>
      <c r="E59" s="5"/>
      <c r="F59" s="5"/>
      <c r="G59" s="5"/>
      <c r="H59" s="5"/>
      <c r="I59" s="5"/>
      <c r="J59" s="5"/>
      <c r="K59" s="5"/>
      <c r="L59" s="5"/>
      <c r="M59" s="5"/>
      <c r="N59" s="5"/>
      <c r="O59" s="5"/>
      <c r="P59" s="5"/>
      <c r="Q59" s="5"/>
      <c r="R59" s="5"/>
      <c r="S59" s="5"/>
      <c r="T59" s="5"/>
      <c r="U59" s="5"/>
      <c r="V59" s="5"/>
      <c r="W59" s="5"/>
      <c r="X59" s="5"/>
      <c r="Y59" s="5"/>
      <c r="Z59" s="5"/>
    </row>
    <row r="60" spans="2:26">
      <c r="B60" s="29"/>
      <c r="C60" s="5"/>
      <c r="D60" s="5"/>
      <c r="E60" s="5"/>
      <c r="F60" s="5"/>
      <c r="G60" s="5"/>
      <c r="H60" s="5"/>
      <c r="I60" s="5"/>
      <c r="J60" s="5"/>
      <c r="K60" s="5"/>
      <c r="L60" s="5"/>
      <c r="M60" s="5"/>
      <c r="N60" s="5"/>
      <c r="O60" s="5"/>
      <c r="P60" s="5"/>
      <c r="Q60" s="5"/>
      <c r="R60" s="5"/>
      <c r="S60" s="5"/>
      <c r="T60" s="5"/>
      <c r="U60" s="5"/>
      <c r="V60" s="5"/>
      <c r="W60" s="5"/>
      <c r="X60" s="5"/>
      <c r="Y60" s="5"/>
      <c r="Z60" s="5"/>
    </row>
    <row r="61" spans="2:26">
      <c r="B61" s="29"/>
      <c r="C61" s="5"/>
      <c r="D61" s="5"/>
      <c r="E61" s="5"/>
      <c r="F61" s="5"/>
      <c r="G61" s="5"/>
      <c r="H61" s="5"/>
      <c r="I61" s="5"/>
      <c r="J61" s="5"/>
      <c r="K61" s="5"/>
      <c r="L61" s="5"/>
      <c r="M61" s="5"/>
      <c r="N61" s="5"/>
      <c r="O61" s="5"/>
      <c r="P61" s="5"/>
      <c r="Q61" s="5"/>
      <c r="R61" s="5"/>
      <c r="S61" s="5"/>
      <c r="T61" s="5"/>
      <c r="U61" s="5"/>
      <c r="V61" s="5"/>
      <c r="W61" s="5"/>
      <c r="X61" s="5"/>
      <c r="Y61" s="5"/>
      <c r="Z61" s="5"/>
    </row>
    <row r="62" spans="2:26">
      <c r="B62" s="29"/>
      <c r="C62" s="5"/>
      <c r="D62" s="5"/>
      <c r="E62" s="5"/>
      <c r="F62" s="5"/>
      <c r="G62" s="5"/>
      <c r="H62" s="5"/>
      <c r="I62" s="5"/>
      <c r="J62" s="5"/>
      <c r="K62" s="5"/>
      <c r="L62" s="5"/>
      <c r="M62" s="5"/>
      <c r="N62" s="5"/>
      <c r="O62" s="5"/>
      <c r="P62" s="5"/>
      <c r="Q62" s="5"/>
      <c r="R62" s="5"/>
      <c r="S62" s="5"/>
      <c r="T62" s="5"/>
      <c r="U62" s="5"/>
      <c r="V62" s="5"/>
      <c r="W62" s="5"/>
      <c r="X62" s="5"/>
      <c r="Y62" s="5"/>
      <c r="Z62" s="5"/>
    </row>
    <row r="63" spans="2:26">
      <c r="B63" s="29"/>
      <c r="C63" s="5"/>
      <c r="D63" s="5"/>
      <c r="E63" s="5"/>
      <c r="F63" s="5"/>
      <c r="G63" s="5"/>
      <c r="H63" s="5"/>
      <c r="I63" s="5"/>
      <c r="J63" s="5"/>
      <c r="K63" s="5"/>
      <c r="L63" s="5"/>
      <c r="M63" s="5"/>
      <c r="N63" s="5"/>
      <c r="O63" s="5"/>
      <c r="P63" s="5"/>
      <c r="Q63" s="5"/>
      <c r="R63" s="5"/>
      <c r="S63" s="5"/>
      <c r="T63" s="5"/>
      <c r="U63" s="5"/>
      <c r="V63" s="5"/>
      <c r="W63" s="5"/>
      <c r="X63" s="5"/>
      <c r="Y63" s="5"/>
      <c r="Z63" s="5"/>
    </row>
    <row r="64" spans="2:26">
      <c r="B64" s="29"/>
      <c r="C64" s="5"/>
      <c r="D64" s="5"/>
      <c r="E64" s="5"/>
      <c r="F64" s="5"/>
      <c r="G64" s="5"/>
      <c r="H64" s="5"/>
      <c r="I64" s="5"/>
      <c r="J64" s="5"/>
      <c r="K64" s="5"/>
      <c r="L64" s="5"/>
      <c r="M64" s="5"/>
      <c r="N64" s="5"/>
      <c r="O64" s="5"/>
      <c r="P64" s="5"/>
      <c r="Q64" s="5"/>
      <c r="R64" s="5"/>
      <c r="S64" s="5"/>
      <c r="T64" s="5"/>
      <c r="U64" s="5"/>
      <c r="V64" s="5"/>
      <c r="W64" s="5"/>
      <c r="X64" s="5"/>
      <c r="Y64" s="5"/>
      <c r="Z64" s="5"/>
    </row>
    <row r="65" spans="2:26">
      <c r="B65" s="29"/>
      <c r="C65" s="5"/>
      <c r="D65" s="5"/>
      <c r="E65" s="5"/>
      <c r="F65" s="5"/>
      <c r="G65" s="5"/>
      <c r="H65" s="5"/>
      <c r="I65" s="5"/>
      <c r="J65" s="5"/>
      <c r="K65" s="5"/>
      <c r="L65" s="5"/>
      <c r="M65" s="5"/>
      <c r="N65" s="5"/>
      <c r="O65" s="5"/>
      <c r="P65" s="5"/>
      <c r="Q65" s="5"/>
      <c r="R65" s="5"/>
      <c r="S65" s="5"/>
      <c r="T65" s="5"/>
      <c r="U65" s="5"/>
      <c r="V65" s="5"/>
      <c r="W65" s="5"/>
      <c r="X65" s="5"/>
      <c r="Y65" s="5"/>
      <c r="Z65" s="5"/>
    </row>
    <row r="66" spans="2:26">
      <c r="B66" s="29"/>
      <c r="C66" s="5"/>
      <c r="D66" s="5"/>
      <c r="E66" s="5"/>
      <c r="F66" s="5"/>
      <c r="G66" s="5"/>
      <c r="H66" s="5"/>
      <c r="I66" s="5"/>
      <c r="J66" s="5"/>
      <c r="K66" s="5"/>
      <c r="L66" s="5"/>
      <c r="M66" s="5"/>
      <c r="N66" s="5"/>
      <c r="O66" s="5"/>
      <c r="P66" s="5"/>
      <c r="Q66" s="5"/>
      <c r="R66" s="5"/>
      <c r="S66" s="5"/>
      <c r="T66" s="5"/>
      <c r="U66" s="5"/>
      <c r="V66" s="5"/>
      <c r="W66" s="5"/>
      <c r="X66" s="5"/>
      <c r="Y66" s="5"/>
      <c r="Z66" s="5"/>
    </row>
    <row r="67" spans="2:26">
      <c r="B67" s="29"/>
      <c r="C67" s="5"/>
      <c r="D67" s="5"/>
      <c r="E67" s="5"/>
      <c r="F67" s="5"/>
      <c r="G67" s="5"/>
      <c r="H67" s="5"/>
      <c r="I67" s="5"/>
      <c r="J67" s="5"/>
      <c r="K67" s="5"/>
      <c r="L67" s="5"/>
      <c r="M67" s="5"/>
      <c r="N67" s="5"/>
      <c r="O67" s="5"/>
      <c r="P67" s="5"/>
      <c r="Q67" s="5"/>
      <c r="R67" s="5"/>
      <c r="S67" s="5"/>
      <c r="T67" s="5"/>
      <c r="U67" s="5"/>
      <c r="V67" s="5"/>
      <c r="W67" s="5"/>
      <c r="X67" s="5"/>
      <c r="Y67" s="5"/>
      <c r="Z67" s="5"/>
    </row>
    <row r="68" spans="2:26">
      <c r="B68" s="29"/>
      <c r="C68" s="5"/>
      <c r="D68" s="5"/>
      <c r="E68" s="5"/>
      <c r="F68" s="5"/>
      <c r="G68" s="5"/>
      <c r="H68" s="5"/>
      <c r="I68" s="5"/>
      <c r="J68" s="5"/>
      <c r="K68" s="5"/>
      <c r="L68" s="5"/>
      <c r="M68" s="5"/>
      <c r="N68" s="5"/>
      <c r="O68" s="5"/>
      <c r="P68" s="5"/>
      <c r="Q68" s="5"/>
      <c r="R68" s="5"/>
      <c r="S68" s="5"/>
      <c r="T68" s="5"/>
      <c r="U68" s="5"/>
      <c r="V68" s="5"/>
      <c r="W68" s="5"/>
      <c r="X68" s="5"/>
      <c r="Y68" s="5"/>
      <c r="Z68" s="5"/>
    </row>
    <row r="69" spans="2:26">
      <c r="B69" s="29"/>
      <c r="C69" s="5"/>
      <c r="D69" s="5"/>
      <c r="E69" s="5"/>
      <c r="F69" s="5"/>
      <c r="G69" s="5"/>
      <c r="H69" s="5"/>
      <c r="I69" s="5"/>
      <c r="J69" s="5"/>
      <c r="K69" s="5"/>
      <c r="L69" s="5"/>
      <c r="M69" s="5"/>
      <c r="N69" s="5"/>
      <c r="O69" s="5"/>
      <c r="P69" s="5"/>
      <c r="Q69" s="5"/>
      <c r="R69" s="5"/>
      <c r="S69" s="5"/>
      <c r="T69" s="5"/>
      <c r="U69" s="5"/>
      <c r="V69" s="5"/>
      <c r="W69" s="5"/>
      <c r="X69" s="5"/>
      <c r="Y69" s="5"/>
      <c r="Z69" s="5"/>
    </row>
    <row r="70" spans="2:26">
      <c r="B70" s="29"/>
      <c r="C70" s="5"/>
      <c r="D70" s="5"/>
      <c r="E70" s="5"/>
      <c r="F70" s="5"/>
      <c r="G70" s="5"/>
      <c r="H70" s="5"/>
      <c r="I70" s="5"/>
      <c r="J70" s="5"/>
      <c r="K70" s="5"/>
      <c r="L70" s="5"/>
      <c r="M70" s="5"/>
      <c r="N70" s="5"/>
      <c r="O70" s="5"/>
      <c r="P70" s="5"/>
      <c r="Q70" s="5"/>
      <c r="R70" s="5"/>
      <c r="S70" s="5"/>
      <c r="T70" s="5"/>
      <c r="U70" s="5"/>
      <c r="V70" s="5"/>
      <c r="W70" s="5"/>
      <c r="X70" s="5"/>
      <c r="Y70" s="5"/>
      <c r="Z70" s="5"/>
    </row>
    <row r="71" spans="2:26">
      <c r="B71" s="29"/>
      <c r="C71" s="5"/>
      <c r="D71" s="5"/>
      <c r="E71" s="5"/>
      <c r="F71" s="5"/>
      <c r="G71" s="5"/>
      <c r="H71" s="5"/>
      <c r="I71" s="5"/>
      <c r="J71" s="5"/>
      <c r="K71" s="5"/>
      <c r="L71" s="5"/>
      <c r="M71" s="5"/>
      <c r="N71" s="5"/>
      <c r="O71" s="5"/>
      <c r="P71" s="5"/>
      <c r="Q71" s="5"/>
      <c r="R71" s="5"/>
      <c r="S71" s="5"/>
      <c r="T71" s="5"/>
      <c r="U71" s="5"/>
      <c r="V71" s="5"/>
      <c r="W71" s="5"/>
      <c r="X71" s="5"/>
      <c r="Y71" s="5"/>
      <c r="Z71" s="5"/>
    </row>
    <row r="72" spans="2:26">
      <c r="B72" s="29"/>
      <c r="C72" s="5"/>
      <c r="D72" s="5"/>
      <c r="E72" s="5"/>
      <c r="F72" s="5"/>
      <c r="G72" s="5"/>
      <c r="H72" s="5"/>
      <c r="I72" s="5"/>
      <c r="J72" s="5"/>
      <c r="K72" s="5"/>
      <c r="L72" s="5"/>
      <c r="M72" s="5"/>
      <c r="N72" s="5"/>
      <c r="O72" s="5"/>
      <c r="P72" s="5"/>
      <c r="Q72" s="5"/>
      <c r="R72" s="5"/>
      <c r="S72" s="5"/>
      <c r="T72" s="5"/>
      <c r="U72" s="5"/>
      <c r="V72" s="5"/>
      <c r="W72" s="5"/>
      <c r="X72" s="5"/>
      <c r="Y72" s="5"/>
      <c r="Z72" s="5"/>
    </row>
    <row r="73" spans="2:26">
      <c r="B73" s="29"/>
      <c r="C73" s="5"/>
      <c r="D73" s="5"/>
      <c r="E73" s="5"/>
      <c r="F73" s="5"/>
      <c r="G73" s="5"/>
      <c r="H73" s="5"/>
      <c r="I73" s="5"/>
      <c r="J73" s="5"/>
      <c r="K73" s="5"/>
      <c r="L73" s="5"/>
      <c r="M73" s="5"/>
      <c r="N73" s="5"/>
      <c r="O73" s="5"/>
      <c r="P73" s="5"/>
      <c r="Q73" s="5"/>
      <c r="R73" s="5"/>
      <c r="S73" s="5"/>
      <c r="T73" s="5"/>
      <c r="U73" s="5"/>
      <c r="V73" s="5"/>
      <c r="W73" s="5"/>
      <c r="X73" s="5"/>
      <c r="Y73" s="5"/>
      <c r="Z73" s="5"/>
    </row>
    <row r="74" spans="2:26">
      <c r="B74" s="29"/>
      <c r="C74" s="5"/>
      <c r="D74" s="5"/>
      <c r="E74" s="5"/>
      <c r="F74" s="5"/>
      <c r="G74" s="5"/>
      <c r="H74" s="5"/>
      <c r="I74" s="5"/>
      <c r="J74" s="5"/>
      <c r="K74" s="5"/>
      <c r="L74" s="5"/>
      <c r="M74" s="5"/>
      <c r="N74" s="5"/>
      <c r="O74" s="5"/>
      <c r="P74" s="5"/>
      <c r="Q74" s="5"/>
      <c r="R74" s="5"/>
      <c r="S74" s="5"/>
      <c r="T74" s="5"/>
      <c r="U74" s="5"/>
      <c r="V74" s="5"/>
      <c r="W74" s="5"/>
      <c r="X74" s="5"/>
      <c r="Y74" s="5"/>
      <c r="Z74" s="5"/>
    </row>
    <row r="75" spans="2:26">
      <c r="B75" s="29"/>
      <c r="C75" s="5"/>
      <c r="D75" s="5"/>
      <c r="E75" s="5"/>
      <c r="F75" s="5"/>
      <c r="G75" s="5"/>
      <c r="H75" s="5"/>
      <c r="I75" s="5"/>
      <c r="J75" s="5"/>
      <c r="K75" s="5"/>
      <c r="L75" s="5"/>
      <c r="M75" s="5"/>
      <c r="N75" s="5"/>
      <c r="O75" s="5"/>
      <c r="P75" s="5"/>
      <c r="Q75" s="5"/>
      <c r="R75" s="5"/>
      <c r="S75" s="5"/>
      <c r="T75" s="5"/>
      <c r="U75" s="5"/>
      <c r="V75" s="5"/>
      <c r="W75" s="5"/>
      <c r="X75" s="5"/>
      <c r="Y75" s="5"/>
      <c r="Z75" s="5"/>
    </row>
    <row r="76" spans="2:26">
      <c r="B76" s="29"/>
      <c r="C76" s="5"/>
      <c r="D76" s="5"/>
      <c r="E76" s="5"/>
      <c r="F76" s="5"/>
      <c r="G76" s="5"/>
      <c r="H76" s="5"/>
      <c r="I76" s="5"/>
      <c r="J76" s="5"/>
      <c r="K76" s="5"/>
      <c r="L76" s="5"/>
      <c r="M76" s="5"/>
      <c r="N76" s="5"/>
      <c r="O76" s="5"/>
      <c r="P76" s="5"/>
      <c r="Q76" s="5"/>
      <c r="R76" s="5"/>
      <c r="S76" s="5"/>
      <c r="T76" s="5"/>
      <c r="U76" s="5"/>
      <c r="V76" s="5"/>
      <c r="W76" s="5"/>
      <c r="X76" s="5"/>
      <c r="Y76" s="5"/>
      <c r="Z76" s="5"/>
    </row>
    <row r="77" spans="2:26">
      <c r="B77" s="29"/>
      <c r="C77" s="5"/>
      <c r="D77" s="5"/>
      <c r="E77" s="5"/>
      <c r="F77" s="5"/>
      <c r="G77" s="5"/>
      <c r="H77" s="5"/>
      <c r="I77" s="5"/>
      <c r="J77" s="5"/>
      <c r="K77" s="5"/>
      <c r="L77" s="5"/>
      <c r="M77" s="5"/>
      <c r="N77" s="5"/>
      <c r="O77" s="5"/>
      <c r="P77" s="5"/>
      <c r="Q77" s="5"/>
      <c r="R77" s="5"/>
      <c r="S77" s="5"/>
      <c r="T77" s="5"/>
      <c r="U77" s="5"/>
      <c r="V77" s="5"/>
      <c r="W77" s="5"/>
      <c r="X77" s="5"/>
      <c r="Y77" s="5"/>
      <c r="Z77" s="5"/>
    </row>
    <row r="78" spans="2:26">
      <c r="B78" s="29"/>
      <c r="C78" s="5"/>
      <c r="D78" s="5"/>
      <c r="E78" s="5"/>
      <c r="F78" s="5"/>
      <c r="G78" s="5"/>
      <c r="H78" s="5"/>
      <c r="I78" s="5"/>
      <c r="J78" s="5"/>
      <c r="K78" s="5"/>
      <c r="L78" s="5"/>
      <c r="M78" s="5"/>
      <c r="N78" s="5"/>
      <c r="O78" s="5"/>
      <c r="P78" s="5"/>
      <c r="Q78" s="5"/>
      <c r="R78" s="5"/>
      <c r="S78" s="5"/>
      <c r="T78" s="5"/>
      <c r="U78" s="5"/>
      <c r="V78" s="5"/>
      <c r="W78" s="5"/>
      <c r="X78" s="5"/>
      <c r="Y78" s="5"/>
      <c r="Z78" s="5"/>
    </row>
    <row r="79" spans="2:26">
      <c r="B79" s="29"/>
      <c r="C79" s="5"/>
      <c r="D79" s="5"/>
      <c r="E79" s="5"/>
      <c r="F79" s="5"/>
      <c r="G79" s="5"/>
      <c r="H79" s="5"/>
      <c r="I79" s="5"/>
      <c r="J79" s="5"/>
      <c r="K79" s="5"/>
      <c r="L79" s="5"/>
      <c r="M79" s="5"/>
      <c r="N79" s="5"/>
      <c r="O79" s="5"/>
      <c r="P79" s="5"/>
      <c r="Q79" s="5"/>
      <c r="R79" s="5"/>
      <c r="S79" s="5"/>
      <c r="T79" s="5"/>
      <c r="U79" s="5"/>
      <c r="V79" s="5"/>
      <c r="W79" s="5"/>
      <c r="X79" s="5"/>
      <c r="Y79" s="5"/>
      <c r="Z79" s="5"/>
    </row>
    <row r="80" spans="2:26">
      <c r="B80" s="29"/>
      <c r="C80" s="5"/>
      <c r="D80" s="5"/>
      <c r="E80" s="5"/>
      <c r="F80" s="5"/>
      <c r="G80" s="5"/>
      <c r="H80" s="5"/>
      <c r="I80" s="5"/>
      <c r="J80" s="5"/>
      <c r="K80" s="5"/>
      <c r="L80" s="5"/>
      <c r="M80" s="5"/>
      <c r="N80" s="5"/>
      <c r="O80" s="5"/>
      <c r="P80" s="5"/>
      <c r="Q80" s="5"/>
      <c r="R80" s="5"/>
      <c r="S80" s="5"/>
      <c r="T80" s="5"/>
      <c r="U80" s="5"/>
      <c r="V80" s="5"/>
      <c r="W80" s="5"/>
      <c r="X80" s="5"/>
      <c r="Y80" s="5"/>
      <c r="Z80" s="5"/>
    </row>
    <row r="81" spans="2:26">
      <c r="B81" s="29"/>
      <c r="C81" s="5"/>
      <c r="D81" s="5"/>
      <c r="E81" s="5"/>
      <c r="F81" s="5"/>
      <c r="G81" s="5"/>
      <c r="H81" s="5"/>
      <c r="I81" s="5"/>
      <c r="J81" s="5"/>
      <c r="K81" s="5"/>
      <c r="L81" s="5"/>
      <c r="M81" s="5"/>
      <c r="N81" s="5"/>
      <c r="O81" s="5"/>
      <c r="P81" s="5"/>
      <c r="Q81" s="5"/>
      <c r="R81" s="5"/>
      <c r="S81" s="5"/>
      <c r="T81" s="5"/>
      <c r="U81" s="5"/>
      <c r="V81" s="5"/>
      <c r="W81" s="5"/>
      <c r="X81" s="5"/>
      <c r="Y81" s="5"/>
      <c r="Z81" s="5"/>
    </row>
    <row r="82" spans="2:26">
      <c r="B82" s="29"/>
      <c r="C82" s="5"/>
      <c r="D82" s="5"/>
      <c r="E82" s="5"/>
      <c r="F82" s="5"/>
      <c r="G82" s="5"/>
      <c r="H82" s="5"/>
      <c r="I82" s="5"/>
      <c r="J82" s="5"/>
      <c r="K82" s="5"/>
      <c r="L82" s="5"/>
      <c r="M82" s="5"/>
      <c r="N82" s="5"/>
      <c r="O82" s="5"/>
      <c r="P82" s="5"/>
      <c r="Q82" s="5"/>
      <c r="R82" s="5"/>
      <c r="S82" s="5"/>
      <c r="T82" s="5"/>
      <c r="U82" s="5"/>
      <c r="V82" s="5"/>
      <c r="W82" s="5"/>
      <c r="X82" s="5"/>
      <c r="Y82" s="5"/>
      <c r="Z82" s="5"/>
    </row>
    <row r="83" spans="2:26">
      <c r="B83" s="29"/>
      <c r="C83" s="5"/>
      <c r="D83" s="5"/>
      <c r="E83" s="5"/>
      <c r="F83" s="5"/>
      <c r="G83" s="5"/>
      <c r="H83" s="5"/>
      <c r="I83" s="5"/>
      <c r="J83" s="5"/>
      <c r="K83" s="5"/>
      <c r="L83" s="5"/>
      <c r="M83" s="5"/>
      <c r="N83" s="5"/>
      <c r="O83" s="5"/>
      <c r="P83" s="5"/>
      <c r="Q83" s="5"/>
      <c r="R83" s="5"/>
      <c r="S83" s="5"/>
      <c r="T83" s="5"/>
      <c r="U83" s="5"/>
      <c r="V83" s="5"/>
      <c r="W83" s="5"/>
      <c r="X83" s="5"/>
      <c r="Y83" s="5"/>
      <c r="Z83" s="5"/>
    </row>
    <row r="84" spans="2:26">
      <c r="B84" s="29"/>
      <c r="C84" s="5"/>
      <c r="D84" s="5"/>
      <c r="E84" s="5"/>
      <c r="F84" s="5"/>
      <c r="G84" s="5"/>
      <c r="H84" s="5"/>
      <c r="I84" s="5"/>
      <c r="J84" s="5"/>
      <c r="K84" s="5"/>
      <c r="L84" s="5"/>
      <c r="M84" s="5"/>
      <c r="N84" s="5"/>
      <c r="O84" s="5"/>
      <c r="P84" s="5"/>
      <c r="Q84" s="5"/>
      <c r="R84" s="5"/>
      <c r="S84" s="5"/>
      <c r="T84" s="5"/>
      <c r="U84" s="5"/>
      <c r="V84" s="5"/>
      <c r="W84" s="5"/>
      <c r="X84" s="5"/>
      <c r="Y84" s="5"/>
      <c r="Z84" s="5"/>
    </row>
    <row r="85" spans="2:26">
      <c r="B85" s="29"/>
      <c r="C85" s="5"/>
      <c r="D85" s="5"/>
      <c r="E85" s="5"/>
      <c r="F85" s="5"/>
      <c r="G85" s="5"/>
      <c r="H85" s="5"/>
      <c r="I85" s="5"/>
      <c r="J85" s="5"/>
      <c r="K85" s="5"/>
      <c r="L85" s="5"/>
      <c r="M85" s="5"/>
      <c r="N85" s="5"/>
      <c r="O85" s="5"/>
      <c r="P85" s="5"/>
      <c r="Q85" s="5"/>
      <c r="R85" s="5"/>
      <c r="S85" s="5"/>
      <c r="T85" s="5"/>
      <c r="U85" s="5"/>
      <c r="V85" s="5"/>
      <c r="W85" s="5"/>
      <c r="X85" s="5"/>
      <c r="Y85" s="5"/>
      <c r="Z85" s="5"/>
    </row>
    <row r="86" spans="2:26">
      <c r="B86" s="29"/>
      <c r="C86" s="5"/>
      <c r="D86" s="5"/>
      <c r="E86" s="5"/>
      <c r="F86" s="5"/>
      <c r="G86" s="5"/>
      <c r="H86" s="5"/>
      <c r="I86" s="5"/>
      <c r="J86" s="5"/>
      <c r="K86" s="5"/>
      <c r="L86" s="5"/>
      <c r="M86" s="5"/>
      <c r="N86" s="5"/>
      <c r="O86" s="5"/>
      <c r="P86" s="5"/>
      <c r="Q86" s="5"/>
      <c r="R86" s="5"/>
      <c r="S86" s="5"/>
      <c r="T86" s="5"/>
      <c r="U86" s="5"/>
      <c r="V86" s="5"/>
      <c r="W86" s="5"/>
      <c r="X86" s="5"/>
      <c r="Y86" s="5"/>
      <c r="Z86" s="5"/>
    </row>
    <row r="87" spans="2:26">
      <c r="B87" s="29"/>
      <c r="C87" s="5"/>
      <c r="D87" s="5"/>
      <c r="E87" s="5"/>
      <c r="F87" s="5"/>
      <c r="G87" s="5"/>
      <c r="H87" s="5"/>
      <c r="I87" s="5"/>
      <c r="J87" s="5"/>
      <c r="K87" s="5"/>
      <c r="L87" s="5"/>
      <c r="M87" s="5"/>
      <c r="N87" s="5"/>
      <c r="O87" s="5"/>
      <c r="P87" s="5"/>
      <c r="Q87" s="5"/>
      <c r="R87" s="5"/>
      <c r="S87" s="5"/>
      <c r="T87" s="5"/>
      <c r="U87" s="5"/>
      <c r="V87" s="5"/>
      <c r="W87" s="5"/>
      <c r="X87" s="5"/>
      <c r="Y87" s="5"/>
      <c r="Z87" s="5"/>
    </row>
    <row r="88" spans="2:26">
      <c r="B88" s="29"/>
      <c r="C88" s="5"/>
      <c r="D88" s="5"/>
      <c r="E88" s="5"/>
      <c r="F88" s="5"/>
      <c r="G88" s="5"/>
      <c r="H88" s="5"/>
      <c r="I88" s="5"/>
      <c r="J88" s="5"/>
      <c r="K88" s="5"/>
      <c r="L88" s="5"/>
      <c r="M88" s="5"/>
      <c r="N88" s="5"/>
      <c r="O88" s="5"/>
      <c r="P88" s="5"/>
      <c r="Q88" s="5"/>
      <c r="R88" s="5"/>
      <c r="S88" s="5"/>
      <c r="T88" s="5"/>
      <c r="U88" s="5"/>
      <c r="V88" s="5"/>
      <c r="W88" s="5"/>
      <c r="X88" s="5"/>
      <c r="Y88" s="5"/>
      <c r="Z88" s="5"/>
    </row>
    <row r="89" spans="2:26">
      <c r="B89" s="29"/>
      <c r="C89" s="5"/>
      <c r="D89" s="5"/>
      <c r="E89" s="5"/>
      <c r="F89" s="5"/>
      <c r="G89" s="5"/>
      <c r="H89" s="5"/>
      <c r="I89" s="5"/>
      <c r="J89" s="5"/>
      <c r="K89" s="5"/>
      <c r="L89" s="5"/>
      <c r="M89" s="5"/>
      <c r="N89" s="5"/>
      <c r="O89" s="5"/>
      <c r="P89" s="5"/>
      <c r="Q89" s="5"/>
      <c r="R89" s="5"/>
      <c r="S89" s="5"/>
      <c r="T89" s="5"/>
      <c r="U89" s="5"/>
      <c r="V89" s="5"/>
      <c r="W89" s="5"/>
      <c r="X89" s="5"/>
      <c r="Y89" s="5"/>
      <c r="Z89" s="5"/>
    </row>
    <row r="90" spans="2:26">
      <c r="B90" s="29"/>
      <c r="C90" s="5"/>
      <c r="D90" s="5"/>
      <c r="E90" s="5"/>
      <c r="F90" s="5"/>
      <c r="G90" s="5"/>
      <c r="H90" s="5"/>
      <c r="I90" s="5"/>
      <c r="J90" s="5"/>
      <c r="K90" s="5"/>
      <c r="L90" s="5"/>
      <c r="M90" s="5"/>
      <c r="N90" s="5"/>
      <c r="O90" s="5"/>
      <c r="P90" s="5"/>
      <c r="Q90" s="5"/>
      <c r="R90" s="5"/>
      <c r="S90" s="5"/>
      <c r="T90" s="5"/>
      <c r="U90" s="5"/>
      <c r="V90" s="5"/>
      <c r="W90" s="5"/>
      <c r="X90" s="5"/>
      <c r="Y90" s="5"/>
      <c r="Z90" s="5"/>
    </row>
    <row r="91" spans="2:26">
      <c r="B91" s="29"/>
      <c r="C91" s="5"/>
      <c r="D91" s="5"/>
      <c r="E91" s="5"/>
      <c r="F91" s="5"/>
      <c r="G91" s="5"/>
      <c r="H91" s="5"/>
      <c r="I91" s="5"/>
      <c r="J91" s="5"/>
      <c r="K91" s="5"/>
      <c r="L91" s="5"/>
      <c r="M91" s="5"/>
      <c r="N91" s="5"/>
      <c r="O91" s="5"/>
      <c r="P91" s="5"/>
      <c r="Q91" s="5"/>
      <c r="R91" s="5"/>
      <c r="S91" s="5"/>
      <c r="T91" s="5"/>
      <c r="U91" s="5"/>
      <c r="V91" s="5"/>
      <c r="W91" s="5"/>
      <c r="X91" s="5"/>
      <c r="Y91" s="5"/>
      <c r="Z91" s="5"/>
    </row>
    <row r="92" spans="2:26">
      <c r="B92" s="29"/>
      <c r="C92" s="5"/>
      <c r="D92" s="5"/>
      <c r="E92" s="5"/>
      <c r="F92" s="5"/>
      <c r="G92" s="5"/>
      <c r="H92" s="5"/>
      <c r="I92" s="5"/>
      <c r="J92" s="5"/>
      <c r="K92" s="5"/>
      <c r="L92" s="5"/>
      <c r="M92" s="5"/>
      <c r="N92" s="5"/>
      <c r="O92" s="5"/>
      <c r="P92" s="5"/>
      <c r="Q92" s="5"/>
      <c r="R92" s="5"/>
      <c r="S92" s="5"/>
      <c r="T92" s="5"/>
      <c r="U92" s="5"/>
      <c r="V92" s="5"/>
      <c r="W92" s="5"/>
      <c r="X92" s="5"/>
      <c r="Y92" s="5"/>
      <c r="Z92" s="5"/>
    </row>
    <row r="93" spans="2:26">
      <c r="B93" s="29"/>
      <c r="C93" s="5"/>
      <c r="D93" s="5"/>
      <c r="E93" s="5"/>
      <c r="F93" s="5"/>
      <c r="G93" s="5"/>
      <c r="H93" s="5"/>
      <c r="I93" s="5"/>
      <c r="J93" s="5"/>
      <c r="K93" s="5"/>
      <c r="L93" s="5"/>
      <c r="M93" s="5"/>
      <c r="N93" s="5"/>
      <c r="O93" s="5"/>
      <c r="P93" s="5"/>
      <c r="Q93" s="5"/>
      <c r="R93" s="5"/>
      <c r="S93" s="5"/>
      <c r="T93" s="5"/>
      <c r="U93" s="5"/>
      <c r="V93" s="5"/>
      <c r="W93" s="5"/>
      <c r="X93" s="5"/>
      <c r="Y93" s="5"/>
      <c r="Z93" s="5"/>
    </row>
    <row r="94" spans="2:26">
      <c r="B94" s="29"/>
      <c r="C94" s="5"/>
      <c r="D94" s="5"/>
      <c r="E94" s="5"/>
      <c r="F94" s="5"/>
      <c r="G94" s="5"/>
      <c r="H94" s="5"/>
      <c r="I94" s="5"/>
      <c r="J94" s="5"/>
      <c r="K94" s="5"/>
      <c r="L94" s="5"/>
      <c r="M94" s="5"/>
      <c r="N94" s="5"/>
      <c r="O94" s="5"/>
      <c r="P94" s="5"/>
      <c r="Q94" s="5"/>
      <c r="R94" s="5"/>
      <c r="S94" s="5"/>
      <c r="T94" s="5"/>
      <c r="U94" s="5"/>
      <c r="V94" s="5"/>
      <c r="W94" s="5"/>
      <c r="X94" s="5"/>
      <c r="Y94" s="5"/>
      <c r="Z94" s="5"/>
    </row>
    <row r="95" spans="2:26">
      <c r="B95" s="29"/>
      <c r="C95" s="5"/>
      <c r="D95" s="5"/>
      <c r="E95" s="5"/>
      <c r="F95" s="5"/>
      <c r="G95" s="5"/>
      <c r="H95" s="5"/>
      <c r="I95" s="5"/>
      <c r="J95" s="5"/>
      <c r="K95" s="5"/>
      <c r="L95" s="5"/>
      <c r="M95" s="5"/>
      <c r="N95" s="5"/>
      <c r="O95" s="5"/>
      <c r="P95" s="5"/>
      <c r="Q95" s="5"/>
      <c r="R95" s="5"/>
      <c r="S95" s="5"/>
      <c r="T95" s="5"/>
      <c r="U95" s="5"/>
      <c r="V95" s="5"/>
      <c r="W95" s="5"/>
      <c r="X95" s="5"/>
      <c r="Y95" s="5"/>
      <c r="Z95" s="5"/>
    </row>
    <row r="96" spans="2:26">
      <c r="B96" s="29"/>
      <c r="C96" s="5"/>
      <c r="D96" s="5"/>
      <c r="E96" s="5"/>
      <c r="F96" s="5"/>
      <c r="G96" s="5"/>
      <c r="H96" s="5"/>
      <c r="I96" s="5"/>
      <c r="J96" s="5"/>
      <c r="K96" s="5"/>
      <c r="L96" s="5"/>
      <c r="M96" s="5"/>
      <c r="N96" s="5"/>
      <c r="O96" s="5"/>
      <c r="P96" s="5"/>
      <c r="Q96" s="5"/>
      <c r="R96" s="5"/>
      <c r="S96" s="5"/>
      <c r="T96" s="5"/>
      <c r="U96" s="5"/>
      <c r="V96" s="5"/>
      <c r="W96" s="5"/>
      <c r="X96" s="5"/>
      <c r="Y96" s="5"/>
      <c r="Z96" s="5"/>
    </row>
    <row r="97" spans="2:26">
      <c r="B97" s="29"/>
      <c r="C97" s="5"/>
      <c r="D97" s="5"/>
      <c r="E97" s="5"/>
      <c r="F97" s="5"/>
      <c r="G97" s="5"/>
      <c r="H97" s="5"/>
      <c r="I97" s="5"/>
      <c r="J97" s="5"/>
      <c r="K97" s="5"/>
      <c r="L97" s="5"/>
      <c r="M97" s="5"/>
      <c r="N97" s="5"/>
      <c r="O97" s="5"/>
      <c r="P97" s="5"/>
      <c r="Q97" s="5"/>
      <c r="R97" s="5"/>
      <c r="S97" s="5"/>
      <c r="T97" s="5"/>
      <c r="U97" s="5"/>
      <c r="V97" s="5"/>
      <c r="W97" s="5"/>
      <c r="X97" s="5"/>
      <c r="Y97" s="5"/>
      <c r="Z97" s="5"/>
    </row>
    <row r="98" spans="2:26">
      <c r="B98" s="29"/>
      <c r="C98" s="5"/>
      <c r="D98" s="5"/>
      <c r="E98" s="5"/>
      <c r="F98" s="5"/>
      <c r="G98" s="5"/>
      <c r="H98" s="5"/>
      <c r="I98" s="5"/>
      <c r="J98" s="5"/>
      <c r="K98" s="5"/>
      <c r="L98" s="5"/>
      <c r="M98" s="5"/>
      <c r="N98" s="5"/>
      <c r="O98" s="5"/>
      <c r="P98" s="5"/>
      <c r="Q98" s="5"/>
      <c r="R98" s="5"/>
      <c r="S98" s="5"/>
      <c r="T98" s="5"/>
      <c r="U98" s="5"/>
      <c r="V98" s="5"/>
      <c r="W98" s="5"/>
      <c r="X98" s="5"/>
      <c r="Y98" s="5"/>
      <c r="Z98" s="5"/>
    </row>
    <row r="99" spans="2:26">
      <c r="B99" s="29"/>
      <c r="C99" s="5"/>
      <c r="D99" s="5"/>
      <c r="E99" s="5"/>
      <c r="F99" s="5"/>
      <c r="G99" s="5"/>
      <c r="H99" s="5"/>
      <c r="I99" s="5"/>
      <c r="J99" s="5"/>
      <c r="K99" s="5"/>
      <c r="L99" s="5"/>
      <c r="M99" s="5"/>
      <c r="N99" s="5"/>
      <c r="O99" s="5"/>
      <c r="P99" s="5"/>
      <c r="Q99" s="5"/>
      <c r="R99" s="5"/>
      <c r="S99" s="5"/>
      <c r="T99" s="5"/>
      <c r="U99" s="5"/>
      <c r="V99" s="5"/>
      <c r="W99" s="5"/>
      <c r="X99" s="5"/>
      <c r="Y99" s="5"/>
      <c r="Z99" s="5"/>
    </row>
    <row r="100" spans="2:26">
      <c r="B100" s="29"/>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2:26">
      <c r="B101" s="29"/>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2:26">
      <c r="B102" s="29"/>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2:26">
      <c r="B103" s="29"/>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2:26">
      <c r="B104" s="29"/>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2:26">
      <c r="B105" s="29"/>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2:26">
      <c r="B106" s="29"/>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2:26">
      <c r="B107" s="29"/>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2:26">
      <c r="B108" s="29"/>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2:26">
      <c r="B109" s="29"/>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2:26">
      <c r="B110" s="29"/>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2:26">
      <c r="B111" s="29"/>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2:26">
      <c r="B112" s="29"/>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2:26">
      <c r="B113" s="29"/>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2:26">
      <c r="B114" s="29"/>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2:26">
      <c r="B115" s="29"/>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2:26">
      <c r="B116" s="29"/>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2:26">
      <c r="B117" s="29"/>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2:26">
      <c r="B118" s="29"/>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2:26">
      <c r="B119" s="29"/>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2:26">
      <c r="B120" s="29"/>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2:26">
      <c r="B121" s="29"/>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2:26">
      <c r="B122" s="29"/>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2:26">
      <c r="B123" s="29"/>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2:26">
      <c r="B124" s="29"/>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2:26">
      <c r="B125" s="29"/>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2:26">
      <c r="B126" s="29"/>
      <c r="C126" s="5"/>
      <c r="D126" s="5"/>
      <c r="E126" s="5"/>
      <c r="F126" s="5"/>
      <c r="G126" s="5"/>
      <c r="H126" s="5"/>
      <c r="I126" s="5"/>
      <c r="J126" s="5"/>
      <c r="K126" s="5"/>
      <c r="L126" s="5"/>
      <c r="M126" s="5"/>
      <c r="N126" s="5"/>
      <c r="O126" s="5"/>
      <c r="P126" s="5"/>
      <c r="Q126" s="5"/>
      <c r="R126" s="5"/>
      <c r="S126" s="5"/>
      <c r="T126" s="5"/>
      <c r="U126" s="5"/>
      <c r="V126" s="5"/>
      <c r="W126" s="5"/>
      <c r="X126" s="5"/>
      <c r="Y126" s="5"/>
      <c r="Z126" s="5"/>
    </row>
  </sheetData>
  <sheetProtection algorithmName="SHA-512" hashValue="CdsiHUwx+eQur+JpQqkTUTvWvRGNTogkZ9h3e+HG469ZLW8HNbpLvmwQa0pPIv/1UiPSbj3MAmynWM7zj9AjZQ==" saltValue="3/eMmaqF3XRpGlej+Olt8Q==" spinCount="100000" sheet="1" objects="1" scenarios="1" autoFilter="0"/>
  <hyperlinks>
    <hyperlink ref="B2" location="CONTENTS!A1" display="Contents" xr:uid="{E8E64938-68FE-4766-9F25-BBBDFCEDD2C3}"/>
  </hyperlinks>
  <pageMargins left="0.7" right="0.7" top="0.75" bottom="0.75" header="0.3" footer="0.3"/>
  <pageSetup paperSize="9" scale="98"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1482-17F0-49CC-B4CF-123E0DEB0731}">
  <sheetPr codeName="Sheet2"/>
  <dimension ref="A1:E201"/>
  <sheetViews>
    <sheetView showGridLines="0" zoomScaleNormal="100" zoomScaleSheetLayoutView="40" workbookViewId="0">
      <pane ySplit="8" topLeftCell="A9" activePane="bottomLeft" state="frozen"/>
      <selection activeCell="D20" sqref="D20"/>
      <selection pane="bottomLeft"/>
    </sheetView>
  </sheetViews>
  <sheetFormatPr defaultColWidth="2.28515625" defaultRowHeight="12.75"/>
  <cols>
    <col min="1" max="1" width="3.42578125" style="434" customWidth="1"/>
    <col min="2" max="2" width="20.7109375" style="434" customWidth="1"/>
    <col min="3" max="3" width="71.7109375" style="434" customWidth="1"/>
    <col min="4" max="5" width="18.7109375" style="434" customWidth="1"/>
    <col min="6" max="112" width="2.28515625" style="434"/>
    <col min="113" max="114" width="2.28515625" style="434" customWidth="1"/>
    <col min="115" max="115" width="24.7109375" style="434" customWidth="1"/>
    <col min="116" max="116" width="33.7109375" style="434" customWidth="1"/>
    <col min="117" max="117" width="9.28515625" style="434" customWidth="1"/>
    <col min="118" max="119" width="7.7109375" style="434" customWidth="1"/>
    <col min="120" max="121" width="11.28515625" style="434" customWidth="1"/>
    <col min="122" max="122" width="15.7109375" style="434" customWidth="1"/>
    <col min="123" max="123" width="28.7109375" style="434" customWidth="1"/>
    <col min="124" max="124" width="40.7109375" style="434" customWidth="1"/>
    <col min="125" max="126" width="2.28515625" style="434"/>
    <col min="127" max="129" width="0" style="434" hidden="1" customWidth="1"/>
    <col min="130" max="368" width="2.28515625" style="434"/>
    <col min="369" max="370" width="2.28515625" style="434" customWidth="1"/>
    <col min="371" max="371" width="24.7109375" style="434" customWidth="1"/>
    <col min="372" max="372" width="33.7109375" style="434" customWidth="1"/>
    <col min="373" max="373" width="9.28515625" style="434" customWidth="1"/>
    <col min="374" max="375" width="7.7109375" style="434" customWidth="1"/>
    <col min="376" max="377" width="11.28515625" style="434" customWidth="1"/>
    <col min="378" max="378" width="15.7109375" style="434" customWidth="1"/>
    <col min="379" max="379" width="28.7109375" style="434" customWidth="1"/>
    <col min="380" max="380" width="40.7109375" style="434" customWidth="1"/>
    <col min="381" max="382" width="2.28515625" style="434"/>
    <col min="383" max="385" width="0" style="434" hidden="1" customWidth="1"/>
    <col min="386" max="624" width="2.28515625" style="434"/>
    <col min="625" max="626" width="2.28515625" style="434" customWidth="1"/>
    <col min="627" max="627" width="24.7109375" style="434" customWidth="1"/>
    <col min="628" max="628" width="33.7109375" style="434" customWidth="1"/>
    <col min="629" max="629" width="9.28515625" style="434" customWidth="1"/>
    <col min="630" max="631" width="7.7109375" style="434" customWidth="1"/>
    <col min="632" max="633" width="11.28515625" style="434" customWidth="1"/>
    <col min="634" max="634" width="15.7109375" style="434" customWidth="1"/>
    <col min="635" max="635" width="28.7109375" style="434" customWidth="1"/>
    <col min="636" max="636" width="40.7109375" style="434" customWidth="1"/>
    <col min="637" max="638" width="2.28515625" style="434"/>
    <col min="639" max="641" width="0" style="434" hidden="1" customWidth="1"/>
    <col min="642" max="880" width="2.28515625" style="434"/>
    <col min="881" max="882" width="2.28515625" style="434" customWidth="1"/>
    <col min="883" max="883" width="24.7109375" style="434" customWidth="1"/>
    <col min="884" max="884" width="33.7109375" style="434" customWidth="1"/>
    <col min="885" max="885" width="9.28515625" style="434" customWidth="1"/>
    <col min="886" max="887" width="7.7109375" style="434" customWidth="1"/>
    <col min="888" max="889" width="11.28515625" style="434" customWidth="1"/>
    <col min="890" max="890" width="15.7109375" style="434" customWidth="1"/>
    <col min="891" max="891" width="28.7109375" style="434" customWidth="1"/>
    <col min="892" max="892" width="40.7109375" style="434" customWidth="1"/>
    <col min="893" max="894" width="2.28515625" style="434"/>
    <col min="895" max="897" width="0" style="434" hidden="1" customWidth="1"/>
    <col min="898" max="1136" width="2.28515625" style="434"/>
    <col min="1137" max="1138" width="2.28515625" style="434" customWidth="1"/>
    <col min="1139" max="1139" width="24.7109375" style="434" customWidth="1"/>
    <col min="1140" max="1140" width="33.7109375" style="434" customWidth="1"/>
    <col min="1141" max="1141" width="9.28515625" style="434" customWidth="1"/>
    <col min="1142" max="1143" width="7.7109375" style="434" customWidth="1"/>
    <col min="1144" max="1145" width="11.28515625" style="434" customWidth="1"/>
    <col min="1146" max="1146" width="15.7109375" style="434" customWidth="1"/>
    <col min="1147" max="1147" width="28.7109375" style="434" customWidth="1"/>
    <col min="1148" max="1148" width="40.7109375" style="434" customWidth="1"/>
    <col min="1149" max="1150" width="2.28515625" style="434"/>
    <col min="1151" max="1153" width="0" style="434" hidden="1" customWidth="1"/>
    <col min="1154" max="1392" width="2.28515625" style="434"/>
    <col min="1393" max="1394" width="2.28515625" style="434" customWidth="1"/>
    <col min="1395" max="1395" width="24.7109375" style="434" customWidth="1"/>
    <col min="1396" max="1396" width="33.7109375" style="434" customWidth="1"/>
    <col min="1397" max="1397" width="9.28515625" style="434" customWidth="1"/>
    <col min="1398" max="1399" width="7.7109375" style="434" customWidth="1"/>
    <col min="1400" max="1401" width="11.28515625" style="434" customWidth="1"/>
    <col min="1402" max="1402" width="15.7109375" style="434" customWidth="1"/>
    <col min="1403" max="1403" width="28.7109375" style="434" customWidth="1"/>
    <col min="1404" max="1404" width="40.7109375" style="434" customWidth="1"/>
    <col min="1405" max="1406" width="2.28515625" style="434"/>
    <col min="1407" max="1409" width="0" style="434" hidden="1" customWidth="1"/>
    <col min="1410" max="1648" width="2.28515625" style="434"/>
    <col min="1649" max="1650" width="2.28515625" style="434" customWidth="1"/>
    <col min="1651" max="1651" width="24.7109375" style="434" customWidth="1"/>
    <col min="1652" max="1652" width="33.7109375" style="434" customWidth="1"/>
    <col min="1653" max="1653" width="9.28515625" style="434" customWidth="1"/>
    <col min="1654" max="1655" width="7.7109375" style="434" customWidth="1"/>
    <col min="1656" max="1657" width="11.28515625" style="434" customWidth="1"/>
    <col min="1658" max="1658" width="15.7109375" style="434" customWidth="1"/>
    <col min="1659" max="1659" width="28.7109375" style="434" customWidth="1"/>
    <col min="1660" max="1660" width="40.7109375" style="434" customWidth="1"/>
    <col min="1661" max="1662" width="2.28515625" style="434"/>
    <col min="1663" max="1665" width="0" style="434" hidden="1" customWidth="1"/>
    <col min="1666" max="1904" width="2.28515625" style="434"/>
    <col min="1905" max="1906" width="2.28515625" style="434" customWidth="1"/>
    <col min="1907" max="1907" width="24.7109375" style="434" customWidth="1"/>
    <col min="1908" max="1908" width="33.7109375" style="434" customWidth="1"/>
    <col min="1909" max="1909" width="9.28515625" style="434" customWidth="1"/>
    <col min="1910" max="1911" width="7.7109375" style="434" customWidth="1"/>
    <col min="1912" max="1913" width="11.28515625" style="434" customWidth="1"/>
    <col min="1914" max="1914" width="15.7109375" style="434" customWidth="1"/>
    <col min="1915" max="1915" width="28.7109375" style="434" customWidth="1"/>
    <col min="1916" max="1916" width="40.7109375" style="434" customWidth="1"/>
    <col min="1917" max="1918" width="2.28515625" style="434"/>
    <col min="1919" max="1921" width="0" style="434" hidden="1" customWidth="1"/>
    <col min="1922" max="2160" width="2.28515625" style="434"/>
    <col min="2161" max="2162" width="2.28515625" style="434" customWidth="1"/>
    <col min="2163" max="2163" width="24.7109375" style="434" customWidth="1"/>
    <col min="2164" max="2164" width="33.7109375" style="434" customWidth="1"/>
    <col min="2165" max="2165" width="9.28515625" style="434" customWidth="1"/>
    <col min="2166" max="2167" width="7.7109375" style="434" customWidth="1"/>
    <col min="2168" max="2169" width="11.28515625" style="434" customWidth="1"/>
    <col min="2170" max="2170" width="15.7109375" style="434" customWidth="1"/>
    <col min="2171" max="2171" width="28.7109375" style="434" customWidth="1"/>
    <col min="2172" max="2172" width="40.7109375" style="434" customWidth="1"/>
    <col min="2173" max="2174" width="2.28515625" style="434"/>
    <col min="2175" max="2177" width="0" style="434" hidden="1" customWidth="1"/>
    <col min="2178" max="2416" width="2.28515625" style="434"/>
    <col min="2417" max="2418" width="2.28515625" style="434" customWidth="1"/>
    <col min="2419" max="2419" width="24.7109375" style="434" customWidth="1"/>
    <col min="2420" max="2420" width="33.7109375" style="434" customWidth="1"/>
    <col min="2421" max="2421" width="9.28515625" style="434" customWidth="1"/>
    <col min="2422" max="2423" width="7.7109375" style="434" customWidth="1"/>
    <col min="2424" max="2425" width="11.28515625" style="434" customWidth="1"/>
    <col min="2426" max="2426" width="15.7109375" style="434" customWidth="1"/>
    <col min="2427" max="2427" width="28.7109375" style="434" customWidth="1"/>
    <col min="2428" max="2428" width="40.7109375" style="434" customWidth="1"/>
    <col min="2429" max="2430" width="2.28515625" style="434"/>
    <col min="2431" max="2433" width="0" style="434" hidden="1" customWidth="1"/>
    <col min="2434" max="2672" width="2.28515625" style="434"/>
    <col min="2673" max="2674" width="2.28515625" style="434" customWidth="1"/>
    <col min="2675" max="2675" width="24.7109375" style="434" customWidth="1"/>
    <col min="2676" max="2676" width="33.7109375" style="434" customWidth="1"/>
    <col min="2677" max="2677" width="9.28515625" style="434" customWidth="1"/>
    <col min="2678" max="2679" width="7.7109375" style="434" customWidth="1"/>
    <col min="2680" max="2681" width="11.28515625" style="434" customWidth="1"/>
    <col min="2682" max="2682" width="15.7109375" style="434" customWidth="1"/>
    <col min="2683" max="2683" width="28.7109375" style="434" customWidth="1"/>
    <col min="2684" max="2684" width="40.7109375" style="434" customWidth="1"/>
    <col min="2685" max="2686" width="2.28515625" style="434"/>
    <col min="2687" max="2689" width="0" style="434" hidden="1" customWidth="1"/>
    <col min="2690" max="2928" width="2.28515625" style="434"/>
    <col min="2929" max="2930" width="2.28515625" style="434" customWidth="1"/>
    <col min="2931" max="2931" width="24.7109375" style="434" customWidth="1"/>
    <col min="2932" max="2932" width="33.7109375" style="434" customWidth="1"/>
    <col min="2933" max="2933" width="9.28515625" style="434" customWidth="1"/>
    <col min="2934" max="2935" width="7.7109375" style="434" customWidth="1"/>
    <col min="2936" max="2937" width="11.28515625" style="434" customWidth="1"/>
    <col min="2938" max="2938" width="15.7109375" style="434" customWidth="1"/>
    <col min="2939" max="2939" width="28.7109375" style="434" customWidth="1"/>
    <col min="2940" max="2940" width="40.7109375" style="434" customWidth="1"/>
    <col min="2941" max="2942" width="2.28515625" style="434"/>
    <col min="2943" max="2945" width="0" style="434" hidden="1" customWidth="1"/>
    <col min="2946" max="3184" width="2.28515625" style="434"/>
    <col min="3185" max="3186" width="2.28515625" style="434" customWidth="1"/>
    <col min="3187" max="3187" width="24.7109375" style="434" customWidth="1"/>
    <col min="3188" max="3188" width="33.7109375" style="434" customWidth="1"/>
    <col min="3189" max="3189" width="9.28515625" style="434" customWidth="1"/>
    <col min="3190" max="3191" width="7.7109375" style="434" customWidth="1"/>
    <col min="3192" max="3193" width="11.28515625" style="434" customWidth="1"/>
    <col min="3194" max="3194" width="15.7109375" style="434" customWidth="1"/>
    <col min="3195" max="3195" width="28.7109375" style="434" customWidth="1"/>
    <col min="3196" max="3196" width="40.7109375" style="434" customWidth="1"/>
    <col min="3197" max="3198" width="2.28515625" style="434"/>
    <col min="3199" max="3201" width="0" style="434" hidden="1" customWidth="1"/>
    <col min="3202" max="3440" width="2.28515625" style="434"/>
    <col min="3441" max="3442" width="2.28515625" style="434" customWidth="1"/>
    <col min="3443" max="3443" width="24.7109375" style="434" customWidth="1"/>
    <col min="3444" max="3444" width="33.7109375" style="434" customWidth="1"/>
    <col min="3445" max="3445" width="9.28515625" style="434" customWidth="1"/>
    <col min="3446" max="3447" width="7.7109375" style="434" customWidth="1"/>
    <col min="3448" max="3449" width="11.28515625" style="434" customWidth="1"/>
    <col min="3450" max="3450" width="15.7109375" style="434" customWidth="1"/>
    <col min="3451" max="3451" width="28.7109375" style="434" customWidth="1"/>
    <col min="3452" max="3452" width="40.7109375" style="434" customWidth="1"/>
    <col min="3453" max="3454" width="2.28515625" style="434"/>
    <col min="3455" max="3457" width="0" style="434" hidden="1" customWidth="1"/>
    <col min="3458" max="3696" width="2.28515625" style="434"/>
    <col min="3697" max="3698" width="2.28515625" style="434" customWidth="1"/>
    <col min="3699" max="3699" width="24.7109375" style="434" customWidth="1"/>
    <col min="3700" max="3700" width="33.7109375" style="434" customWidth="1"/>
    <col min="3701" max="3701" width="9.28515625" style="434" customWidth="1"/>
    <col min="3702" max="3703" width="7.7109375" style="434" customWidth="1"/>
    <col min="3704" max="3705" width="11.28515625" style="434" customWidth="1"/>
    <col min="3706" max="3706" width="15.7109375" style="434" customWidth="1"/>
    <col min="3707" max="3707" width="28.7109375" style="434" customWidth="1"/>
    <col min="3708" max="3708" width="40.7109375" style="434" customWidth="1"/>
    <col min="3709" max="3710" width="2.28515625" style="434"/>
    <col min="3711" max="3713" width="0" style="434" hidden="1" customWidth="1"/>
    <col min="3714" max="3952" width="2.28515625" style="434"/>
    <col min="3953" max="3954" width="2.28515625" style="434" customWidth="1"/>
    <col min="3955" max="3955" width="24.7109375" style="434" customWidth="1"/>
    <col min="3956" max="3956" width="33.7109375" style="434" customWidth="1"/>
    <col min="3957" max="3957" width="9.28515625" style="434" customWidth="1"/>
    <col min="3958" max="3959" width="7.7109375" style="434" customWidth="1"/>
    <col min="3960" max="3961" width="11.28515625" style="434" customWidth="1"/>
    <col min="3962" max="3962" width="15.7109375" style="434" customWidth="1"/>
    <col min="3963" max="3963" width="28.7109375" style="434" customWidth="1"/>
    <col min="3964" max="3964" width="40.7109375" style="434" customWidth="1"/>
    <col min="3965" max="3966" width="2.28515625" style="434"/>
    <col min="3967" max="3969" width="0" style="434" hidden="1" customWidth="1"/>
    <col min="3970" max="4208" width="2.28515625" style="434"/>
    <col min="4209" max="4210" width="2.28515625" style="434" customWidth="1"/>
    <col min="4211" max="4211" width="24.7109375" style="434" customWidth="1"/>
    <col min="4212" max="4212" width="33.7109375" style="434" customWidth="1"/>
    <col min="4213" max="4213" width="9.28515625" style="434" customWidth="1"/>
    <col min="4214" max="4215" width="7.7109375" style="434" customWidth="1"/>
    <col min="4216" max="4217" width="11.28515625" style="434" customWidth="1"/>
    <col min="4218" max="4218" width="15.7109375" style="434" customWidth="1"/>
    <col min="4219" max="4219" width="28.7109375" style="434" customWidth="1"/>
    <col min="4220" max="4220" width="40.7109375" style="434" customWidth="1"/>
    <col min="4221" max="4222" width="2.28515625" style="434"/>
    <col min="4223" max="4225" width="0" style="434" hidden="1" customWidth="1"/>
    <col min="4226" max="4464" width="2.28515625" style="434"/>
    <col min="4465" max="4466" width="2.28515625" style="434" customWidth="1"/>
    <col min="4467" max="4467" width="24.7109375" style="434" customWidth="1"/>
    <col min="4468" max="4468" width="33.7109375" style="434" customWidth="1"/>
    <col min="4469" max="4469" width="9.28515625" style="434" customWidth="1"/>
    <col min="4470" max="4471" width="7.7109375" style="434" customWidth="1"/>
    <col min="4472" max="4473" width="11.28515625" style="434" customWidth="1"/>
    <col min="4474" max="4474" width="15.7109375" style="434" customWidth="1"/>
    <col min="4475" max="4475" width="28.7109375" style="434" customWidth="1"/>
    <col min="4476" max="4476" width="40.7109375" style="434" customWidth="1"/>
    <col min="4477" max="4478" width="2.28515625" style="434"/>
    <col min="4479" max="4481" width="0" style="434" hidden="1" customWidth="1"/>
    <col min="4482" max="4720" width="2.28515625" style="434"/>
    <col min="4721" max="4722" width="2.28515625" style="434" customWidth="1"/>
    <col min="4723" max="4723" width="24.7109375" style="434" customWidth="1"/>
    <col min="4724" max="4724" width="33.7109375" style="434" customWidth="1"/>
    <col min="4725" max="4725" width="9.28515625" style="434" customWidth="1"/>
    <col min="4726" max="4727" width="7.7109375" style="434" customWidth="1"/>
    <col min="4728" max="4729" width="11.28515625" style="434" customWidth="1"/>
    <col min="4730" max="4730" width="15.7109375" style="434" customWidth="1"/>
    <col min="4731" max="4731" width="28.7109375" style="434" customWidth="1"/>
    <col min="4732" max="4732" width="40.7109375" style="434" customWidth="1"/>
    <col min="4733" max="4734" width="2.28515625" style="434"/>
    <col min="4735" max="4737" width="0" style="434" hidden="1" customWidth="1"/>
    <col min="4738" max="4976" width="2.28515625" style="434"/>
    <col min="4977" max="4978" width="2.28515625" style="434" customWidth="1"/>
    <col min="4979" max="4979" width="24.7109375" style="434" customWidth="1"/>
    <col min="4980" max="4980" width="33.7109375" style="434" customWidth="1"/>
    <col min="4981" max="4981" width="9.28515625" style="434" customWidth="1"/>
    <col min="4982" max="4983" width="7.7109375" style="434" customWidth="1"/>
    <col min="4984" max="4985" width="11.28515625" style="434" customWidth="1"/>
    <col min="4986" max="4986" width="15.7109375" style="434" customWidth="1"/>
    <col min="4987" max="4987" width="28.7109375" style="434" customWidth="1"/>
    <col min="4988" max="4988" width="40.7109375" style="434" customWidth="1"/>
    <col min="4989" max="4990" width="2.28515625" style="434"/>
    <col min="4991" max="4993" width="0" style="434" hidden="1" customWidth="1"/>
    <col min="4994" max="5232" width="2.28515625" style="434"/>
    <col min="5233" max="5234" width="2.28515625" style="434" customWidth="1"/>
    <col min="5235" max="5235" width="24.7109375" style="434" customWidth="1"/>
    <col min="5236" max="5236" width="33.7109375" style="434" customWidth="1"/>
    <col min="5237" max="5237" width="9.28515625" style="434" customWidth="1"/>
    <col min="5238" max="5239" width="7.7109375" style="434" customWidth="1"/>
    <col min="5240" max="5241" width="11.28515625" style="434" customWidth="1"/>
    <col min="5242" max="5242" width="15.7109375" style="434" customWidth="1"/>
    <col min="5243" max="5243" width="28.7109375" style="434" customWidth="1"/>
    <col min="5244" max="5244" width="40.7109375" style="434" customWidth="1"/>
    <col min="5245" max="5246" width="2.28515625" style="434"/>
    <col min="5247" max="5249" width="0" style="434" hidden="1" customWidth="1"/>
    <col min="5250" max="5488" width="2.28515625" style="434"/>
    <col min="5489" max="5490" width="2.28515625" style="434" customWidth="1"/>
    <col min="5491" max="5491" width="24.7109375" style="434" customWidth="1"/>
    <col min="5492" max="5492" width="33.7109375" style="434" customWidth="1"/>
    <col min="5493" max="5493" width="9.28515625" style="434" customWidth="1"/>
    <col min="5494" max="5495" width="7.7109375" style="434" customWidth="1"/>
    <col min="5496" max="5497" width="11.28515625" style="434" customWidth="1"/>
    <col min="5498" max="5498" width="15.7109375" style="434" customWidth="1"/>
    <col min="5499" max="5499" width="28.7109375" style="434" customWidth="1"/>
    <col min="5500" max="5500" width="40.7109375" style="434" customWidth="1"/>
    <col min="5501" max="5502" width="2.28515625" style="434"/>
    <col min="5503" max="5505" width="0" style="434" hidden="1" customWidth="1"/>
    <col min="5506" max="5744" width="2.28515625" style="434"/>
    <col min="5745" max="5746" width="2.28515625" style="434" customWidth="1"/>
    <col min="5747" max="5747" width="24.7109375" style="434" customWidth="1"/>
    <col min="5748" max="5748" width="33.7109375" style="434" customWidth="1"/>
    <col min="5749" max="5749" width="9.28515625" style="434" customWidth="1"/>
    <col min="5750" max="5751" width="7.7109375" style="434" customWidth="1"/>
    <col min="5752" max="5753" width="11.28515625" style="434" customWidth="1"/>
    <col min="5754" max="5754" width="15.7109375" style="434" customWidth="1"/>
    <col min="5755" max="5755" width="28.7109375" style="434" customWidth="1"/>
    <col min="5756" max="5756" width="40.7109375" style="434" customWidth="1"/>
    <col min="5757" max="5758" width="2.28515625" style="434"/>
    <col min="5759" max="5761" width="0" style="434" hidden="1" customWidth="1"/>
    <col min="5762" max="6000" width="2.28515625" style="434"/>
    <col min="6001" max="6002" width="2.28515625" style="434" customWidth="1"/>
    <col min="6003" max="6003" width="24.7109375" style="434" customWidth="1"/>
    <col min="6004" max="6004" width="33.7109375" style="434" customWidth="1"/>
    <col min="6005" max="6005" width="9.28515625" style="434" customWidth="1"/>
    <col min="6006" max="6007" width="7.7109375" style="434" customWidth="1"/>
    <col min="6008" max="6009" width="11.28515625" style="434" customWidth="1"/>
    <col min="6010" max="6010" width="15.7109375" style="434" customWidth="1"/>
    <col min="6011" max="6011" width="28.7109375" style="434" customWidth="1"/>
    <col min="6012" max="6012" width="40.7109375" style="434" customWidth="1"/>
    <col min="6013" max="6014" width="2.28515625" style="434"/>
    <col min="6015" max="6017" width="0" style="434" hidden="1" customWidth="1"/>
    <col min="6018" max="6256" width="2.28515625" style="434"/>
    <col min="6257" max="6258" width="2.28515625" style="434" customWidth="1"/>
    <col min="6259" max="6259" width="24.7109375" style="434" customWidth="1"/>
    <col min="6260" max="6260" width="33.7109375" style="434" customWidth="1"/>
    <col min="6261" max="6261" width="9.28515625" style="434" customWidth="1"/>
    <col min="6262" max="6263" width="7.7109375" style="434" customWidth="1"/>
    <col min="6264" max="6265" width="11.28515625" style="434" customWidth="1"/>
    <col min="6266" max="6266" width="15.7109375" style="434" customWidth="1"/>
    <col min="6267" max="6267" width="28.7109375" style="434" customWidth="1"/>
    <col min="6268" max="6268" width="40.7109375" style="434" customWidth="1"/>
    <col min="6269" max="6270" width="2.28515625" style="434"/>
    <col min="6271" max="6273" width="0" style="434" hidden="1" customWidth="1"/>
    <col min="6274" max="6512" width="2.28515625" style="434"/>
    <col min="6513" max="6514" width="2.28515625" style="434" customWidth="1"/>
    <col min="6515" max="6515" width="24.7109375" style="434" customWidth="1"/>
    <col min="6516" max="6516" width="33.7109375" style="434" customWidth="1"/>
    <col min="6517" max="6517" width="9.28515625" style="434" customWidth="1"/>
    <col min="6518" max="6519" width="7.7109375" style="434" customWidth="1"/>
    <col min="6520" max="6521" width="11.28515625" style="434" customWidth="1"/>
    <col min="6522" max="6522" width="15.7109375" style="434" customWidth="1"/>
    <col min="6523" max="6523" width="28.7109375" style="434" customWidth="1"/>
    <col min="6524" max="6524" width="40.7109375" style="434" customWidth="1"/>
    <col min="6525" max="6526" width="2.28515625" style="434"/>
    <col min="6527" max="6529" width="0" style="434" hidden="1" customWidth="1"/>
    <col min="6530" max="6768" width="2.28515625" style="434"/>
    <col min="6769" max="6770" width="2.28515625" style="434" customWidth="1"/>
    <col min="6771" max="6771" width="24.7109375" style="434" customWidth="1"/>
    <col min="6772" max="6772" width="33.7109375" style="434" customWidth="1"/>
    <col min="6773" max="6773" width="9.28515625" style="434" customWidth="1"/>
    <col min="6774" max="6775" width="7.7109375" style="434" customWidth="1"/>
    <col min="6776" max="6777" width="11.28515625" style="434" customWidth="1"/>
    <col min="6778" max="6778" width="15.7109375" style="434" customWidth="1"/>
    <col min="6779" max="6779" width="28.7109375" style="434" customWidth="1"/>
    <col min="6780" max="6780" width="40.7109375" style="434" customWidth="1"/>
    <col min="6781" max="6782" width="2.28515625" style="434"/>
    <col min="6783" max="6785" width="0" style="434" hidden="1" customWidth="1"/>
    <col min="6786" max="7024" width="2.28515625" style="434"/>
    <col min="7025" max="7026" width="2.28515625" style="434" customWidth="1"/>
    <col min="7027" max="7027" width="24.7109375" style="434" customWidth="1"/>
    <col min="7028" max="7028" width="33.7109375" style="434" customWidth="1"/>
    <col min="7029" max="7029" width="9.28515625" style="434" customWidth="1"/>
    <col min="7030" max="7031" width="7.7109375" style="434" customWidth="1"/>
    <col min="7032" max="7033" width="11.28515625" style="434" customWidth="1"/>
    <col min="7034" max="7034" width="15.7109375" style="434" customWidth="1"/>
    <col min="7035" max="7035" width="28.7109375" style="434" customWidth="1"/>
    <col min="7036" max="7036" width="40.7109375" style="434" customWidth="1"/>
    <col min="7037" max="7038" width="2.28515625" style="434"/>
    <col min="7039" max="7041" width="0" style="434" hidden="1" customWidth="1"/>
    <col min="7042" max="7280" width="2.28515625" style="434"/>
    <col min="7281" max="7282" width="2.28515625" style="434" customWidth="1"/>
    <col min="7283" max="7283" width="24.7109375" style="434" customWidth="1"/>
    <col min="7284" max="7284" width="33.7109375" style="434" customWidth="1"/>
    <col min="7285" max="7285" width="9.28515625" style="434" customWidth="1"/>
    <col min="7286" max="7287" width="7.7109375" style="434" customWidth="1"/>
    <col min="7288" max="7289" width="11.28515625" style="434" customWidth="1"/>
    <col min="7290" max="7290" width="15.7109375" style="434" customWidth="1"/>
    <col min="7291" max="7291" width="28.7109375" style="434" customWidth="1"/>
    <col min="7292" max="7292" width="40.7109375" style="434" customWidth="1"/>
    <col min="7293" max="7294" width="2.28515625" style="434"/>
    <col min="7295" max="7297" width="0" style="434" hidden="1" customWidth="1"/>
    <col min="7298" max="7536" width="2.28515625" style="434"/>
    <col min="7537" max="7538" width="2.28515625" style="434" customWidth="1"/>
    <col min="7539" max="7539" width="24.7109375" style="434" customWidth="1"/>
    <col min="7540" max="7540" width="33.7109375" style="434" customWidth="1"/>
    <col min="7541" max="7541" width="9.28515625" style="434" customWidth="1"/>
    <col min="7542" max="7543" width="7.7109375" style="434" customWidth="1"/>
    <col min="7544" max="7545" width="11.28515625" style="434" customWidth="1"/>
    <col min="7546" max="7546" width="15.7109375" style="434" customWidth="1"/>
    <col min="7547" max="7547" width="28.7109375" style="434" customWidth="1"/>
    <col min="7548" max="7548" width="40.7109375" style="434" customWidth="1"/>
    <col min="7549" max="7550" width="2.28515625" style="434"/>
    <col min="7551" max="7553" width="0" style="434" hidden="1" customWidth="1"/>
    <col min="7554" max="7792" width="2.28515625" style="434"/>
    <col min="7793" max="7794" width="2.28515625" style="434" customWidth="1"/>
    <col min="7795" max="7795" width="24.7109375" style="434" customWidth="1"/>
    <col min="7796" max="7796" width="33.7109375" style="434" customWidth="1"/>
    <col min="7797" max="7797" width="9.28515625" style="434" customWidth="1"/>
    <col min="7798" max="7799" width="7.7109375" style="434" customWidth="1"/>
    <col min="7800" max="7801" width="11.28515625" style="434" customWidth="1"/>
    <col min="7802" max="7802" width="15.7109375" style="434" customWidth="1"/>
    <col min="7803" max="7803" width="28.7109375" style="434" customWidth="1"/>
    <col min="7804" max="7804" width="40.7109375" style="434" customWidth="1"/>
    <col min="7805" max="7806" width="2.28515625" style="434"/>
    <col min="7807" max="7809" width="0" style="434" hidden="1" customWidth="1"/>
    <col min="7810" max="8048" width="2.28515625" style="434"/>
    <col min="8049" max="8050" width="2.28515625" style="434" customWidth="1"/>
    <col min="8051" max="8051" width="24.7109375" style="434" customWidth="1"/>
    <col min="8052" max="8052" width="33.7109375" style="434" customWidth="1"/>
    <col min="8053" max="8053" width="9.28515625" style="434" customWidth="1"/>
    <col min="8054" max="8055" width="7.7109375" style="434" customWidth="1"/>
    <col min="8056" max="8057" width="11.28515625" style="434" customWidth="1"/>
    <col min="8058" max="8058" width="15.7109375" style="434" customWidth="1"/>
    <col min="8059" max="8059" width="28.7109375" style="434" customWidth="1"/>
    <col min="8060" max="8060" width="40.7109375" style="434" customWidth="1"/>
    <col min="8061" max="8062" width="2.28515625" style="434"/>
    <col min="8063" max="8065" width="0" style="434" hidden="1" customWidth="1"/>
    <col min="8066" max="8304" width="2.28515625" style="434"/>
    <col min="8305" max="8306" width="2.28515625" style="434" customWidth="1"/>
    <col min="8307" max="8307" width="24.7109375" style="434" customWidth="1"/>
    <col min="8308" max="8308" width="33.7109375" style="434" customWidth="1"/>
    <col min="8309" max="8309" width="9.28515625" style="434" customWidth="1"/>
    <col min="8310" max="8311" width="7.7109375" style="434" customWidth="1"/>
    <col min="8312" max="8313" width="11.28515625" style="434" customWidth="1"/>
    <col min="8314" max="8314" width="15.7109375" style="434" customWidth="1"/>
    <col min="8315" max="8315" width="28.7109375" style="434" customWidth="1"/>
    <col min="8316" max="8316" width="40.7109375" style="434" customWidth="1"/>
    <col min="8317" max="8318" width="2.28515625" style="434"/>
    <col min="8319" max="8321" width="0" style="434" hidden="1" customWidth="1"/>
    <col min="8322" max="8560" width="2.28515625" style="434"/>
    <col min="8561" max="8562" width="2.28515625" style="434" customWidth="1"/>
    <col min="8563" max="8563" width="24.7109375" style="434" customWidth="1"/>
    <col min="8564" max="8564" width="33.7109375" style="434" customWidth="1"/>
    <col min="8565" max="8565" width="9.28515625" style="434" customWidth="1"/>
    <col min="8566" max="8567" width="7.7109375" style="434" customWidth="1"/>
    <col min="8568" max="8569" width="11.28515625" style="434" customWidth="1"/>
    <col min="8570" max="8570" width="15.7109375" style="434" customWidth="1"/>
    <col min="8571" max="8571" width="28.7109375" style="434" customWidth="1"/>
    <col min="8572" max="8572" width="40.7109375" style="434" customWidth="1"/>
    <col min="8573" max="8574" width="2.28515625" style="434"/>
    <col min="8575" max="8577" width="0" style="434" hidden="1" customWidth="1"/>
    <col min="8578" max="8816" width="2.28515625" style="434"/>
    <col min="8817" max="8818" width="2.28515625" style="434" customWidth="1"/>
    <col min="8819" max="8819" width="24.7109375" style="434" customWidth="1"/>
    <col min="8820" max="8820" width="33.7109375" style="434" customWidth="1"/>
    <col min="8821" max="8821" width="9.28515625" style="434" customWidth="1"/>
    <col min="8822" max="8823" width="7.7109375" style="434" customWidth="1"/>
    <col min="8824" max="8825" width="11.28515625" style="434" customWidth="1"/>
    <col min="8826" max="8826" width="15.7109375" style="434" customWidth="1"/>
    <col min="8827" max="8827" width="28.7109375" style="434" customWidth="1"/>
    <col min="8828" max="8828" width="40.7109375" style="434" customWidth="1"/>
    <col min="8829" max="8830" width="2.28515625" style="434"/>
    <col min="8831" max="8833" width="0" style="434" hidden="1" customWidth="1"/>
    <col min="8834" max="9072" width="2.28515625" style="434"/>
    <col min="9073" max="9074" width="2.28515625" style="434" customWidth="1"/>
    <col min="9075" max="9075" width="24.7109375" style="434" customWidth="1"/>
    <col min="9076" max="9076" width="33.7109375" style="434" customWidth="1"/>
    <col min="9077" max="9077" width="9.28515625" style="434" customWidth="1"/>
    <col min="9078" max="9079" width="7.7109375" style="434" customWidth="1"/>
    <col min="9080" max="9081" width="11.28515625" style="434" customWidth="1"/>
    <col min="9082" max="9082" width="15.7109375" style="434" customWidth="1"/>
    <col min="9083" max="9083" width="28.7109375" style="434" customWidth="1"/>
    <col min="9084" max="9084" width="40.7109375" style="434" customWidth="1"/>
    <col min="9085" max="9086" width="2.28515625" style="434"/>
    <col min="9087" max="9089" width="0" style="434" hidden="1" customWidth="1"/>
    <col min="9090" max="9328" width="2.28515625" style="434"/>
    <col min="9329" max="9330" width="2.28515625" style="434" customWidth="1"/>
    <col min="9331" max="9331" width="24.7109375" style="434" customWidth="1"/>
    <col min="9332" max="9332" width="33.7109375" style="434" customWidth="1"/>
    <col min="9333" max="9333" width="9.28515625" style="434" customWidth="1"/>
    <col min="9334" max="9335" width="7.7109375" style="434" customWidth="1"/>
    <col min="9336" max="9337" width="11.28515625" style="434" customWidth="1"/>
    <col min="9338" max="9338" width="15.7109375" style="434" customWidth="1"/>
    <col min="9339" max="9339" width="28.7109375" style="434" customWidth="1"/>
    <col min="9340" max="9340" width="40.7109375" style="434" customWidth="1"/>
    <col min="9341" max="9342" width="2.28515625" style="434"/>
    <col min="9343" max="9345" width="0" style="434" hidden="1" customWidth="1"/>
    <col min="9346" max="9584" width="2.28515625" style="434"/>
    <col min="9585" max="9586" width="2.28515625" style="434" customWidth="1"/>
    <col min="9587" max="9587" width="24.7109375" style="434" customWidth="1"/>
    <col min="9588" max="9588" width="33.7109375" style="434" customWidth="1"/>
    <col min="9589" max="9589" width="9.28515625" style="434" customWidth="1"/>
    <col min="9590" max="9591" width="7.7109375" style="434" customWidth="1"/>
    <col min="9592" max="9593" width="11.28515625" style="434" customWidth="1"/>
    <col min="9594" max="9594" width="15.7109375" style="434" customWidth="1"/>
    <col min="9595" max="9595" width="28.7109375" style="434" customWidth="1"/>
    <col min="9596" max="9596" width="40.7109375" style="434" customWidth="1"/>
    <col min="9597" max="9598" width="2.28515625" style="434"/>
    <col min="9599" max="9601" width="0" style="434" hidden="1" customWidth="1"/>
    <col min="9602" max="9840" width="2.28515625" style="434"/>
    <col min="9841" max="9842" width="2.28515625" style="434" customWidth="1"/>
    <col min="9843" max="9843" width="24.7109375" style="434" customWidth="1"/>
    <col min="9844" max="9844" width="33.7109375" style="434" customWidth="1"/>
    <col min="9845" max="9845" width="9.28515625" style="434" customWidth="1"/>
    <col min="9846" max="9847" width="7.7109375" style="434" customWidth="1"/>
    <col min="9848" max="9849" width="11.28515625" style="434" customWidth="1"/>
    <col min="9850" max="9850" width="15.7109375" style="434" customWidth="1"/>
    <col min="9851" max="9851" width="28.7109375" style="434" customWidth="1"/>
    <col min="9852" max="9852" width="40.7109375" style="434" customWidth="1"/>
    <col min="9853" max="9854" width="2.28515625" style="434"/>
    <col min="9855" max="9857" width="0" style="434" hidden="1" customWidth="1"/>
    <col min="9858" max="10096" width="2.28515625" style="434"/>
    <col min="10097" max="10098" width="2.28515625" style="434" customWidth="1"/>
    <col min="10099" max="10099" width="24.7109375" style="434" customWidth="1"/>
    <col min="10100" max="10100" width="33.7109375" style="434" customWidth="1"/>
    <col min="10101" max="10101" width="9.28515625" style="434" customWidth="1"/>
    <col min="10102" max="10103" width="7.7109375" style="434" customWidth="1"/>
    <col min="10104" max="10105" width="11.28515625" style="434" customWidth="1"/>
    <col min="10106" max="10106" width="15.7109375" style="434" customWidth="1"/>
    <col min="10107" max="10107" width="28.7109375" style="434" customWidth="1"/>
    <col min="10108" max="10108" width="40.7109375" style="434" customWidth="1"/>
    <col min="10109" max="10110" width="2.28515625" style="434"/>
    <col min="10111" max="10113" width="0" style="434" hidden="1" customWidth="1"/>
    <col min="10114" max="10352" width="2.28515625" style="434"/>
    <col min="10353" max="10354" width="2.28515625" style="434" customWidth="1"/>
    <col min="10355" max="10355" width="24.7109375" style="434" customWidth="1"/>
    <col min="10356" max="10356" width="33.7109375" style="434" customWidth="1"/>
    <col min="10357" max="10357" width="9.28515625" style="434" customWidth="1"/>
    <col min="10358" max="10359" width="7.7109375" style="434" customWidth="1"/>
    <col min="10360" max="10361" width="11.28515625" style="434" customWidth="1"/>
    <col min="10362" max="10362" width="15.7109375" style="434" customWidth="1"/>
    <col min="10363" max="10363" width="28.7109375" style="434" customWidth="1"/>
    <col min="10364" max="10364" width="40.7109375" style="434" customWidth="1"/>
    <col min="10365" max="10366" width="2.28515625" style="434"/>
    <col min="10367" max="10369" width="0" style="434" hidden="1" customWidth="1"/>
    <col min="10370" max="10608" width="2.28515625" style="434"/>
    <col min="10609" max="10610" width="2.28515625" style="434" customWidth="1"/>
    <col min="10611" max="10611" width="24.7109375" style="434" customWidth="1"/>
    <col min="10612" max="10612" width="33.7109375" style="434" customWidth="1"/>
    <col min="10613" max="10613" width="9.28515625" style="434" customWidth="1"/>
    <col min="10614" max="10615" width="7.7109375" style="434" customWidth="1"/>
    <col min="10616" max="10617" width="11.28515625" style="434" customWidth="1"/>
    <col min="10618" max="10618" width="15.7109375" style="434" customWidth="1"/>
    <col min="10619" max="10619" width="28.7109375" style="434" customWidth="1"/>
    <col min="10620" max="10620" width="40.7109375" style="434" customWidth="1"/>
    <col min="10621" max="10622" width="2.28515625" style="434"/>
    <col min="10623" max="10625" width="0" style="434" hidden="1" customWidth="1"/>
    <col min="10626" max="10864" width="2.28515625" style="434"/>
    <col min="10865" max="10866" width="2.28515625" style="434" customWidth="1"/>
    <col min="10867" max="10867" width="24.7109375" style="434" customWidth="1"/>
    <col min="10868" max="10868" width="33.7109375" style="434" customWidth="1"/>
    <col min="10869" max="10869" width="9.28515625" style="434" customWidth="1"/>
    <col min="10870" max="10871" width="7.7109375" style="434" customWidth="1"/>
    <col min="10872" max="10873" width="11.28515625" style="434" customWidth="1"/>
    <col min="10874" max="10874" width="15.7109375" style="434" customWidth="1"/>
    <col min="10875" max="10875" width="28.7109375" style="434" customWidth="1"/>
    <col min="10876" max="10876" width="40.7109375" style="434" customWidth="1"/>
    <col min="10877" max="10878" width="2.28515625" style="434"/>
    <col min="10879" max="10881" width="0" style="434" hidden="1" customWidth="1"/>
    <col min="10882" max="11120" width="2.28515625" style="434"/>
    <col min="11121" max="11122" width="2.28515625" style="434" customWidth="1"/>
    <col min="11123" max="11123" width="24.7109375" style="434" customWidth="1"/>
    <col min="11124" max="11124" width="33.7109375" style="434" customWidth="1"/>
    <col min="11125" max="11125" width="9.28515625" style="434" customWidth="1"/>
    <col min="11126" max="11127" width="7.7109375" style="434" customWidth="1"/>
    <col min="11128" max="11129" width="11.28515625" style="434" customWidth="1"/>
    <col min="11130" max="11130" width="15.7109375" style="434" customWidth="1"/>
    <col min="11131" max="11131" width="28.7109375" style="434" customWidth="1"/>
    <col min="11132" max="11132" width="40.7109375" style="434" customWidth="1"/>
    <col min="11133" max="11134" width="2.28515625" style="434"/>
    <col min="11135" max="11137" width="0" style="434" hidden="1" customWidth="1"/>
    <col min="11138" max="11376" width="2.28515625" style="434"/>
    <col min="11377" max="11378" width="2.28515625" style="434" customWidth="1"/>
    <col min="11379" max="11379" width="24.7109375" style="434" customWidth="1"/>
    <col min="11380" max="11380" width="33.7109375" style="434" customWidth="1"/>
    <col min="11381" max="11381" width="9.28515625" style="434" customWidth="1"/>
    <col min="11382" max="11383" width="7.7109375" style="434" customWidth="1"/>
    <col min="11384" max="11385" width="11.28515625" style="434" customWidth="1"/>
    <col min="11386" max="11386" width="15.7109375" style="434" customWidth="1"/>
    <col min="11387" max="11387" width="28.7109375" style="434" customWidth="1"/>
    <col min="11388" max="11388" width="40.7109375" style="434" customWidth="1"/>
    <col min="11389" max="11390" width="2.28515625" style="434"/>
    <col min="11391" max="11393" width="0" style="434" hidden="1" customWidth="1"/>
    <col min="11394" max="11632" width="2.28515625" style="434"/>
    <col min="11633" max="11634" width="2.28515625" style="434" customWidth="1"/>
    <col min="11635" max="11635" width="24.7109375" style="434" customWidth="1"/>
    <col min="11636" max="11636" width="33.7109375" style="434" customWidth="1"/>
    <col min="11637" max="11637" width="9.28515625" style="434" customWidth="1"/>
    <col min="11638" max="11639" width="7.7109375" style="434" customWidth="1"/>
    <col min="11640" max="11641" width="11.28515625" style="434" customWidth="1"/>
    <col min="11642" max="11642" width="15.7109375" style="434" customWidth="1"/>
    <col min="11643" max="11643" width="28.7109375" style="434" customWidth="1"/>
    <col min="11644" max="11644" width="40.7109375" style="434" customWidth="1"/>
    <col min="11645" max="11646" width="2.28515625" style="434"/>
    <col min="11647" max="11649" width="0" style="434" hidden="1" customWidth="1"/>
    <col min="11650" max="11888" width="2.28515625" style="434"/>
    <col min="11889" max="11890" width="2.28515625" style="434" customWidth="1"/>
    <col min="11891" max="11891" width="24.7109375" style="434" customWidth="1"/>
    <col min="11892" max="11892" width="33.7109375" style="434" customWidth="1"/>
    <col min="11893" max="11893" width="9.28515625" style="434" customWidth="1"/>
    <col min="11894" max="11895" width="7.7109375" style="434" customWidth="1"/>
    <col min="11896" max="11897" width="11.28515625" style="434" customWidth="1"/>
    <col min="11898" max="11898" width="15.7109375" style="434" customWidth="1"/>
    <col min="11899" max="11899" width="28.7109375" style="434" customWidth="1"/>
    <col min="11900" max="11900" width="40.7109375" style="434" customWidth="1"/>
    <col min="11901" max="11902" width="2.28515625" style="434"/>
    <col min="11903" max="11905" width="0" style="434" hidden="1" customWidth="1"/>
    <col min="11906" max="12144" width="2.28515625" style="434"/>
    <col min="12145" max="12146" width="2.28515625" style="434" customWidth="1"/>
    <col min="12147" max="12147" width="24.7109375" style="434" customWidth="1"/>
    <col min="12148" max="12148" width="33.7109375" style="434" customWidth="1"/>
    <col min="12149" max="12149" width="9.28515625" style="434" customWidth="1"/>
    <col min="12150" max="12151" width="7.7109375" style="434" customWidth="1"/>
    <col min="12152" max="12153" width="11.28515625" style="434" customWidth="1"/>
    <col min="12154" max="12154" width="15.7109375" style="434" customWidth="1"/>
    <col min="12155" max="12155" width="28.7109375" style="434" customWidth="1"/>
    <col min="12156" max="12156" width="40.7109375" style="434" customWidth="1"/>
    <col min="12157" max="12158" width="2.28515625" style="434"/>
    <col min="12159" max="12161" width="0" style="434" hidden="1" customWidth="1"/>
    <col min="12162" max="12400" width="2.28515625" style="434"/>
    <col min="12401" max="12402" width="2.28515625" style="434" customWidth="1"/>
    <col min="12403" max="12403" width="24.7109375" style="434" customWidth="1"/>
    <col min="12404" max="12404" width="33.7109375" style="434" customWidth="1"/>
    <col min="12405" max="12405" width="9.28515625" style="434" customWidth="1"/>
    <col min="12406" max="12407" width="7.7109375" style="434" customWidth="1"/>
    <col min="12408" max="12409" width="11.28515625" style="434" customWidth="1"/>
    <col min="12410" max="12410" width="15.7109375" style="434" customWidth="1"/>
    <col min="12411" max="12411" width="28.7109375" style="434" customWidth="1"/>
    <col min="12412" max="12412" width="40.7109375" style="434" customWidth="1"/>
    <col min="12413" max="12414" width="2.28515625" style="434"/>
    <col min="12415" max="12417" width="0" style="434" hidden="1" customWidth="1"/>
    <col min="12418" max="12656" width="2.28515625" style="434"/>
    <col min="12657" max="12658" width="2.28515625" style="434" customWidth="1"/>
    <col min="12659" max="12659" width="24.7109375" style="434" customWidth="1"/>
    <col min="12660" max="12660" width="33.7109375" style="434" customWidth="1"/>
    <col min="12661" max="12661" width="9.28515625" style="434" customWidth="1"/>
    <col min="12662" max="12663" width="7.7109375" style="434" customWidth="1"/>
    <col min="12664" max="12665" width="11.28515625" style="434" customWidth="1"/>
    <col min="12666" max="12666" width="15.7109375" style="434" customWidth="1"/>
    <col min="12667" max="12667" width="28.7109375" style="434" customWidth="1"/>
    <col min="12668" max="12668" width="40.7109375" style="434" customWidth="1"/>
    <col min="12669" max="12670" width="2.28515625" style="434"/>
    <col min="12671" max="12673" width="0" style="434" hidden="1" customWidth="1"/>
    <col min="12674" max="12912" width="2.28515625" style="434"/>
    <col min="12913" max="12914" width="2.28515625" style="434" customWidth="1"/>
    <col min="12915" max="12915" width="24.7109375" style="434" customWidth="1"/>
    <col min="12916" max="12916" width="33.7109375" style="434" customWidth="1"/>
    <col min="12917" max="12917" width="9.28515625" style="434" customWidth="1"/>
    <col min="12918" max="12919" width="7.7109375" style="434" customWidth="1"/>
    <col min="12920" max="12921" width="11.28515625" style="434" customWidth="1"/>
    <col min="12922" max="12922" width="15.7109375" style="434" customWidth="1"/>
    <col min="12923" max="12923" width="28.7109375" style="434" customWidth="1"/>
    <col min="12924" max="12924" width="40.7109375" style="434" customWidth="1"/>
    <col min="12925" max="12926" width="2.28515625" style="434"/>
    <col min="12927" max="12929" width="0" style="434" hidden="1" customWidth="1"/>
    <col min="12930" max="13168" width="2.28515625" style="434"/>
    <col min="13169" max="13170" width="2.28515625" style="434" customWidth="1"/>
    <col min="13171" max="13171" width="24.7109375" style="434" customWidth="1"/>
    <col min="13172" max="13172" width="33.7109375" style="434" customWidth="1"/>
    <col min="13173" max="13173" width="9.28515625" style="434" customWidth="1"/>
    <col min="13174" max="13175" width="7.7109375" style="434" customWidth="1"/>
    <col min="13176" max="13177" width="11.28515625" style="434" customWidth="1"/>
    <col min="13178" max="13178" width="15.7109375" style="434" customWidth="1"/>
    <col min="13179" max="13179" width="28.7109375" style="434" customWidth="1"/>
    <col min="13180" max="13180" width="40.7109375" style="434" customWidth="1"/>
    <col min="13181" max="13182" width="2.28515625" style="434"/>
    <col min="13183" max="13185" width="0" style="434" hidden="1" customWidth="1"/>
    <col min="13186" max="13424" width="2.28515625" style="434"/>
    <col min="13425" max="13426" width="2.28515625" style="434" customWidth="1"/>
    <col min="13427" max="13427" width="24.7109375" style="434" customWidth="1"/>
    <col min="13428" max="13428" width="33.7109375" style="434" customWidth="1"/>
    <col min="13429" max="13429" width="9.28515625" style="434" customWidth="1"/>
    <col min="13430" max="13431" width="7.7109375" style="434" customWidth="1"/>
    <col min="13432" max="13433" width="11.28515625" style="434" customWidth="1"/>
    <col min="13434" max="13434" width="15.7109375" style="434" customWidth="1"/>
    <col min="13435" max="13435" width="28.7109375" style="434" customWidth="1"/>
    <col min="13436" max="13436" width="40.7109375" style="434" customWidth="1"/>
    <col min="13437" max="13438" width="2.28515625" style="434"/>
    <col min="13439" max="13441" width="0" style="434" hidden="1" customWidth="1"/>
    <col min="13442" max="13680" width="2.28515625" style="434"/>
    <col min="13681" max="13682" width="2.28515625" style="434" customWidth="1"/>
    <col min="13683" max="13683" width="24.7109375" style="434" customWidth="1"/>
    <col min="13684" max="13684" width="33.7109375" style="434" customWidth="1"/>
    <col min="13685" max="13685" width="9.28515625" style="434" customWidth="1"/>
    <col min="13686" max="13687" width="7.7109375" style="434" customWidth="1"/>
    <col min="13688" max="13689" width="11.28515625" style="434" customWidth="1"/>
    <col min="13690" max="13690" width="15.7109375" style="434" customWidth="1"/>
    <col min="13691" max="13691" width="28.7109375" style="434" customWidth="1"/>
    <col min="13692" max="13692" width="40.7109375" style="434" customWidth="1"/>
    <col min="13693" max="13694" width="2.28515625" style="434"/>
    <col min="13695" max="13697" width="0" style="434" hidden="1" customWidth="1"/>
    <col min="13698" max="13936" width="2.28515625" style="434"/>
    <col min="13937" max="13938" width="2.28515625" style="434" customWidth="1"/>
    <col min="13939" max="13939" width="24.7109375" style="434" customWidth="1"/>
    <col min="13940" max="13940" width="33.7109375" style="434" customWidth="1"/>
    <col min="13941" max="13941" width="9.28515625" style="434" customWidth="1"/>
    <col min="13942" max="13943" width="7.7109375" style="434" customWidth="1"/>
    <col min="13944" max="13945" width="11.28515625" style="434" customWidth="1"/>
    <col min="13946" max="13946" width="15.7109375" style="434" customWidth="1"/>
    <col min="13947" max="13947" width="28.7109375" style="434" customWidth="1"/>
    <col min="13948" max="13948" width="40.7109375" style="434" customWidth="1"/>
    <col min="13949" max="13950" width="2.28515625" style="434"/>
    <col min="13951" max="13953" width="0" style="434" hidden="1" customWidth="1"/>
    <col min="13954" max="14192" width="2.28515625" style="434"/>
    <col min="14193" max="14194" width="2.28515625" style="434" customWidth="1"/>
    <col min="14195" max="14195" width="24.7109375" style="434" customWidth="1"/>
    <col min="14196" max="14196" width="33.7109375" style="434" customWidth="1"/>
    <col min="14197" max="14197" width="9.28515625" style="434" customWidth="1"/>
    <col min="14198" max="14199" width="7.7109375" style="434" customWidth="1"/>
    <col min="14200" max="14201" width="11.28515625" style="434" customWidth="1"/>
    <col min="14202" max="14202" width="15.7109375" style="434" customWidth="1"/>
    <col min="14203" max="14203" width="28.7109375" style="434" customWidth="1"/>
    <col min="14204" max="14204" width="40.7109375" style="434" customWidth="1"/>
    <col min="14205" max="14206" width="2.28515625" style="434"/>
    <col min="14207" max="14209" width="0" style="434" hidden="1" customWidth="1"/>
    <col min="14210" max="14448" width="2.28515625" style="434"/>
    <col min="14449" max="14450" width="2.28515625" style="434" customWidth="1"/>
    <col min="14451" max="14451" width="24.7109375" style="434" customWidth="1"/>
    <col min="14452" max="14452" width="33.7109375" style="434" customWidth="1"/>
    <col min="14453" max="14453" width="9.28515625" style="434" customWidth="1"/>
    <col min="14454" max="14455" width="7.7109375" style="434" customWidth="1"/>
    <col min="14456" max="14457" width="11.28515625" style="434" customWidth="1"/>
    <col min="14458" max="14458" width="15.7109375" style="434" customWidth="1"/>
    <col min="14459" max="14459" width="28.7109375" style="434" customWidth="1"/>
    <col min="14460" max="14460" width="40.7109375" style="434" customWidth="1"/>
    <col min="14461" max="14462" width="2.28515625" style="434"/>
    <col min="14463" max="14465" width="0" style="434" hidden="1" customWidth="1"/>
    <col min="14466" max="14704" width="2.28515625" style="434"/>
    <col min="14705" max="14706" width="2.28515625" style="434" customWidth="1"/>
    <col min="14707" max="14707" width="24.7109375" style="434" customWidth="1"/>
    <col min="14708" max="14708" width="33.7109375" style="434" customWidth="1"/>
    <col min="14709" max="14709" width="9.28515625" style="434" customWidth="1"/>
    <col min="14710" max="14711" width="7.7109375" style="434" customWidth="1"/>
    <col min="14712" max="14713" width="11.28515625" style="434" customWidth="1"/>
    <col min="14714" max="14714" width="15.7109375" style="434" customWidth="1"/>
    <col min="14715" max="14715" width="28.7109375" style="434" customWidth="1"/>
    <col min="14716" max="14716" width="40.7109375" style="434" customWidth="1"/>
    <col min="14717" max="14718" width="2.28515625" style="434"/>
    <col min="14719" max="14721" width="0" style="434" hidden="1" customWidth="1"/>
    <col min="14722" max="14960" width="2.28515625" style="434"/>
    <col min="14961" max="14962" width="2.28515625" style="434" customWidth="1"/>
    <col min="14963" max="14963" width="24.7109375" style="434" customWidth="1"/>
    <col min="14964" max="14964" width="33.7109375" style="434" customWidth="1"/>
    <col min="14965" max="14965" width="9.28515625" style="434" customWidth="1"/>
    <col min="14966" max="14967" width="7.7109375" style="434" customWidth="1"/>
    <col min="14968" max="14969" width="11.28515625" style="434" customWidth="1"/>
    <col min="14970" max="14970" width="15.7109375" style="434" customWidth="1"/>
    <col min="14971" max="14971" width="28.7109375" style="434" customWidth="1"/>
    <col min="14972" max="14972" width="40.7109375" style="434" customWidth="1"/>
    <col min="14973" max="14974" width="2.28515625" style="434"/>
    <col min="14975" max="14977" width="0" style="434" hidden="1" customWidth="1"/>
    <col min="14978" max="15216" width="2.28515625" style="434"/>
    <col min="15217" max="15218" width="2.28515625" style="434" customWidth="1"/>
    <col min="15219" max="15219" width="24.7109375" style="434" customWidth="1"/>
    <col min="15220" max="15220" width="33.7109375" style="434" customWidth="1"/>
    <col min="15221" max="15221" width="9.28515625" style="434" customWidth="1"/>
    <col min="15222" max="15223" width="7.7109375" style="434" customWidth="1"/>
    <col min="15224" max="15225" width="11.28515625" style="434" customWidth="1"/>
    <col min="15226" max="15226" width="15.7109375" style="434" customWidth="1"/>
    <col min="15227" max="15227" width="28.7109375" style="434" customWidth="1"/>
    <col min="15228" max="15228" width="40.7109375" style="434" customWidth="1"/>
    <col min="15229" max="15230" width="2.28515625" style="434"/>
    <col min="15231" max="15233" width="0" style="434" hidden="1" customWidth="1"/>
    <col min="15234" max="15472" width="2.28515625" style="434"/>
    <col min="15473" max="15474" width="2.28515625" style="434" customWidth="1"/>
    <col min="15475" max="15475" width="24.7109375" style="434" customWidth="1"/>
    <col min="15476" max="15476" width="33.7109375" style="434" customWidth="1"/>
    <col min="15477" max="15477" width="9.28515625" style="434" customWidth="1"/>
    <col min="15478" max="15479" width="7.7109375" style="434" customWidth="1"/>
    <col min="15480" max="15481" width="11.28515625" style="434" customWidth="1"/>
    <col min="15482" max="15482" width="15.7109375" style="434" customWidth="1"/>
    <col min="15483" max="15483" width="28.7109375" style="434" customWidth="1"/>
    <col min="15484" max="15484" width="40.7109375" style="434" customWidth="1"/>
    <col min="15485" max="15486" width="2.28515625" style="434"/>
    <col min="15487" max="15489" width="0" style="434" hidden="1" customWidth="1"/>
    <col min="15490" max="15728" width="2.28515625" style="434"/>
    <col min="15729" max="15730" width="2.28515625" style="434" customWidth="1"/>
    <col min="15731" max="15731" width="24.7109375" style="434" customWidth="1"/>
    <col min="15732" max="15732" width="33.7109375" style="434" customWidth="1"/>
    <col min="15733" max="15733" width="9.28515625" style="434" customWidth="1"/>
    <col min="15734" max="15735" width="7.7109375" style="434" customWidth="1"/>
    <col min="15736" max="15737" width="11.28515625" style="434" customWidth="1"/>
    <col min="15738" max="15738" width="15.7109375" style="434" customWidth="1"/>
    <col min="15739" max="15739" width="28.7109375" style="434" customWidth="1"/>
    <col min="15740" max="15740" width="40.7109375" style="434" customWidth="1"/>
    <col min="15741" max="15742" width="2.28515625" style="434"/>
    <col min="15743" max="15745" width="0" style="434" hidden="1" customWidth="1"/>
    <col min="15746" max="15984" width="2.28515625" style="434"/>
    <col min="15985" max="15986" width="2.28515625" style="434" customWidth="1"/>
    <col min="15987" max="15987" width="24.7109375" style="434" customWidth="1"/>
    <col min="15988" max="15988" width="33.7109375" style="434" customWidth="1"/>
    <col min="15989" max="15989" width="9.28515625" style="434" customWidth="1"/>
    <col min="15990" max="15991" width="7.7109375" style="434" customWidth="1"/>
    <col min="15992" max="15993" width="11.28515625" style="434" customWidth="1"/>
    <col min="15994" max="15994" width="15.7109375" style="434" customWidth="1"/>
    <col min="15995" max="15995" width="28.7109375" style="434" customWidth="1"/>
    <col min="15996" max="15996" width="40.7109375" style="434" customWidth="1"/>
    <col min="15997" max="15998" width="2.28515625" style="434"/>
    <col min="15999" max="16001" width="0" style="434" hidden="1" customWidth="1"/>
    <col min="16002" max="16384" width="2.28515625" style="434"/>
  </cols>
  <sheetData>
    <row r="1" spans="1:5" ht="15" customHeight="1">
      <c r="A1" s="639"/>
      <c r="B1" s="433" t="s">
        <v>0</v>
      </c>
      <c r="D1" s="1299"/>
    </row>
    <row r="2" spans="1:5" ht="18" customHeight="1">
      <c r="A2" s="642"/>
      <c r="B2" s="286" t="s">
        <v>256</v>
      </c>
      <c r="C2" s="1285" t="s">
        <v>2562</v>
      </c>
      <c r="D2" s="540"/>
      <c r="E2" s="540"/>
    </row>
    <row r="3" spans="1:5" ht="18" customHeight="1">
      <c r="A3" s="642"/>
      <c r="B3" s="1300">
        <f>Summary!B3</f>
        <v>0</v>
      </c>
      <c r="C3" s="478" t="s">
        <v>1484</v>
      </c>
    </row>
    <row r="4" spans="1:5" ht="83.25" customHeight="1">
      <c r="A4" s="642"/>
      <c r="B4" s="642"/>
      <c r="E4" s="646"/>
    </row>
    <row r="5" spans="1:5" ht="9" customHeight="1">
      <c r="A5" s="642"/>
      <c r="B5" s="642"/>
    </row>
    <row r="6" spans="1:5" ht="18">
      <c r="A6" s="642"/>
      <c r="B6" s="642"/>
      <c r="D6" s="1301" t="s">
        <v>2563</v>
      </c>
    </row>
    <row r="7" spans="1:5" ht="18">
      <c r="A7" s="642"/>
      <c r="B7" s="642"/>
      <c r="D7" s="1239"/>
    </row>
    <row r="8" spans="1:5" s="658" customFormat="1" ht="19.899999999999999" customHeight="1">
      <c r="A8" s="465"/>
      <c r="B8" s="1302" t="s">
        <v>178</v>
      </c>
      <c r="C8" s="1303"/>
      <c r="D8" s="823" t="s">
        <v>20</v>
      </c>
      <c r="E8" s="1304" t="s">
        <v>2</v>
      </c>
    </row>
    <row r="9" spans="1:5" s="658" customFormat="1" ht="19.899999999999999" customHeight="1">
      <c r="A9" s="465"/>
      <c r="B9" s="1305" t="s">
        <v>611</v>
      </c>
      <c r="C9" s="1306"/>
      <c r="D9" s="1307"/>
      <c r="E9" s="1308"/>
    </row>
    <row r="10" spans="1:5" s="658" customFormat="1" ht="19.899999999999999" customHeight="1">
      <c r="A10" s="465"/>
      <c r="B10" s="674" t="str">
        <f>'2. Exploration'!C7</f>
        <v>Seismic, Grid-Lines, Minor Tracks (by length)</v>
      </c>
      <c r="C10" s="1309"/>
      <c r="D10" s="676">
        <f>'2. Exploration'!D16</f>
        <v>0</v>
      </c>
      <c r="E10" s="664" t="str">
        <f>'2. Exploration'!H10</f>
        <v>km</v>
      </c>
    </row>
    <row r="11" spans="1:5" s="658" customFormat="1" ht="19.899999999999999" customHeight="1">
      <c r="A11" s="465"/>
      <c r="B11" s="674" t="s">
        <v>2564</v>
      </c>
      <c r="C11" s="1309"/>
      <c r="D11" s="677">
        <f>'2. Exploration'!G16</f>
        <v>0</v>
      </c>
      <c r="E11" s="664" t="s">
        <v>24</v>
      </c>
    </row>
    <row r="12" spans="1:5" s="658" customFormat="1" ht="19.899999999999999" customHeight="1">
      <c r="A12" s="465"/>
      <c r="B12" s="674" t="str">
        <f>'2. Exploration'!C18</f>
        <v>Seismic, Grid-Lines, Minor Tracks (by area)</v>
      </c>
      <c r="C12" s="1309"/>
      <c r="D12" s="676">
        <f>'2. Exploration'!D27</f>
        <v>0</v>
      </c>
      <c r="E12" s="664" t="str">
        <f>'2. Exploration'!H21</f>
        <v>ha</v>
      </c>
    </row>
    <row r="13" spans="1:5" s="658" customFormat="1" ht="19.899999999999999" customHeight="1">
      <c r="A13" s="465"/>
      <c r="B13" s="674" t="s">
        <v>2565</v>
      </c>
      <c r="C13" s="1309"/>
      <c r="D13" s="676">
        <f>'2. Exploration'!G27</f>
        <v>0</v>
      </c>
      <c r="E13" s="664" t="s">
        <v>95</v>
      </c>
    </row>
    <row r="14" spans="1:5" s="658" customFormat="1" ht="19.899999999999999" customHeight="1">
      <c r="A14" s="465"/>
      <c r="B14" s="674" t="str">
        <f>'2. Exploration'!C29</f>
        <v>Tracks and Roads (by length)</v>
      </c>
      <c r="C14" s="1309"/>
      <c r="D14" s="676">
        <f>'2. Exploration'!D43</f>
        <v>0</v>
      </c>
      <c r="E14" s="664" t="s">
        <v>24</v>
      </c>
    </row>
    <row r="15" spans="1:5" s="658" customFormat="1" ht="19.899999999999999" customHeight="1">
      <c r="A15" s="465"/>
      <c r="B15" s="674" t="str">
        <f>'2. Exploration'!C45</f>
        <v>Tracks and Roads (by area)</v>
      </c>
      <c r="C15" s="1309"/>
      <c r="D15" s="676">
        <f>'2. Exploration'!D56</f>
        <v>0</v>
      </c>
      <c r="E15" s="664" t="str">
        <f>'2. Exploration'!E48</f>
        <v>ha</v>
      </c>
    </row>
    <row r="16" spans="1:5" s="658" customFormat="1" ht="19.899999999999999" customHeight="1">
      <c r="A16" s="465"/>
      <c r="B16" s="674" t="str">
        <f>'2. Exploration'!C58</f>
        <v>Drillholes and sumps</v>
      </c>
      <c r="C16" s="1309"/>
      <c r="D16" s="677">
        <f>'2. Exploration'!D77</f>
        <v>0</v>
      </c>
      <c r="E16" s="664" t="s">
        <v>1487</v>
      </c>
    </row>
    <row r="17" spans="1:5" s="658" customFormat="1" ht="19.899999999999999" customHeight="1">
      <c r="A17" s="465"/>
      <c r="B17" s="674" t="str">
        <f>'2. Exploration'!C79</f>
        <v>Water Structures by area</v>
      </c>
      <c r="C17" s="1309"/>
      <c r="D17" s="677">
        <f>'2. Exploration'!D101</f>
        <v>0</v>
      </c>
      <c r="E17" s="664" t="s">
        <v>1487</v>
      </c>
    </row>
    <row r="18" spans="1:5" s="658" customFormat="1" ht="19.899999999999999" customHeight="1">
      <c r="A18" s="465"/>
      <c r="B18" s="674" t="str">
        <f>'2. Exploration'!C104</f>
        <v>Camps and Water Treatment Plants (Disturbance)</v>
      </c>
      <c r="C18" s="1309"/>
      <c r="D18" s="676">
        <f>'2. Exploration'!E117</f>
        <v>0</v>
      </c>
      <c r="E18" s="664" t="str">
        <f>'2. Exploration'!F107</f>
        <v>ha</v>
      </c>
    </row>
    <row r="19" spans="1:5" s="658" customFormat="1" ht="19.899999999999999" customHeight="1">
      <c r="A19" s="465"/>
      <c r="B19" s="1305" t="s">
        <v>1533</v>
      </c>
      <c r="C19" s="1306"/>
      <c r="D19" s="1307"/>
      <c r="E19" s="1308"/>
    </row>
    <row r="20" spans="1:5" s="658" customFormat="1" ht="19.899999999999999" customHeight="1">
      <c r="A20" s="465"/>
      <c r="B20" s="674" t="str">
        <f>Inf_Link_Top</f>
        <v>Disconnect Major Services to Facility</v>
      </c>
      <c r="C20" s="1309"/>
      <c r="D20" s="663">
        <f>'3. Infrastructure'!H17</f>
        <v>0</v>
      </c>
      <c r="E20" s="664" t="str">
        <f>'3. Infrastructure'!I17</f>
        <v>items</v>
      </c>
    </row>
    <row r="21" spans="1:5" s="658" customFormat="1" ht="19.899999999999999" customHeight="1">
      <c r="A21" s="465"/>
      <c r="B21" s="674" t="str">
        <f>'3. Infrastructure'!$C$19</f>
        <v>Access Roads / Tracks (Defaults by length)</v>
      </c>
      <c r="C21" s="1309"/>
      <c r="D21" s="676">
        <f>'3. Infrastructure'!H44</f>
        <v>0</v>
      </c>
      <c r="E21" s="664" t="str">
        <f>'3. Infrastructure'!I22</f>
        <v>km</v>
      </c>
    </row>
    <row r="22" spans="1:5" s="658" customFormat="1" ht="19.899999999999999" customHeight="1">
      <c r="A22" s="465"/>
      <c r="B22" s="674" t="str">
        <f>'3. Infrastructure'!$C$46</f>
        <v>Access Roads / Tracks (Defaults by Area)</v>
      </c>
      <c r="C22" s="1309"/>
      <c r="D22" s="676">
        <f>'3. Infrastructure'!H60</f>
        <v>0</v>
      </c>
      <c r="E22" s="664" t="s">
        <v>95</v>
      </c>
    </row>
    <row r="23" spans="1:5" s="658" customFormat="1" ht="19.899999999999999" customHeight="1">
      <c r="A23" s="465"/>
      <c r="B23" s="674" t="str">
        <f>Access_Roads___Tracks__User_defined_by_length</f>
        <v>Access Roads / Tracks (User defined by length)</v>
      </c>
      <c r="C23" s="1309"/>
      <c r="D23" s="676">
        <f>'3. Infrastructure'!I92</f>
        <v>0</v>
      </c>
      <c r="E23" s="664" t="s">
        <v>24</v>
      </c>
    </row>
    <row r="24" spans="1:5" s="658" customFormat="1" ht="19.899999999999999" customHeight="1">
      <c r="A24" s="465"/>
      <c r="B24" s="674" t="str">
        <f>'3. Infrastructure'!C101</f>
        <v>Access Roads / Tracks (User defined by area)</v>
      </c>
      <c r="C24" s="1309"/>
      <c r="D24" s="676">
        <f>'3. Infrastructure'!E125</f>
        <v>0</v>
      </c>
      <c r="E24" s="664" t="s">
        <v>95</v>
      </c>
    </row>
    <row r="25" spans="1:5" s="658" customFormat="1" ht="19.899999999999999" customHeight="1">
      <c r="A25" s="465"/>
      <c r="B25" s="674" t="str">
        <f>'3. Infrastructure'!C128</f>
        <v>Road and watercourse overpass</v>
      </c>
      <c r="C25" s="1309"/>
      <c r="D25" s="677">
        <f>'3. Infrastructure'!H136</f>
        <v>0</v>
      </c>
      <c r="E25" s="664" t="s">
        <v>1488</v>
      </c>
    </row>
    <row r="26" spans="1:5" s="658" customFormat="1" ht="19.899999999999999" customHeight="1">
      <c r="A26" s="465"/>
      <c r="B26" s="674" t="str">
        <f>'3. Infrastructure'!$C$139</f>
        <v>Mine Haul Roads (Defaults by length)</v>
      </c>
      <c r="C26" s="1309"/>
      <c r="D26" s="676">
        <f>'3. Infrastructure'!H155</f>
        <v>0</v>
      </c>
      <c r="E26" s="664" t="s">
        <v>24</v>
      </c>
    </row>
    <row r="27" spans="1:5" s="658" customFormat="1" ht="19.899999999999999" customHeight="1">
      <c r="A27" s="465"/>
      <c r="B27" s="674" t="str">
        <f>'3. Infrastructure'!$C$190</f>
        <v>Mine Haul Roads (Defaults by area)</v>
      </c>
      <c r="C27" s="1309"/>
      <c r="D27" s="676">
        <f>'3. Infrastructure'!I186</f>
        <v>0</v>
      </c>
      <c r="E27" s="664" t="s">
        <v>95</v>
      </c>
    </row>
    <row r="28" spans="1:5" s="658" customFormat="1" ht="19.899999999999999" customHeight="1">
      <c r="A28" s="465"/>
      <c r="B28" s="674" t="str">
        <f>'3. Infrastructure'!C162</f>
        <v>Mine Haul Roads (User defined by length)</v>
      </c>
      <c r="C28" s="1309"/>
      <c r="D28" s="676">
        <f>'3. Infrastructure'!H206</f>
        <v>0</v>
      </c>
      <c r="E28" s="664" t="s">
        <v>24</v>
      </c>
    </row>
    <row r="29" spans="1:5" s="658" customFormat="1" ht="19.899999999999999" customHeight="1">
      <c r="A29" s="465"/>
      <c r="B29" s="674" t="str">
        <f>'3. Infrastructure'!C214</f>
        <v>Mine Haul Roads / Tracks (User defined by area)</v>
      </c>
      <c r="C29" s="1309"/>
      <c r="D29" s="676">
        <f>'3. Infrastructure'!H238</f>
        <v>0</v>
      </c>
      <c r="E29" s="664" t="s">
        <v>95</v>
      </c>
    </row>
    <row r="30" spans="1:5" s="658" customFormat="1" ht="19.899999999999999" customHeight="1">
      <c r="A30" s="465"/>
      <c r="B30" s="674" t="str">
        <f>'3. Infrastructure'!C243</f>
        <v>Laydown Yards (Defaults)</v>
      </c>
      <c r="C30" s="1309"/>
      <c r="D30" s="676">
        <f>'3. Infrastructure'!H256</f>
        <v>0</v>
      </c>
      <c r="E30" s="664" t="s">
        <v>95</v>
      </c>
    </row>
    <row r="31" spans="1:5" s="658" customFormat="1" ht="19.899999999999999" customHeight="1">
      <c r="A31" s="465"/>
      <c r="B31" s="674" t="str">
        <f>'3. Infrastructure'!C264</f>
        <v>Laydown Yards (User Defined)</v>
      </c>
      <c r="C31" s="1309"/>
      <c r="D31" s="676">
        <f>'3. Infrastructure'!E278</f>
        <v>0</v>
      </c>
      <c r="E31" s="664" t="s">
        <v>95</v>
      </c>
    </row>
    <row r="32" spans="1:5" s="658" customFormat="1" ht="19.899999999999999" customHeight="1">
      <c r="A32" s="465"/>
      <c r="B32" s="674" t="str">
        <f>'3. Infrastructure'!C281</f>
        <v>Borrow Pits</v>
      </c>
      <c r="C32" s="1309"/>
      <c r="D32" s="676">
        <f>'3. Infrastructure'!H291</f>
        <v>0</v>
      </c>
      <c r="E32" s="664" t="s">
        <v>95</v>
      </c>
    </row>
    <row r="33" spans="1:5" s="658" customFormat="1" ht="19.899999999999999" customHeight="1">
      <c r="A33" s="465"/>
      <c r="B33" s="674" t="str">
        <f>'3. Infrastructure'!C294</f>
        <v>Pipelines (not associated with facilities / plant, i.e. pipelines connecting facilities / dams)</v>
      </c>
      <c r="C33" s="1309"/>
      <c r="D33" s="676">
        <f>'3. Infrastructure'!H309</f>
        <v>0</v>
      </c>
      <c r="E33" s="1310" t="str">
        <f>'3. Infrastructure'!I309</f>
        <v>m</v>
      </c>
    </row>
    <row r="34" spans="1:5" s="658" customFormat="1" ht="19.899999999999999" customHeight="1">
      <c r="A34" s="465"/>
      <c r="B34" s="674" t="str">
        <f>Inf_Link_Pipelines</f>
        <v>Pipelines (not associated with facilities etc) User Build</v>
      </c>
      <c r="C34" s="1309"/>
      <c r="D34" s="676">
        <f>'3. Infrastructure'!F329</f>
        <v>0</v>
      </c>
      <c r="E34" s="1310" t="str">
        <f>'3. Infrastructure'!G329</f>
        <v>m</v>
      </c>
    </row>
    <row r="35" spans="1:5" s="658" customFormat="1" ht="19.899999999999999" customHeight="1">
      <c r="A35" s="465"/>
      <c r="B35" s="674" t="str">
        <f>'3. Infrastructure'!C332</f>
        <v>Camps (by capacity)</v>
      </c>
      <c r="C35" s="1309"/>
      <c r="D35" s="677">
        <f>'3. Infrastructure'!H366</f>
        <v>0</v>
      </c>
      <c r="E35" s="664" t="s">
        <v>1489</v>
      </c>
    </row>
    <row r="36" spans="1:5" s="658" customFormat="1" ht="19.899999999999999" customHeight="1">
      <c r="A36" s="465"/>
      <c r="B36" s="674" t="str">
        <f>'3. Infrastructure'!C368</f>
        <v>Camps (by area)</v>
      </c>
      <c r="C36" s="1309"/>
      <c r="D36" s="676">
        <f>'3. Infrastructure'!H379</f>
        <v>0</v>
      </c>
      <c r="E36" s="664" t="s">
        <v>36</v>
      </c>
    </row>
    <row r="37" spans="1:5" s="658" customFormat="1" ht="19.899999999999999" customHeight="1">
      <c r="A37" s="465"/>
      <c r="B37" s="674" t="str">
        <f>'3. Infrastructure'!C381</f>
        <v>Buildings by area</v>
      </c>
      <c r="C37" s="1309"/>
      <c r="D37" s="676">
        <f>'3. Infrastructure'!H393</f>
        <v>0</v>
      </c>
      <c r="E37" s="664" t="s">
        <v>36</v>
      </c>
    </row>
    <row r="38" spans="1:5" s="658" customFormat="1" ht="19.899999999999999" customHeight="1">
      <c r="A38" s="465"/>
      <c r="B38" s="674" t="str">
        <f>'3. Infrastructure'!C395</f>
        <v>Buildings Portable</v>
      </c>
      <c r="C38" s="1309"/>
      <c r="D38" s="676">
        <f>'3. Infrastructure'!H403</f>
        <v>0</v>
      </c>
      <c r="E38" s="664"/>
    </row>
    <row r="39" spans="1:5" s="658" customFormat="1" ht="19.899999999999999" customHeight="1">
      <c r="A39" s="465"/>
      <c r="B39" s="674" t="str">
        <f>Inf_Lattice_Structures</f>
        <v>Lattice Structures</v>
      </c>
      <c r="C39" s="1309"/>
      <c r="D39" s="676">
        <f>'3. Infrastructure'!H413</f>
        <v>0</v>
      </c>
      <c r="E39" s="664"/>
    </row>
    <row r="40" spans="1:5" s="658" customFormat="1" ht="19.899999999999999" customHeight="1">
      <c r="A40" s="465"/>
      <c r="B40" s="674" t="str">
        <f>'3. Infrastructure'!E418</f>
        <v>Overhead powerlines (steel towers)</v>
      </c>
      <c r="C40" s="1309"/>
      <c r="D40" s="676">
        <f>'3. Infrastructure'!H418</f>
        <v>0</v>
      </c>
      <c r="E40" s="664" t="str">
        <f>'3. Infrastructure'!I418</f>
        <v>km</v>
      </c>
    </row>
    <row r="41" spans="1:5" s="658" customFormat="1" ht="19.899999999999999" customHeight="1">
      <c r="A41" s="465"/>
      <c r="B41" s="674" t="str">
        <f>'3. Infrastructure'!E419</f>
        <v>Overhead powerlines (wooden poles)</v>
      </c>
      <c r="C41" s="1309"/>
      <c r="D41" s="676">
        <f>'3. Infrastructure'!H419</f>
        <v>0</v>
      </c>
      <c r="E41" s="664" t="str">
        <f>'3. Infrastructure'!I419</f>
        <v>km</v>
      </c>
    </row>
    <row r="42" spans="1:5" s="658" customFormat="1" ht="19.899999999999999" customHeight="1">
      <c r="A42" s="465"/>
      <c r="B42" s="674" t="str">
        <f>'3. Infrastructure'!E420</f>
        <v>Overhead powerlines (concrete poles)</v>
      </c>
      <c r="C42" s="1309"/>
      <c r="D42" s="676">
        <f>'3. Infrastructure'!H420</f>
        <v>0</v>
      </c>
      <c r="E42" s="664" t="str">
        <f>'3. Infrastructure'!I420</f>
        <v>km</v>
      </c>
    </row>
    <row r="43" spans="1:5" s="658" customFormat="1" ht="19.899999999999999" customHeight="1">
      <c r="A43" s="465"/>
      <c r="B43" s="674" t="str">
        <f>'3. Infrastructure'!E421</f>
        <v>Substation</v>
      </c>
      <c r="C43" s="1309"/>
      <c r="D43" s="676">
        <f>'3. Infrastructure'!H421</f>
        <v>0</v>
      </c>
      <c r="E43" s="664" t="str">
        <f>'3. Infrastructure'!I421</f>
        <v>m2</v>
      </c>
    </row>
    <row r="44" spans="1:5" s="658" customFormat="1" ht="19.899999999999999" customHeight="1">
      <c r="A44" s="465"/>
      <c r="B44" s="674" t="str">
        <f>'3. Infrastructure'!E422</f>
        <v>Switchyard</v>
      </c>
      <c r="C44" s="1309"/>
      <c r="D44" s="676">
        <f>'3. Infrastructure'!H422</f>
        <v>0</v>
      </c>
      <c r="E44" s="664" t="str">
        <f>'3. Infrastructure'!I422</f>
        <v>m2</v>
      </c>
    </row>
    <row r="45" spans="1:5" s="658" customFormat="1" ht="19.899999999999999" customHeight="1">
      <c r="A45" s="465"/>
      <c r="B45" s="674" t="s">
        <v>2566</v>
      </c>
      <c r="C45" s="1309"/>
      <c r="D45" s="676">
        <f>'3. Infrastructure'!H434+'3. Infrastructure'!H435</f>
        <v>0</v>
      </c>
      <c r="E45" s="664" t="str">
        <f>'3. Infrastructure'!I434</f>
        <v>m2</v>
      </c>
    </row>
    <row r="46" spans="1:5" s="658" customFormat="1" ht="19.899999999999999" customHeight="1">
      <c r="A46" s="465"/>
      <c r="B46" s="674" t="s">
        <v>2567</v>
      </c>
      <c r="C46" s="1309"/>
      <c r="D46" s="676">
        <f>'3. Infrastructure'!H436+'3. Infrastructure'!H437</f>
        <v>0</v>
      </c>
      <c r="E46" s="664" t="str">
        <f>'3. Infrastructure'!I436</f>
        <v>m2</v>
      </c>
    </row>
    <row r="47" spans="1:5" s="658" customFormat="1" ht="19.899999999999999" customHeight="1">
      <c r="A47" s="465"/>
      <c r="B47" s="674" t="s">
        <v>2568</v>
      </c>
      <c r="C47" s="1309"/>
      <c r="D47" s="676">
        <f>SUM('3. Infrastructure'!H438:H440)</f>
        <v>0</v>
      </c>
      <c r="E47" s="664" t="str">
        <f>'3. Infrastructure'!I438</f>
        <v>t</v>
      </c>
    </row>
    <row r="48" spans="1:5" s="658" customFormat="1" ht="19.899999999999999" customHeight="1">
      <c r="A48" s="465"/>
      <c r="B48" s="674" t="str">
        <f>'3. Infrastructure'!E451</f>
        <v>Remove rail loop and spur, ballast etc.</v>
      </c>
      <c r="C48" s="1309"/>
      <c r="D48" s="676">
        <f>'3. Infrastructure'!H451</f>
        <v>0</v>
      </c>
      <c r="E48" s="664" t="str">
        <f>'3. Infrastructure'!I451</f>
        <v>m</v>
      </c>
    </row>
    <row r="49" spans="1:5" s="658" customFormat="1" ht="19.899999999999999" customHeight="1">
      <c r="A49" s="465"/>
      <c r="B49" s="674" t="str">
        <f>'3. Infrastructure'!E452</f>
        <v>Collapse, cut and remove rail loading bins</v>
      </c>
      <c r="C49" s="1309"/>
      <c r="D49" s="676">
        <f>'3. Infrastructure'!H452</f>
        <v>0</v>
      </c>
      <c r="E49" s="664" t="str">
        <f>'3. Infrastructure'!I452</f>
        <v>Item</v>
      </c>
    </row>
    <row r="50" spans="1:5" s="658" customFormat="1" ht="19.899999999999999" customHeight="1">
      <c r="A50" s="465"/>
      <c r="B50" s="674" t="str">
        <f>'3. Infrastructure'!E453</f>
        <v>Remove train loading facilities</v>
      </c>
      <c r="C50" s="1309"/>
      <c r="D50" s="676">
        <f>'3. Infrastructure'!H453</f>
        <v>0</v>
      </c>
      <c r="E50" s="664" t="str">
        <f>'3. Infrastructure'!I453</f>
        <v>m2</v>
      </c>
    </row>
    <row r="51" spans="1:5" s="658" customFormat="1" ht="19.899999999999999" customHeight="1">
      <c r="A51" s="465"/>
      <c r="B51" s="674" t="str">
        <f>'3. Infrastructure'!E454</f>
        <v>Remove rail overpass</v>
      </c>
      <c r="C51" s="1309"/>
      <c r="D51" s="676">
        <f>'3. Infrastructure'!H454</f>
        <v>0</v>
      </c>
      <c r="E51" s="664" t="str">
        <f>'3. Infrastructure'!I454</f>
        <v>item</v>
      </c>
    </row>
    <row r="52" spans="1:5" s="658" customFormat="1" ht="19.899999999999999" customHeight="1">
      <c r="A52" s="465"/>
      <c r="B52" s="674" t="str">
        <f>Inf_Landfills</f>
        <v>Landfills</v>
      </c>
      <c r="C52" s="1309"/>
      <c r="D52" s="676">
        <f>'3. Infrastructure'!H469</f>
        <v>0</v>
      </c>
      <c r="E52" s="664" t="str">
        <f>'3. Infrastructure'!I469</f>
        <v>m2</v>
      </c>
    </row>
    <row r="53" spans="1:5" s="658" customFormat="1" ht="19.899999999999999" customHeight="1">
      <c r="A53" s="465"/>
      <c r="B53" s="674" t="str">
        <f>Inf_Sewage_Treatment_Plants</f>
        <v>Sewage Treatment Plants</v>
      </c>
      <c r="C53" s="1309"/>
      <c r="D53" s="676">
        <f>'3. Infrastructure'!H479</f>
        <v>0</v>
      </c>
      <c r="E53" s="664" t="str">
        <f>'3. Infrastructure'!I479</f>
        <v>kL/day</v>
      </c>
    </row>
    <row r="54" spans="1:5" s="658" customFormat="1" ht="19.899999999999999" customHeight="1">
      <c r="A54" s="465"/>
      <c r="B54" s="674" t="str">
        <f>Inf_Rehabilitation</f>
        <v>Rehabilitation of Areas not covered above or in Process Equipment (see TOV descriptions)</v>
      </c>
      <c r="C54" s="1309"/>
      <c r="D54" s="676">
        <f>'3. Infrastructure'!H489</f>
        <v>0</v>
      </c>
      <c r="E54" s="664" t="str">
        <f>'3. Infrastructure'!I489</f>
        <v>m2</v>
      </c>
    </row>
    <row r="55" spans="1:5" s="658" customFormat="1" ht="19.899999999999999" customHeight="1">
      <c r="A55" s="465"/>
      <c r="B55" s="674" t="str">
        <f>Inf_fencing</f>
        <v>Fencing</v>
      </c>
      <c r="C55" s="1309"/>
      <c r="D55" s="676">
        <f>'3. Infrastructure'!H501</f>
        <v>0</v>
      </c>
      <c r="E55" s="664" t="str">
        <f>'3. Infrastructure'!I501</f>
        <v>m</v>
      </c>
    </row>
    <row r="56" spans="1:5" s="658" customFormat="1" ht="19.899999999999999" customHeight="1">
      <c r="A56" s="465"/>
      <c r="B56" s="674" t="str">
        <f>'3. Infrastructure'!E506</f>
        <v>Water Treatment Plant (company owned)</v>
      </c>
      <c r="C56" s="1309"/>
      <c r="D56" s="676">
        <f>'3. Infrastructure'!H506</f>
        <v>0</v>
      </c>
      <c r="E56" s="664" t="str">
        <f>'3. Infrastructure'!I506</f>
        <v>ML / day</v>
      </c>
    </row>
    <row r="57" spans="1:5" s="658" customFormat="1" ht="19.899999999999999" customHeight="1">
      <c r="A57" s="465"/>
      <c r="B57" s="674" t="str">
        <f>'3. Infrastructure'!E507</f>
        <v>Light Vehicle Wash Down</v>
      </c>
      <c r="C57" s="1309"/>
      <c r="D57" s="676">
        <f>'3. Infrastructure'!H507</f>
        <v>0</v>
      </c>
      <c r="E57" s="664" t="str">
        <f>'3. Infrastructure'!I507</f>
        <v>m2</v>
      </c>
    </row>
    <row r="58" spans="1:5" s="658" customFormat="1" ht="19.899999999999999" customHeight="1">
      <c r="A58" s="465"/>
      <c r="B58" s="674" t="str">
        <f>'3. Infrastructure'!E508</f>
        <v>Heavy Vehicle Wash Down</v>
      </c>
      <c r="C58" s="1309"/>
      <c r="D58" s="676">
        <f>'3. Infrastructure'!H508</f>
        <v>0</v>
      </c>
      <c r="E58" s="664" t="str">
        <f>'3. Infrastructure'!I508</f>
        <v>m2</v>
      </c>
    </row>
    <row r="59" spans="1:5" s="658" customFormat="1" ht="19.899999999999999" customHeight="1">
      <c r="A59" s="465"/>
      <c r="B59" s="674" t="str">
        <f>'3. Infrastructure'!E509</f>
        <v>Water Filling Station</v>
      </c>
      <c r="C59" s="1309"/>
      <c r="D59" s="676">
        <f>'3. Infrastructure'!H509</f>
        <v>0</v>
      </c>
      <c r="E59" s="664" t="str">
        <f>'3. Infrastructure'!I509</f>
        <v>unit</v>
      </c>
    </row>
    <row r="60" spans="1:5" s="658" customFormat="1" ht="19.899999999999999" customHeight="1">
      <c r="A60" s="465"/>
      <c r="B60" s="674" t="str">
        <f>'3. Infrastructure'!E510</f>
        <v>Fuel Filling Station</v>
      </c>
      <c r="C60" s="1309"/>
      <c r="D60" s="676">
        <f>'3. Infrastructure'!H510</f>
        <v>0</v>
      </c>
      <c r="E60" s="664" t="str">
        <f>'3. Infrastructure'!I510</f>
        <v>unit</v>
      </c>
    </row>
    <row r="61" spans="1:5" s="658" customFormat="1" ht="19.899999999999999" customHeight="1">
      <c r="A61" s="465"/>
      <c r="B61" s="1305" t="s">
        <v>206</v>
      </c>
      <c r="C61" s="1306"/>
      <c r="D61" s="1307"/>
      <c r="E61" s="1308"/>
    </row>
    <row r="62" spans="1:5" s="658" customFormat="1" ht="19.899999999999999" customHeight="1">
      <c r="A62" s="465"/>
      <c r="B62" s="674" t="str">
        <f>'4. Process Equipment'!D10</f>
        <v>Remove stacker or reclaimer</v>
      </c>
      <c r="C62" s="1309"/>
      <c r="D62" s="663">
        <f>'4. Process Equipment'!E10</f>
        <v>0</v>
      </c>
      <c r="E62" s="664" t="str">
        <f>'4. Process Equipment'!G10</f>
        <v>Item</v>
      </c>
    </row>
    <row r="63" spans="1:5" s="658" customFormat="1" ht="19.899999999999999" customHeight="1">
      <c r="A63" s="465"/>
      <c r="B63" s="674" t="str">
        <f>'4. Process Equipment'!D11</f>
        <v>Demolish and remove bucket wheel stacker/reclaimer or wing stacker</v>
      </c>
      <c r="C63" s="1309"/>
      <c r="D63" s="663">
        <f>'4. Process Equipment'!E11</f>
        <v>0</v>
      </c>
      <c r="E63" s="664" t="str">
        <f>'4. Process Equipment'!G11</f>
        <v>Item</v>
      </c>
    </row>
    <row r="64" spans="1:5" s="658" customFormat="1" ht="19.899999999999999" customHeight="1">
      <c r="A64" s="465"/>
      <c r="B64" s="674" t="str">
        <f>'4. Process Equipment'!D34</f>
        <v>Dismantle and remove dragline up to 2,000 t</v>
      </c>
      <c r="C64" s="1309"/>
      <c r="D64" s="663">
        <f>'4. Process Equipment'!E34</f>
        <v>0</v>
      </c>
      <c r="E64" s="664" t="str">
        <f>'4. Process Equipment'!G34</f>
        <v>item</v>
      </c>
    </row>
    <row r="65" spans="1:5" s="658" customFormat="1" ht="19.899999999999999" customHeight="1">
      <c r="A65" s="465"/>
      <c r="B65" s="674" t="str">
        <f>'4. Process Equipment'!D35</f>
        <v>Dismantle and remove dragline &gt;2,000 t to 5,000 t</v>
      </c>
      <c r="C65" s="1309"/>
      <c r="D65" s="663">
        <f>'4. Process Equipment'!E35</f>
        <v>0</v>
      </c>
      <c r="E65" s="664" t="str">
        <f>'4. Process Equipment'!G35</f>
        <v>item</v>
      </c>
    </row>
    <row r="66" spans="1:5" s="658" customFormat="1" ht="19.899999999999999" customHeight="1">
      <c r="A66" s="465"/>
      <c r="B66" s="674" t="str">
        <f>'4. Process Equipment'!D36</f>
        <v>Dismantle and remove dragline &gt; 5,000 t</v>
      </c>
      <c r="C66" s="1309"/>
      <c r="D66" s="663">
        <f>'4. Process Equipment'!E36</f>
        <v>0</v>
      </c>
      <c r="E66" s="664" t="str">
        <f>'4. Process Equipment'!G36</f>
        <v>item</v>
      </c>
    </row>
    <row r="67" spans="1:5" s="658" customFormat="1" ht="19.899999999999999" customHeight="1">
      <c r="A67" s="465"/>
      <c r="B67" s="1305" t="s">
        <v>992</v>
      </c>
      <c r="C67" s="1306"/>
      <c r="D67" s="1307"/>
      <c r="E67" s="1308"/>
    </row>
    <row r="68" spans="1:5" s="658" customFormat="1" ht="19.899999999999999" customHeight="1">
      <c r="A68" s="465"/>
      <c r="B68" s="674" t="str">
        <f>'5. Water Storage'!C7</f>
        <v>Water Storages Defaults by Category and Capacity</v>
      </c>
      <c r="C68" s="1309"/>
      <c r="D68" s="663">
        <f>'5. Water Storage'!K36</f>
        <v>0</v>
      </c>
      <c r="E68" s="664" t="s">
        <v>1492</v>
      </c>
    </row>
    <row r="69" spans="1:5" s="658" customFormat="1" ht="19.899999999999999" customHeight="1">
      <c r="A69" s="465"/>
      <c r="B69" s="674" t="str">
        <f>'5. Water Storage'!C38</f>
        <v>Water Storages Defaults by Area</v>
      </c>
      <c r="C69" s="1309"/>
      <c r="D69" s="663">
        <f>'5. Water Storage'!H62</f>
        <v>0</v>
      </c>
      <c r="E69" s="664" t="s">
        <v>95</v>
      </c>
    </row>
    <row r="70" spans="1:5" s="658" customFormat="1" ht="19.899999999999999" customHeight="1">
      <c r="A70" s="465"/>
      <c r="B70" s="674" t="str">
        <f>'5. Water Storage'!C66</f>
        <v>Water Structures User</v>
      </c>
      <c r="C70" s="1309"/>
      <c r="D70" s="687">
        <f>SUM('5. Water Storage'!H100)</f>
        <v>0</v>
      </c>
      <c r="E70" s="679" t="s">
        <v>1488</v>
      </c>
    </row>
    <row r="71" spans="1:5" s="658" customFormat="1" ht="19.899999999999999" customHeight="1">
      <c r="A71" s="465"/>
      <c r="B71" s="1305" t="s">
        <v>2569</v>
      </c>
      <c r="C71" s="1306"/>
      <c r="D71" s="1307"/>
      <c r="E71" s="1308"/>
    </row>
    <row r="72" spans="1:5" s="658" customFormat="1" ht="19.899999999999999" customHeight="1">
      <c r="A72" s="465"/>
      <c r="B72" s="674" t="str">
        <f>'6. Water Treatment'!N8</f>
        <v>Water pumping / transfer</v>
      </c>
      <c r="C72" s="1309"/>
      <c r="D72" s="663">
        <f>'6. Water Treatment'!N32</f>
        <v>0</v>
      </c>
      <c r="E72" s="664" t="str">
        <f>'6. Water Treatment'!N9</f>
        <v>ML</v>
      </c>
    </row>
    <row r="73" spans="1:5" s="658" customFormat="1" ht="19.899999999999999" customHeight="1">
      <c r="A73" s="465"/>
      <c r="B73" s="674" t="str" cm="1">
        <f t="array" ref="B73:B81">TRANSPOSE('6. Water Treatment'!E8:M8)</f>
        <v>Water pH 5.5 Adjustment</v>
      </c>
      <c r="C73" s="1309"/>
      <c r="D73" s="663" cm="1">
        <f t="array" ref="D73:D81">TRANSPOSE('6. Water Treatment'!E32:M32)</f>
        <v>0</v>
      </c>
      <c r="E73" s="663" t="str" cm="1">
        <f t="array" ref="E73:E81">TRANSPOSE('6. Water Treatment'!E9:M9)</f>
        <v>ML</v>
      </c>
    </row>
    <row r="74" spans="1:5" s="658" customFormat="1" ht="19.899999999999999" customHeight="1">
      <c r="A74" s="465"/>
      <c r="B74" s="674" t="str">
        <v>Water pH 4.5 Adjustment</v>
      </c>
      <c r="C74" s="1309"/>
      <c r="D74" s="663">
        <v>0</v>
      </c>
      <c r="E74" s="664" t="str">
        <v>ML</v>
      </c>
    </row>
    <row r="75" spans="1:5" s="658" customFormat="1" ht="19.899999999999999" customHeight="1">
      <c r="A75" s="465"/>
      <c r="B75" s="674" t="str">
        <v>Water Salt Removal</v>
      </c>
      <c r="C75" s="1309"/>
      <c r="D75" s="663">
        <v>0</v>
      </c>
      <c r="E75" s="664" t="str">
        <v>ML</v>
      </c>
    </row>
    <row r="76" spans="1:5" s="658" customFormat="1" ht="19.899999999999999" customHeight="1">
      <c r="A76" s="465"/>
      <c r="B76" s="674" t="str">
        <v>Water Organics Removal</v>
      </c>
      <c r="C76" s="1309"/>
      <c r="D76" s="663">
        <v>0</v>
      </c>
      <c r="E76" s="664" t="str">
        <v>ML</v>
      </c>
    </row>
    <row r="77" spans="1:5" s="658" customFormat="1" ht="19.899999999999999" customHeight="1">
      <c r="A77" s="465"/>
      <c r="B77" s="674" t="str">
        <v>Naturally Evaporate Water in Pond</v>
      </c>
      <c r="C77" s="1309"/>
      <c r="D77" s="663">
        <v>0</v>
      </c>
      <c r="E77" s="664" t="str">
        <v>Dam</v>
      </c>
    </row>
    <row r="78" spans="1:5" s="658" customFormat="1" ht="19.899999999999999" customHeight="1">
      <c r="A78" s="465"/>
      <c r="B78" s="674" t="str">
        <v>Evaporate Water with Evaporators</v>
      </c>
      <c r="C78" s="1309"/>
      <c r="D78" s="663">
        <v>0</v>
      </c>
      <c r="E78" s="664" t="str">
        <v>Dam</v>
      </c>
    </row>
    <row r="79" spans="1:5" s="658" customFormat="1" ht="19.899999999999999" customHeight="1">
      <c r="A79" s="465"/>
      <c r="B79" s="674" t="str">
        <v>Mobilisation of Reverse Osmosis Unit</v>
      </c>
      <c r="C79" s="1309"/>
      <c r="D79" s="663">
        <v>0</v>
      </c>
      <c r="E79" s="664" t="str">
        <v>lump</v>
      </c>
    </row>
    <row r="80" spans="1:5" s="658" customFormat="1" ht="19.899999999999999" customHeight="1">
      <c r="A80" s="465"/>
      <c r="B80" s="674" t="str">
        <v>Salt disposal - load and transport</v>
      </c>
      <c r="C80" s="1309"/>
      <c r="D80" s="663">
        <v>0</v>
      </c>
      <c r="E80" s="664" t="str">
        <v>tonne</v>
      </c>
    </row>
    <row r="81" spans="1:5" s="658" customFormat="1" ht="19.899999999999999" customHeight="1">
      <c r="A81" s="465"/>
      <c r="B81" s="674" t="str">
        <v>Salt disposal - gate fee</v>
      </c>
      <c r="C81" s="1309"/>
      <c r="D81" s="663">
        <v>0</v>
      </c>
      <c r="E81" s="664" t="str">
        <v>tonne</v>
      </c>
    </row>
    <row r="82" spans="1:5" s="658" customFormat="1" ht="19.899999999999999" customHeight="1">
      <c r="A82" s="465"/>
      <c r="B82" s="674" t="str">
        <f>'6. Water Treatment'!E39</f>
        <v>Remove downwell dewater pumps</v>
      </c>
      <c r="C82" s="1309"/>
      <c r="D82" s="663">
        <f>'6. Water Treatment'!E53</f>
        <v>0</v>
      </c>
      <c r="E82" s="664" t="s">
        <v>1493</v>
      </c>
    </row>
    <row r="83" spans="1:5" s="658" customFormat="1" ht="19.899999999999999" customHeight="1">
      <c r="A83" s="465"/>
      <c r="B83" s="1305" t="s">
        <v>2570</v>
      </c>
      <c r="C83" s="1306"/>
      <c r="D83" s="1307"/>
      <c r="E83" s="1308"/>
    </row>
    <row r="84" spans="1:5" s="658" customFormat="1" ht="19.899999999999999" customHeight="1">
      <c r="A84" s="465"/>
      <c r="B84" s="674" t="s">
        <v>2571</v>
      </c>
      <c r="C84" s="1309"/>
      <c r="D84" s="676">
        <f>'7. Overburden Dumps Piles'!E40</f>
        <v>0</v>
      </c>
      <c r="E84" s="664" t="s">
        <v>95</v>
      </c>
    </row>
    <row r="85" spans="1:5" s="658" customFormat="1" ht="19.899999999999999" customHeight="1">
      <c r="A85" s="465"/>
      <c r="B85" s="674" t="s">
        <v>2572</v>
      </c>
      <c r="C85" s="1309"/>
      <c r="D85" s="677"/>
      <c r="E85" s="664"/>
    </row>
    <row r="86" spans="1:5" s="658" customFormat="1" ht="19.899999999999999" customHeight="1">
      <c r="A86" s="465"/>
      <c r="B86" s="1311" t="s">
        <v>2573</v>
      </c>
      <c r="C86" s="1309"/>
      <c r="D86" s="677">
        <f>'7. Overburden Dumps Piles'!E70</f>
        <v>0</v>
      </c>
      <c r="E86" s="664" t="s">
        <v>95</v>
      </c>
    </row>
    <row r="87" spans="1:5" s="658" customFormat="1" ht="19.899999999999999" customHeight="1">
      <c r="A87" s="465"/>
      <c r="B87" s="1311" t="s">
        <v>2574</v>
      </c>
      <c r="C87" s="1309"/>
      <c r="D87" s="677">
        <f>'7. Overburden Dumps Piles'!G70</f>
        <v>0</v>
      </c>
      <c r="E87" s="664" t="s">
        <v>95</v>
      </c>
    </row>
    <row r="88" spans="1:5" s="658" customFormat="1" ht="19.899999999999999" customHeight="1">
      <c r="A88" s="465"/>
      <c r="B88" s="1311" t="s">
        <v>2575</v>
      </c>
      <c r="C88" s="1309"/>
      <c r="D88" s="1312">
        <f>'7. Overburden Dumps Piles'!N70</f>
        <v>0</v>
      </c>
      <c r="E88" s="664" t="s">
        <v>15</v>
      </c>
    </row>
    <row r="89" spans="1:5" s="658" customFormat="1" ht="19.899999999999999" customHeight="1">
      <c r="A89" s="465"/>
      <c r="B89" s="1311" t="s">
        <v>2576</v>
      </c>
      <c r="C89" s="1309"/>
      <c r="D89" s="677">
        <f>'7. Overburden Dumps Piles'!I70</f>
        <v>0</v>
      </c>
      <c r="E89" s="664" t="s">
        <v>95</v>
      </c>
    </row>
    <row r="90" spans="1:5" s="658" customFormat="1" ht="19.899999999999999" customHeight="1">
      <c r="A90" s="465"/>
      <c r="B90" s="1311" t="s">
        <v>2577</v>
      </c>
      <c r="C90" s="1309"/>
      <c r="D90" s="1312">
        <f>'7. Overburden Dumps Piles'!P70</f>
        <v>0</v>
      </c>
      <c r="E90" s="664" t="s">
        <v>15</v>
      </c>
    </row>
    <row r="91" spans="1:5" s="658" customFormat="1" ht="19.899999999999999" customHeight="1">
      <c r="A91" s="465"/>
      <c r="B91" s="1311" t="s">
        <v>2578</v>
      </c>
      <c r="C91" s="1309"/>
      <c r="D91" s="677">
        <f>'7. Overburden Dumps Piles'!K70</f>
        <v>0</v>
      </c>
      <c r="E91" s="664" t="s">
        <v>95</v>
      </c>
    </row>
    <row r="92" spans="1:5" s="658" customFormat="1" ht="19.899999999999999" customHeight="1">
      <c r="A92" s="465"/>
      <c r="B92" s="1311" t="s">
        <v>2579</v>
      </c>
      <c r="C92" s="1309"/>
      <c r="D92" s="1313">
        <f>'7. Overburden Dumps Piles'!AA70</f>
        <v>0</v>
      </c>
      <c r="E92" s="664" t="s">
        <v>15</v>
      </c>
    </row>
    <row r="93" spans="1:5" s="658" customFormat="1" ht="19.899999999999999" customHeight="1">
      <c r="A93" s="465"/>
      <c r="B93" s="1311" t="s">
        <v>2580</v>
      </c>
      <c r="C93" s="1309"/>
      <c r="D93" s="702">
        <f>'7. Overburden Dumps Piles'!AF70</f>
        <v>0</v>
      </c>
      <c r="E93" s="703" t="s">
        <v>95</v>
      </c>
    </row>
    <row r="94" spans="1:5" s="658" customFormat="1" ht="19.899999999999999" customHeight="1">
      <c r="A94" s="465"/>
      <c r="B94" s="1311" t="s">
        <v>2581</v>
      </c>
      <c r="C94" s="1309"/>
      <c r="D94" s="1314">
        <f>'7. Overburden Dumps Piles'!AK70</f>
        <v>0</v>
      </c>
      <c r="E94" s="703" t="s">
        <v>15</v>
      </c>
    </row>
    <row r="95" spans="1:5" s="658" customFormat="1" ht="19.899999999999999" customHeight="1">
      <c r="A95" s="465"/>
      <c r="B95" s="1311" t="s">
        <v>2582</v>
      </c>
      <c r="C95" s="1309"/>
      <c r="D95" s="677">
        <f>'7. Overburden Dumps Piles'!AW70</f>
        <v>0</v>
      </c>
      <c r="E95" s="664" t="s">
        <v>95</v>
      </c>
    </row>
    <row r="96" spans="1:5" s="658" customFormat="1" ht="19.899999999999999" customHeight="1">
      <c r="A96" s="465"/>
      <c r="B96" s="1311" t="s">
        <v>2583</v>
      </c>
      <c r="C96" s="1309"/>
      <c r="D96" s="1313">
        <f>'7. Overburden Dumps Piles'!BB70</f>
        <v>0</v>
      </c>
      <c r="E96" s="664" t="s">
        <v>15</v>
      </c>
    </row>
    <row r="97" spans="1:5" s="658" customFormat="1" ht="19.899999999999999" customHeight="1">
      <c r="A97" s="465"/>
      <c r="B97" s="1311" t="s">
        <v>2584</v>
      </c>
      <c r="C97" s="1309"/>
      <c r="D97" s="677">
        <f>'7. Overburden Dumps Piles'!BL70</f>
        <v>0</v>
      </c>
      <c r="E97" s="664" t="s">
        <v>95</v>
      </c>
    </row>
    <row r="98" spans="1:5" s="658" customFormat="1" ht="19.899999999999999" customHeight="1">
      <c r="A98" s="465"/>
      <c r="B98" s="1311" t="s">
        <v>2585</v>
      </c>
      <c r="C98" s="1309"/>
      <c r="D98" s="1313">
        <f>'7. Overburden Dumps Piles'!BQ70</f>
        <v>0</v>
      </c>
      <c r="E98" s="664" t="s">
        <v>15</v>
      </c>
    </row>
    <row r="99" spans="1:5" s="658" customFormat="1" ht="19.899999999999999" customHeight="1">
      <c r="A99" s="465"/>
      <c r="B99" s="1311" t="s">
        <v>2586</v>
      </c>
      <c r="C99" s="1309"/>
      <c r="D99" s="677">
        <f>'7. Overburden Dumps Piles'!CA70</f>
        <v>0</v>
      </c>
      <c r="E99" s="664" t="s">
        <v>36</v>
      </c>
    </row>
    <row r="100" spans="1:5" s="658" customFormat="1" ht="19.899999999999999" customHeight="1">
      <c r="A100" s="465"/>
      <c r="B100" s="1311" t="s">
        <v>2587</v>
      </c>
      <c r="C100" s="1309"/>
      <c r="D100" s="677">
        <f>'7. Overburden Dumps Piles'!CC70</f>
        <v>0</v>
      </c>
      <c r="E100" s="664" t="s">
        <v>36</v>
      </c>
    </row>
    <row r="101" spans="1:5" s="658" customFormat="1" ht="19.899999999999999" customHeight="1">
      <c r="A101" s="465"/>
      <c r="B101" s="1311" t="s">
        <v>2588</v>
      </c>
      <c r="C101" s="1309"/>
      <c r="D101" s="677">
        <f>'7. Overburden Dumps Piles'!CE70</f>
        <v>0</v>
      </c>
      <c r="E101" s="664" t="s">
        <v>36</v>
      </c>
    </row>
    <row r="102" spans="1:5" s="658" customFormat="1" ht="19.899999999999999" customHeight="1">
      <c r="A102" s="465"/>
      <c r="B102" s="1311" t="s">
        <v>2589</v>
      </c>
      <c r="C102" s="1309"/>
      <c r="D102" s="1313">
        <f>'7. Overburden Dumps Piles'!CP70</f>
        <v>0</v>
      </c>
      <c r="E102" s="664" t="s">
        <v>15</v>
      </c>
    </row>
    <row r="103" spans="1:5" s="658" customFormat="1" ht="19.899999999999999" customHeight="1">
      <c r="A103" s="465"/>
      <c r="B103" s="1311" t="s">
        <v>2590</v>
      </c>
      <c r="C103" s="1309"/>
      <c r="D103" s="677">
        <f>'7. Overburden Dumps Piles'!DR70</f>
        <v>0</v>
      </c>
      <c r="E103" s="664" t="s">
        <v>95</v>
      </c>
    </row>
    <row r="104" spans="1:5" s="658" customFormat="1" ht="19.899999999999999" customHeight="1">
      <c r="A104" s="465"/>
      <c r="B104" s="1311" t="s">
        <v>2591</v>
      </c>
      <c r="C104" s="1309"/>
      <c r="D104" s="677">
        <f>'7. Overburden Dumps Piles'!DB70</f>
        <v>0</v>
      </c>
      <c r="E104" s="664" t="s">
        <v>95</v>
      </c>
    </row>
    <row r="105" spans="1:5" s="658" customFormat="1" ht="19.899999999999999" customHeight="1">
      <c r="A105" s="465"/>
      <c r="B105" s="674" t="str">
        <f>'7. Overburden Dumps Piles'!C78</f>
        <v>Overburden Dumps and Spoil Piles (User Defined)</v>
      </c>
      <c r="C105" s="1309"/>
      <c r="D105" s="677"/>
      <c r="E105" s="664"/>
    </row>
    <row r="106" spans="1:5" s="658" customFormat="1" ht="19.899999999999999" customHeight="1">
      <c r="A106" s="465"/>
      <c r="B106" s="1311" t="s">
        <v>2592</v>
      </c>
      <c r="C106" s="1309"/>
      <c r="D106" s="676">
        <f>'7. Overburden Dumps Piles'!E99</f>
        <v>0</v>
      </c>
      <c r="E106" s="664" t="s">
        <v>95</v>
      </c>
    </row>
    <row r="107" spans="1:5" s="658" customFormat="1" ht="19.899999999999999" customHeight="1">
      <c r="A107" s="465"/>
      <c r="B107" s="1311" t="s">
        <v>2593</v>
      </c>
      <c r="C107" s="1309"/>
      <c r="D107" s="676">
        <f>'7. Overburden Dumps Piles'!F99</f>
        <v>0</v>
      </c>
      <c r="E107" s="664" t="s">
        <v>95</v>
      </c>
    </row>
    <row r="108" spans="1:5" s="658" customFormat="1" ht="19.899999999999999" customHeight="1">
      <c r="A108" s="465"/>
      <c r="B108" s="1311" t="s">
        <v>2594</v>
      </c>
      <c r="C108" s="1309"/>
      <c r="D108" s="1313">
        <f>'7. Overburden Dumps Piles'!O99</f>
        <v>0</v>
      </c>
      <c r="E108" s="664" t="s">
        <v>15</v>
      </c>
    </row>
    <row r="109" spans="1:5" s="658" customFormat="1" ht="19.899999999999999" customHeight="1">
      <c r="A109" s="465"/>
      <c r="B109" s="1311" t="s">
        <v>2595</v>
      </c>
      <c r="C109" s="1309"/>
      <c r="D109" s="663">
        <f>'7. Overburden Dumps Piles'!H99</f>
        <v>0</v>
      </c>
      <c r="E109" s="664" t="s">
        <v>95</v>
      </c>
    </row>
    <row r="110" spans="1:5" s="658" customFormat="1" ht="19.899999999999999" customHeight="1">
      <c r="A110" s="465"/>
      <c r="B110" s="1311" t="s">
        <v>2596</v>
      </c>
      <c r="C110" s="1309"/>
      <c r="D110" s="1313">
        <f>'7. Overburden Dumps Piles'!O99</f>
        <v>0</v>
      </c>
      <c r="E110" s="664" t="s">
        <v>15</v>
      </c>
    </row>
    <row r="111" spans="1:5" s="658" customFormat="1" ht="19.899999999999999" customHeight="1">
      <c r="A111" s="465"/>
      <c r="B111" s="1311" t="s">
        <v>2597</v>
      </c>
      <c r="C111" s="1309"/>
      <c r="D111" s="676">
        <f>'7. Overburden Dumps Piles'!J99</f>
        <v>0</v>
      </c>
      <c r="E111" s="664" t="s">
        <v>95</v>
      </c>
    </row>
    <row r="112" spans="1:5" s="658" customFormat="1" ht="19.899999999999999" customHeight="1">
      <c r="A112" s="465"/>
      <c r="B112" s="1311" t="s">
        <v>2598</v>
      </c>
      <c r="C112" s="1309"/>
      <c r="D112" s="1313">
        <f>'7. Overburden Dumps Piles'!X99</f>
        <v>0</v>
      </c>
      <c r="E112" s="664" t="s">
        <v>15</v>
      </c>
    </row>
    <row r="113" spans="1:5" s="658" customFormat="1" ht="19.899999999999999" customHeight="1">
      <c r="A113" s="465"/>
      <c r="B113" s="1311" t="s">
        <v>2599</v>
      </c>
      <c r="C113" s="1309"/>
      <c r="D113" s="1313">
        <f>'7. Overburden Dumps Piles'!X99</f>
        <v>0</v>
      </c>
      <c r="E113" s="664" t="s">
        <v>15</v>
      </c>
    </row>
    <row r="114" spans="1:5" s="658" customFormat="1" ht="19.899999999999999" customHeight="1">
      <c r="A114" s="465"/>
      <c r="B114" s="1311" t="s">
        <v>2600</v>
      </c>
      <c r="C114" s="1309"/>
      <c r="D114" s="1313">
        <f>'7. Overburden Dumps Piles'!AG99</f>
        <v>0</v>
      </c>
      <c r="E114" s="664" t="s">
        <v>15</v>
      </c>
    </row>
    <row r="115" spans="1:5" s="658" customFormat="1" ht="19.899999999999999" customHeight="1">
      <c r="A115" s="465"/>
      <c r="B115" s="1311" t="s">
        <v>2601</v>
      </c>
      <c r="C115" s="1309"/>
      <c r="D115" s="676">
        <f>'7. Overburden Dumps Piles'!AQ99</f>
        <v>0</v>
      </c>
      <c r="E115" s="664" t="s">
        <v>36</v>
      </c>
    </row>
    <row r="116" spans="1:5" s="658" customFormat="1" ht="19.899999999999999" customHeight="1">
      <c r="A116" s="465"/>
      <c r="B116" s="1311" t="s">
        <v>2602</v>
      </c>
      <c r="C116" s="1309"/>
      <c r="D116" s="676">
        <f>'7. Overburden Dumps Piles'!AS99</f>
        <v>0</v>
      </c>
      <c r="E116" s="664" t="s">
        <v>36</v>
      </c>
    </row>
    <row r="117" spans="1:5" s="658" customFormat="1" ht="19.899999999999999" customHeight="1">
      <c r="A117" s="465"/>
      <c r="B117" s="1311" t="s">
        <v>2603</v>
      </c>
      <c r="C117" s="1309"/>
      <c r="D117" s="676">
        <f>'7. Overburden Dumps Piles'!AU99</f>
        <v>0</v>
      </c>
      <c r="E117" s="664" t="s">
        <v>36</v>
      </c>
    </row>
    <row r="118" spans="1:5" s="658" customFormat="1" ht="19.899999999999999" customHeight="1">
      <c r="A118" s="465"/>
      <c r="B118" s="1311" t="s">
        <v>2604</v>
      </c>
      <c r="C118" s="1309"/>
      <c r="D118" s="1313">
        <f>'7. Overburden Dumps Piles'!BE99</f>
        <v>0</v>
      </c>
      <c r="E118" s="664" t="s">
        <v>15</v>
      </c>
    </row>
    <row r="119" spans="1:5" s="658" customFormat="1" ht="19.899999999999999" customHeight="1">
      <c r="A119" s="465"/>
      <c r="B119" s="1311" t="s">
        <v>2605</v>
      </c>
      <c r="C119" s="1309"/>
      <c r="D119" s="677">
        <f>'7. Overburden Dumps Piles'!CG99</f>
        <v>0</v>
      </c>
      <c r="E119" s="664" t="s">
        <v>95</v>
      </c>
    </row>
    <row r="120" spans="1:5" s="658" customFormat="1" ht="19.899999999999999" customHeight="1">
      <c r="A120" s="465"/>
      <c r="B120" s="1311" t="s">
        <v>2606</v>
      </c>
      <c r="C120" s="1309"/>
      <c r="D120" s="676">
        <f>'7. Overburden Dumps Piles'!BQ99</f>
        <v>0</v>
      </c>
      <c r="E120" s="664" t="s">
        <v>95</v>
      </c>
    </row>
    <row r="121" spans="1:5" s="658" customFormat="1" ht="19.899999999999999" customHeight="1">
      <c r="A121" s="465"/>
      <c r="B121" s="674" t="str">
        <f>'7. Overburden Dumps Piles'!C107</f>
        <v>Growth Media Stockpiles</v>
      </c>
      <c r="C121" s="1309"/>
      <c r="D121" s="677"/>
      <c r="E121" s="664"/>
    </row>
    <row r="122" spans="1:5" s="658" customFormat="1" ht="19.899999999999999" customHeight="1">
      <c r="A122" s="465"/>
      <c r="B122" s="1311" t="s">
        <v>2607</v>
      </c>
      <c r="C122" s="1315"/>
      <c r="D122" s="676">
        <f>'7. Overburden Dumps Piles'!E121</f>
        <v>0</v>
      </c>
      <c r="E122" s="664" t="s">
        <v>95</v>
      </c>
    </row>
    <row r="123" spans="1:5" s="658" customFormat="1" ht="19.899999999999999" customHeight="1">
      <c r="A123" s="465"/>
      <c r="B123" s="1311" t="s">
        <v>2608</v>
      </c>
      <c r="C123" s="1315"/>
      <c r="D123" s="1313">
        <f>'7. Overburden Dumps Piles'!H121</f>
        <v>0</v>
      </c>
      <c r="E123" s="664" t="s">
        <v>15</v>
      </c>
    </row>
    <row r="124" spans="1:5" s="658" customFormat="1" ht="19.899999999999999" customHeight="1">
      <c r="A124" s="465"/>
      <c r="B124" s="1311" t="s">
        <v>2609</v>
      </c>
      <c r="C124" s="1315"/>
      <c r="D124" s="1313">
        <f>'7. Overburden Dumps Piles'!O121</f>
        <v>0</v>
      </c>
      <c r="E124" s="664" t="s">
        <v>15</v>
      </c>
    </row>
    <row r="125" spans="1:5" s="658" customFormat="1" ht="19.899999999999999" customHeight="1">
      <c r="A125" s="465"/>
      <c r="B125" s="1311" t="s">
        <v>2610</v>
      </c>
      <c r="C125" s="1315"/>
      <c r="D125" s="677">
        <f>'7. Overburden Dumps Piles'!AP121</f>
        <v>0</v>
      </c>
      <c r="E125" s="664" t="s">
        <v>95</v>
      </c>
    </row>
    <row r="126" spans="1:5" s="658" customFormat="1" ht="19.899999999999999" customHeight="1">
      <c r="A126" s="465"/>
      <c r="B126" s="1311" t="s">
        <v>2611</v>
      </c>
      <c r="C126" s="1315"/>
      <c r="D126" s="676">
        <f>'7. Overburden Dumps Piles'!Z121</f>
        <v>0</v>
      </c>
      <c r="E126" s="664" t="s">
        <v>95</v>
      </c>
    </row>
    <row r="127" spans="1:5" s="658" customFormat="1" ht="19.899999999999999" customHeight="1">
      <c r="A127" s="465"/>
      <c r="B127" s="674" t="str">
        <f>'8. Heap Leach Pads'!C16</f>
        <v>Heap Leach Pads (Defaults)</v>
      </c>
      <c r="C127" s="1315"/>
      <c r="D127" s="676">
        <f>'8. Heap Leach Pads'!E40</f>
        <v>0</v>
      </c>
      <c r="E127" s="664" t="s">
        <v>95</v>
      </c>
    </row>
    <row r="128" spans="1:5" s="658" customFormat="1" ht="19.899999999999999" customHeight="1">
      <c r="A128" s="465"/>
      <c r="B128" s="674" t="str">
        <f>'8. Heap Leach Pads'!C49</f>
        <v>Heap Leach Pad (User)</v>
      </c>
      <c r="C128" s="1309"/>
      <c r="D128" s="677"/>
      <c r="E128" s="664"/>
    </row>
    <row r="129" spans="1:5" s="658" customFormat="1" ht="19.899999999999999" customHeight="1">
      <c r="A129" s="465"/>
      <c r="B129" s="1311" t="s">
        <v>2612</v>
      </c>
      <c r="C129" s="1315"/>
      <c r="D129" s="676">
        <f>'8. Heap Leach Pads'!E70</f>
        <v>0</v>
      </c>
      <c r="E129" s="664" t="s">
        <v>95</v>
      </c>
    </row>
    <row r="130" spans="1:5" s="658" customFormat="1" ht="19.899999999999999" customHeight="1">
      <c r="A130" s="465"/>
      <c r="B130" s="1311" t="s">
        <v>2613</v>
      </c>
      <c r="C130" s="1315"/>
      <c r="D130" s="676">
        <f>'8. Heap Leach Pads'!G70</f>
        <v>0</v>
      </c>
      <c r="E130" s="664" t="s">
        <v>95</v>
      </c>
    </row>
    <row r="131" spans="1:5" s="658" customFormat="1" ht="19.899999999999999" customHeight="1">
      <c r="A131" s="465"/>
      <c r="B131" s="1311" t="s">
        <v>2614</v>
      </c>
      <c r="C131" s="1315"/>
      <c r="D131" s="676">
        <f>'8. Heap Leach Pads'!M70</f>
        <v>0</v>
      </c>
      <c r="E131" s="664" t="s">
        <v>15</v>
      </c>
    </row>
    <row r="132" spans="1:5" s="658" customFormat="1" ht="19.899999999999999" customHeight="1">
      <c r="A132" s="465"/>
      <c r="B132" s="1311" t="s">
        <v>2615</v>
      </c>
      <c r="C132" s="1315"/>
      <c r="D132" s="676">
        <f>'8. Heap Leach Pads'!I70</f>
        <v>0</v>
      </c>
      <c r="E132" s="664" t="s">
        <v>95</v>
      </c>
    </row>
    <row r="133" spans="1:5" s="658" customFormat="1" ht="19.899999999999999" customHeight="1">
      <c r="A133" s="465"/>
      <c r="B133" s="1311" t="s">
        <v>2616</v>
      </c>
      <c r="C133" s="1315"/>
      <c r="D133" s="1313">
        <f>'8. Heap Leach Pads'!P70</f>
        <v>0</v>
      </c>
      <c r="E133" s="664" t="s">
        <v>15</v>
      </c>
    </row>
    <row r="134" spans="1:5" s="658" customFormat="1" ht="19.899999999999999" customHeight="1">
      <c r="A134" s="465"/>
      <c r="B134" s="1311" t="s">
        <v>2617</v>
      </c>
      <c r="C134" s="1315"/>
      <c r="D134" s="676">
        <f>'8. Heap Leach Pads'!K70</f>
        <v>0</v>
      </c>
      <c r="E134" s="664" t="s">
        <v>95</v>
      </c>
    </row>
    <row r="135" spans="1:5" s="658" customFormat="1" ht="19.899999999999999" customHeight="1">
      <c r="A135" s="465"/>
      <c r="B135" s="1311" t="s">
        <v>2618</v>
      </c>
      <c r="C135" s="1315"/>
      <c r="D135" s="1313">
        <f>'8. Heap Leach Pads'!AA70</f>
        <v>0</v>
      </c>
      <c r="E135" s="664" t="s">
        <v>15</v>
      </c>
    </row>
    <row r="136" spans="1:5" s="658" customFormat="1" ht="19.899999999999999" customHeight="1">
      <c r="A136" s="465"/>
      <c r="B136" s="1311" t="s">
        <v>2619</v>
      </c>
      <c r="C136" s="1315"/>
      <c r="D136" s="676">
        <f>'8. Heap Leach Pads'!AF70</f>
        <v>0</v>
      </c>
      <c r="E136" s="664" t="s">
        <v>95</v>
      </c>
    </row>
    <row r="137" spans="1:5" s="658" customFormat="1" ht="19.899999999999999" customHeight="1">
      <c r="A137" s="465"/>
      <c r="B137" s="1311" t="s">
        <v>2620</v>
      </c>
      <c r="C137" s="1315"/>
      <c r="D137" s="1313">
        <f>'8. Heap Leach Pads'!AK70</f>
        <v>0</v>
      </c>
      <c r="E137" s="664" t="s">
        <v>15</v>
      </c>
    </row>
    <row r="138" spans="1:5" s="658" customFormat="1" ht="19.899999999999999" customHeight="1">
      <c r="A138" s="465"/>
      <c r="B138" s="1311" t="s">
        <v>2621</v>
      </c>
      <c r="C138" s="1315"/>
      <c r="D138" s="676">
        <f>'8. Heap Leach Pads'!AW70</f>
        <v>0</v>
      </c>
      <c r="E138" s="664" t="s">
        <v>95</v>
      </c>
    </row>
    <row r="139" spans="1:5" s="658" customFormat="1" ht="19.899999999999999" customHeight="1">
      <c r="A139" s="465"/>
      <c r="B139" s="1311" t="s">
        <v>2622</v>
      </c>
      <c r="C139" s="1315"/>
      <c r="D139" s="1313">
        <f>'8. Heap Leach Pads'!BB70</f>
        <v>0</v>
      </c>
      <c r="E139" s="664" t="s">
        <v>15</v>
      </c>
    </row>
    <row r="140" spans="1:5" s="658" customFormat="1" ht="19.899999999999999" customHeight="1">
      <c r="A140" s="465"/>
      <c r="B140" s="1311" t="s">
        <v>2623</v>
      </c>
      <c r="C140" s="1315"/>
      <c r="D140" s="676">
        <f>'8. Heap Leach Pads'!BL70</f>
        <v>0</v>
      </c>
      <c r="E140" s="664" t="s">
        <v>95</v>
      </c>
    </row>
    <row r="141" spans="1:5" s="658" customFormat="1" ht="19.899999999999999" customHeight="1">
      <c r="A141" s="465"/>
      <c r="B141" s="1311" t="s">
        <v>2624</v>
      </c>
      <c r="C141" s="1315"/>
      <c r="D141" s="1313">
        <f>'8. Heap Leach Pads'!BQ70</f>
        <v>0</v>
      </c>
      <c r="E141" s="664" t="s">
        <v>15</v>
      </c>
    </row>
    <row r="142" spans="1:5" s="658" customFormat="1" ht="19.899999999999999" customHeight="1">
      <c r="A142" s="465"/>
      <c r="B142" s="1311" t="s">
        <v>2625</v>
      </c>
      <c r="C142" s="1315"/>
      <c r="D142" s="1313">
        <f>'8. Heap Leach Pads'!CA70</f>
        <v>0</v>
      </c>
      <c r="E142" s="664" t="s">
        <v>36</v>
      </c>
    </row>
    <row r="143" spans="1:5" s="658" customFormat="1" ht="19.899999999999999" customHeight="1">
      <c r="A143" s="465"/>
      <c r="B143" s="1311" t="s">
        <v>2626</v>
      </c>
      <c r="C143" s="1315"/>
      <c r="D143" s="1313">
        <f>'8. Heap Leach Pads'!CC70</f>
        <v>0</v>
      </c>
      <c r="E143" s="664" t="s">
        <v>36</v>
      </c>
    </row>
    <row r="144" spans="1:5" s="658" customFormat="1" ht="19.899999999999999" customHeight="1">
      <c r="A144" s="465"/>
      <c r="B144" s="1311" t="s">
        <v>2627</v>
      </c>
      <c r="C144" s="1315"/>
      <c r="D144" s="1313">
        <f>'8. Heap Leach Pads'!CE70</f>
        <v>0</v>
      </c>
      <c r="E144" s="664" t="s">
        <v>36</v>
      </c>
    </row>
    <row r="145" spans="1:5" s="658" customFormat="1" ht="19.899999999999999" customHeight="1">
      <c r="A145" s="465"/>
      <c r="B145" s="1311" t="s">
        <v>2628</v>
      </c>
      <c r="C145" s="1315"/>
      <c r="D145" s="1313">
        <f>'8. Heap Leach Pads'!CW70</f>
        <v>0</v>
      </c>
      <c r="E145" s="664" t="s">
        <v>15</v>
      </c>
    </row>
    <row r="146" spans="1:5" s="658" customFormat="1" ht="19.899999999999999" customHeight="1">
      <c r="A146" s="465"/>
      <c r="B146" s="1311" t="s">
        <v>2629</v>
      </c>
      <c r="C146" s="1315"/>
      <c r="D146" s="676">
        <f>'8. Heap Leach Pads'!DY70</f>
        <v>0</v>
      </c>
      <c r="E146" s="664" t="s">
        <v>95</v>
      </c>
    </row>
    <row r="147" spans="1:5" s="658" customFormat="1" ht="19.899999999999999" customHeight="1">
      <c r="A147" s="465"/>
      <c r="B147" s="1311" t="s">
        <v>2630</v>
      </c>
      <c r="C147" s="1315"/>
      <c r="D147" s="676">
        <f>'8. Heap Leach Pads'!DI70</f>
        <v>0</v>
      </c>
      <c r="E147" s="664" t="s">
        <v>95</v>
      </c>
    </row>
    <row r="148" spans="1:5" s="658" customFormat="1" ht="19.899999999999999" customHeight="1">
      <c r="A148" s="465"/>
      <c r="B148" s="674" t="str">
        <f>'9. Tailings Storage Facilities'!C17</f>
        <v>Tailings Storage Facilities (Defaults)</v>
      </c>
      <c r="C148" s="1315"/>
      <c r="D148" s="676">
        <f>'9. Tailings Storage Facilities'!E41</f>
        <v>0</v>
      </c>
      <c r="E148" s="664" t="s">
        <v>95</v>
      </c>
    </row>
    <row r="149" spans="1:5" s="658" customFormat="1" ht="19.899999999999999" customHeight="1">
      <c r="A149" s="465"/>
      <c r="B149" s="674" t="str">
        <f>'9. Tailings Storage Facilities'!C50</f>
        <v>Tailings Storage Facilities (User)</v>
      </c>
      <c r="C149" s="1309"/>
      <c r="D149" s="677"/>
      <c r="E149" s="664"/>
    </row>
    <row r="150" spans="1:5" s="658" customFormat="1" ht="19.899999999999999" customHeight="1">
      <c r="A150" s="465"/>
      <c r="B150" s="1311" t="s">
        <v>2631</v>
      </c>
      <c r="C150" s="1315"/>
      <c r="D150" s="676">
        <f>'9. Tailings Storage Facilities'!E71</f>
        <v>0</v>
      </c>
      <c r="E150" s="664" t="s">
        <v>95</v>
      </c>
    </row>
    <row r="151" spans="1:5" s="658" customFormat="1" ht="19.899999999999999" customHeight="1">
      <c r="A151" s="465"/>
      <c r="B151" s="1311" t="s">
        <v>2632</v>
      </c>
      <c r="C151" s="1315"/>
      <c r="D151" s="1313">
        <f>'9. Tailings Storage Facilities'!AJ71</f>
        <v>0</v>
      </c>
      <c r="E151" s="664" t="s">
        <v>15</v>
      </c>
    </row>
    <row r="152" spans="1:5" s="658" customFormat="1" ht="19.899999999999999" customHeight="1">
      <c r="A152" s="465"/>
      <c r="B152" s="1311" t="s">
        <v>2633</v>
      </c>
      <c r="C152" s="1315"/>
      <c r="D152" s="1313">
        <f>'9. Tailings Storage Facilities'!R71</f>
        <v>0</v>
      </c>
      <c r="E152" s="664" t="s">
        <v>15</v>
      </c>
    </row>
    <row r="153" spans="1:5" s="658" customFormat="1" ht="19.899999999999999" customHeight="1">
      <c r="A153" s="465"/>
      <c r="B153" s="1311" t="s">
        <v>2634</v>
      </c>
      <c r="C153" s="1315"/>
      <c r="D153" s="1313">
        <f>'9. Tailings Storage Facilities'!L71</f>
        <v>0</v>
      </c>
      <c r="E153" s="664" t="s">
        <v>15</v>
      </c>
    </row>
    <row r="154" spans="1:5" s="658" customFormat="1" ht="19.899999999999999" customHeight="1">
      <c r="A154" s="465"/>
      <c r="B154" s="1311" t="s">
        <v>2635</v>
      </c>
      <c r="C154" s="1315"/>
      <c r="D154" s="676">
        <f>'9. Tailings Storage Facilities'!AU71</f>
        <v>0</v>
      </c>
      <c r="E154" s="664" t="s">
        <v>95</v>
      </c>
    </row>
    <row r="155" spans="1:5" s="658" customFormat="1" ht="19.899999999999999" customHeight="1">
      <c r="A155" s="465"/>
      <c r="B155" s="1311" t="s">
        <v>2636</v>
      </c>
      <c r="C155" s="1315"/>
      <c r="D155" s="1313">
        <f>'9. Tailings Storage Facilities'!AZ71</f>
        <v>0</v>
      </c>
      <c r="E155" s="664" t="s">
        <v>15</v>
      </c>
    </row>
    <row r="156" spans="1:5" s="658" customFormat="1" ht="19.899999999999999" customHeight="1">
      <c r="A156" s="465"/>
      <c r="B156" s="1311" t="s">
        <v>2637</v>
      </c>
      <c r="C156" s="1315"/>
      <c r="D156" s="676">
        <f>'9. Tailings Storage Facilities'!BM71</f>
        <v>0</v>
      </c>
      <c r="E156" s="664" t="s">
        <v>95</v>
      </c>
    </row>
    <row r="157" spans="1:5" s="658" customFormat="1" ht="19.899999999999999" customHeight="1">
      <c r="A157" s="465"/>
      <c r="B157" s="1311" t="s">
        <v>2638</v>
      </c>
      <c r="C157" s="1315"/>
      <c r="D157" s="1313">
        <f>'9. Tailings Storage Facilities'!BR71</f>
        <v>0</v>
      </c>
      <c r="E157" s="664" t="s">
        <v>15</v>
      </c>
    </row>
    <row r="158" spans="1:5" s="658" customFormat="1" ht="19.899999999999999" customHeight="1">
      <c r="A158" s="465"/>
      <c r="B158" s="1311" t="s">
        <v>2639</v>
      </c>
      <c r="C158" s="1315"/>
      <c r="D158" s="676">
        <f>'9. Tailings Storage Facilities'!CB71</f>
        <v>0</v>
      </c>
      <c r="E158" s="664" t="s">
        <v>95</v>
      </c>
    </row>
    <row r="159" spans="1:5" s="658" customFormat="1" ht="19.899999999999999" customHeight="1">
      <c r="A159" s="465"/>
      <c r="B159" s="1311" t="s">
        <v>2640</v>
      </c>
      <c r="C159" s="1315"/>
      <c r="D159" s="1313">
        <f>'9. Tailings Storage Facilities'!CG71</f>
        <v>0</v>
      </c>
      <c r="E159" s="664" t="s">
        <v>15</v>
      </c>
    </row>
    <row r="160" spans="1:5" s="658" customFormat="1" ht="19.899999999999999" customHeight="1">
      <c r="A160" s="465"/>
      <c r="B160" s="1311" t="s">
        <v>2641</v>
      </c>
      <c r="C160" s="1315"/>
      <c r="D160" s="1313">
        <f>'9. Tailings Storage Facilities'!CT71</f>
        <v>0</v>
      </c>
      <c r="E160" s="664" t="s">
        <v>36</v>
      </c>
    </row>
    <row r="161" spans="1:5" s="658" customFormat="1" ht="19.899999999999999" customHeight="1">
      <c r="A161" s="465"/>
      <c r="B161" s="1311" t="s">
        <v>2642</v>
      </c>
      <c r="C161" s="1315"/>
      <c r="D161" s="1313">
        <f>'9. Tailings Storage Facilities'!CV71</f>
        <v>0</v>
      </c>
      <c r="E161" s="664" t="s">
        <v>36</v>
      </c>
    </row>
    <row r="162" spans="1:5" s="658" customFormat="1" ht="19.899999999999999" customHeight="1">
      <c r="A162" s="465"/>
      <c r="B162" s="1311" t="s">
        <v>2643</v>
      </c>
      <c r="C162" s="1315"/>
      <c r="D162" s="1313">
        <f>'9. Tailings Storage Facilities'!CX71</f>
        <v>0</v>
      </c>
      <c r="E162" s="664" t="s">
        <v>36</v>
      </c>
    </row>
    <row r="163" spans="1:5" s="658" customFormat="1" ht="19.899999999999999" customHeight="1">
      <c r="A163" s="465"/>
      <c r="B163" s="1311" t="s">
        <v>2644</v>
      </c>
      <c r="C163" s="1315"/>
      <c r="D163" s="1313">
        <f>'9. Tailings Storage Facilities'!DI71</f>
        <v>0</v>
      </c>
      <c r="E163" s="664" t="s">
        <v>15</v>
      </c>
    </row>
    <row r="164" spans="1:5" s="658" customFormat="1" ht="19.899999999999999" customHeight="1">
      <c r="A164" s="465"/>
      <c r="B164" s="1311" t="s">
        <v>2645</v>
      </c>
      <c r="C164" s="1315"/>
      <c r="D164" s="676">
        <f>'9. Tailings Storage Facilities'!EL71</f>
        <v>0</v>
      </c>
      <c r="E164" s="664" t="s">
        <v>95</v>
      </c>
    </row>
    <row r="165" spans="1:5" s="658" customFormat="1" ht="19.899999999999999" customHeight="1">
      <c r="A165" s="465"/>
      <c r="B165" s="1311" t="s">
        <v>2646</v>
      </c>
      <c r="C165" s="1315"/>
      <c r="D165" s="676">
        <f>'9. Tailings Storage Facilities'!DV71</f>
        <v>0</v>
      </c>
      <c r="E165" s="664" t="s">
        <v>95</v>
      </c>
    </row>
    <row r="166" spans="1:5" s="658" customFormat="1" ht="19.899999999999999" customHeight="1">
      <c r="A166" s="465"/>
      <c r="B166" s="1305" t="s">
        <v>1225</v>
      </c>
      <c r="C166" s="1306"/>
      <c r="D166" s="1307"/>
      <c r="E166" s="1308"/>
    </row>
    <row r="167" spans="1:5" s="658" customFormat="1" ht="19.899999999999999" customHeight="1">
      <c r="A167" s="465"/>
      <c r="B167" s="674" t="s">
        <v>2647</v>
      </c>
      <c r="C167" s="1309"/>
      <c r="D167" s="1316">
        <f>'10. Pits'!E34</f>
        <v>0</v>
      </c>
      <c r="E167" s="664" t="s">
        <v>95</v>
      </c>
    </row>
    <row r="168" spans="1:5" s="658" customFormat="1" ht="19.899999999999999" customHeight="1">
      <c r="A168" s="465"/>
      <c r="B168" s="674" t="s">
        <v>2648</v>
      </c>
      <c r="C168" s="1309"/>
      <c r="D168" s="663">
        <f>'10. Pits'!F34</f>
        <v>0</v>
      </c>
      <c r="E168" s="664" t="s">
        <v>11</v>
      </c>
    </row>
    <row r="169" spans="1:5" s="658" customFormat="1" ht="19.899999999999999" customHeight="1">
      <c r="A169" s="465"/>
      <c r="B169" s="674" t="s">
        <v>2649</v>
      </c>
      <c r="C169" s="1309"/>
      <c r="D169" s="663">
        <f>'10. Pits'!I34</f>
        <v>0</v>
      </c>
      <c r="E169" s="664" t="s">
        <v>15</v>
      </c>
    </row>
    <row r="170" spans="1:5" s="658" customFormat="1" ht="19.899999999999999" customHeight="1">
      <c r="A170" s="465"/>
      <c r="B170" s="674" t="s">
        <v>2650</v>
      </c>
      <c r="C170" s="1309"/>
      <c r="D170" s="663">
        <f>'10. Pits'!J34</f>
        <v>0</v>
      </c>
      <c r="E170" s="664" t="s">
        <v>15</v>
      </c>
    </row>
    <row r="171" spans="1:5" s="658" customFormat="1" ht="19.899999999999999" customHeight="1">
      <c r="A171" s="465"/>
      <c r="B171" s="674" t="s">
        <v>2651</v>
      </c>
      <c r="C171" s="1309"/>
      <c r="D171" s="663">
        <f>'10. Pits'!L34</f>
        <v>0</v>
      </c>
      <c r="E171" s="664" t="s">
        <v>15</v>
      </c>
    </row>
    <row r="172" spans="1:5" s="658" customFormat="1" ht="19.899999999999999" customHeight="1">
      <c r="A172" s="465"/>
      <c r="B172" s="661" t="s">
        <v>2652</v>
      </c>
      <c r="C172" s="1317"/>
      <c r="D172" s="683">
        <f>'10. Pits'!M34</f>
        <v>0</v>
      </c>
      <c r="E172" s="664" t="s">
        <v>15</v>
      </c>
    </row>
    <row r="173" spans="1:5" s="658" customFormat="1" ht="19.899999999999999" customHeight="1">
      <c r="A173" s="465"/>
      <c r="B173" s="674" t="s">
        <v>2653</v>
      </c>
      <c r="C173" s="1309"/>
      <c r="D173" s="1318"/>
      <c r="E173" s="677"/>
    </row>
    <row r="174" spans="1:5" s="658" customFormat="1" ht="19.899999999999999" customHeight="1">
      <c r="A174" s="465"/>
      <c r="B174" s="1319" t="s">
        <v>2654</v>
      </c>
      <c r="C174" s="1320"/>
      <c r="D174" s="1321">
        <f>'10. Pits'!N34</f>
        <v>0</v>
      </c>
      <c r="E174" s="664" t="s">
        <v>15</v>
      </c>
    </row>
    <row r="175" spans="1:5" s="658" customFormat="1" ht="19.899999999999999" customHeight="1">
      <c r="A175" s="465"/>
      <c r="B175" s="1311" t="s">
        <v>2655</v>
      </c>
      <c r="C175" s="1309"/>
      <c r="D175" s="663">
        <f>'10. Pits'!O34</f>
        <v>0</v>
      </c>
      <c r="E175" s="664" t="s">
        <v>15</v>
      </c>
    </row>
    <row r="176" spans="1:5" s="658" customFormat="1" ht="19.899999999999999" customHeight="1">
      <c r="A176" s="465"/>
      <c r="B176" s="1305" t="s">
        <v>1244</v>
      </c>
      <c r="C176" s="1306"/>
      <c r="D176" s="1307"/>
      <c r="E176" s="1308"/>
    </row>
    <row r="177" spans="1:5" s="658" customFormat="1" ht="19.899999999999999" customHeight="1">
      <c r="A177" s="465"/>
      <c r="B177" s="674" t="s">
        <v>2318</v>
      </c>
      <c r="C177" s="1309"/>
      <c r="D177" s="663">
        <f>'11.Underground Mines'!N32</f>
        <v>0</v>
      </c>
      <c r="E177" s="664" t="s">
        <v>1494</v>
      </c>
    </row>
    <row r="178" spans="1:5" s="658" customFormat="1" ht="19.899999999999999" customHeight="1">
      <c r="A178" s="465"/>
      <c r="B178" s="674" t="s">
        <v>2310</v>
      </c>
      <c r="C178" s="1309"/>
      <c r="D178" s="663">
        <f>'11.Underground Mines'!F32</f>
        <v>0</v>
      </c>
      <c r="E178" s="664" t="s">
        <v>1494</v>
      </c>
    </row>
    <row r="179" spans="1:5" s="658" customFormat="1" ht="19.899999999999999" customHeight="1">
      <c r="A179" s="465"/>
      <c r="B179" s="674" t="s">
        <v>2313</v>
      </c>
      <c r="C179" s="1309"/>
      <c r="D179" s="663">
        <f>'11.Underground Mines'!I32</f>
        <v>0</v>
      </c>
      <c r="E179" s="664" t="s">
        <v>1494</v>
      </c>
    </row>
    <row r="180" spans="1:5" s="658" customFormat="1" ht="19.899999999999999" customHeight="1">
      <c r="A180" s="465"/>
      <c r="B180" s="674" t="s">
        <v>2656</v>
      </c>
      <c r="C180" s="1309"/>
      <c r="D180" s="663">
        <f>'11.Underground Mines'!O32</f>
        <v>0</v>
      </c>
      <c r="E180" s="664" t="s">
        <v>1494</v>
      </c>
    </row>
    <row r="181" spans="1:5" s="658" customFormat="1" ht="19.899999999999999" customHeight="1">
      <c r="A181" s="465"/>
      <c r="B181" s="674" t="s">
        <v>2657</v>
      </c>
      <c r="C181" s="1309"/>
      <c r="D181" s="663">
        <f>'11.Underground Mines'!L32</f>
        <v>0</v>
      </c>
      <c r="E181" s="664" t="s">
        <v>1494</v>
      </c>
    </row>
    <row r="182" spans="1:5" s="658" customFormat="1" ht="19.899999999999999" customHeight="1">
      <c r="A182" s="465"/>
      <c r="B182" s="674" t="s">
        <v>2317</v>
      </c>
      <c r="C182" s="1309"/>
      <c r="D182" s="663">
        <f>'11.Underground Mines'!M32</f>
        <v>0</v>
      </c>
      <c r="E182" s="664" t="s">
        <v>1494</v>
      </c>
    </row>
    <row r="183" spans="1:5" s="658" customFormat="1" ht="19.899999999999999" customHeight="1">
      <c r="A183" s="465"/>
      <c r="B183" s="674" t="s">
        <v>2658</v>
      </c>
      <c r="C183" s="1309"/>
      <c r="D183" s="663">
        <f>'11.Underground Mines'!P32</f>
        <v>0</v>
      </c>
      <c r="E183" s="664" t="s">
        <v>1494</v>
      </c>
    </row>
    <row r="184" spans="1:5" s="658" customFormat="1" ht="19.899999999999999" customHeight="1">
      <c r="A184" s="465"/>
      <c r="B184" s="1305" t="s">
        <v>1342</v>
      </c>
      <c r="C184" s="1306"/>
      <c r="D184" s="1307"/>
      <c r="E184" s="1308"/>
    </row>
    <row r="185" spans="1:5" s="658" customFormat="1" ht="19.899999999999999" customHeight="1">
      <c r="A185" s="465"/>
      <c r="B185" s="674" t="str">
        <f>'14. General Land Rehabilitation'!C9</f>
        <v>Land Rehabilitation and Repair of Subsidence and Land Management</v>
      </c>
      <c r="C185" s="1309"/>
      <c r="D185" s="677">
        <f>SUM('14. General Land Rehabilitation'!E23:M23)</f>
        <v>0</v>
      </c>
      <c r="E185" s="664" t="s">
        <v>1494</v>
      </c>
    </row>
    <row r="186" spans="1:5" s="658" customFormat="1" ht="19.899999999999999" customHeight="1">
      <c r="A186" s="465"/>
      <c r="B186" s="674" t="str">
        <f>'14. General Land Rehabilitation'!C29</f>
        <v>Natural Drainage and Diversions</v>
      </c>
      <c r="C186" s="1309"/>
      <c r="D186" s="677">
        <f>SUM('14. General Land Rehabilitation'!E43:L43)</f>
        <v>0</v>
      </c>
      <c r="E186" s="664" t="s">
        <v>1494</v>
      </c>
    </row>
    <row r="187" spans="1:5" s="658" customFormat="1" ht="19.899999999999999" customHeight="1">
      <c r="A187" s="465"/>
      <c r="B187" s="674" t="str">
        <f>'14. General Land Rehabilitation'!C69</f>
        <v>General Doze and Rip</v>
      </c>
      <c r="C187" s="1309"/>
      <c r="D187" s="677">
        <f>SUM('14. General Land Rehabilitation'!E83:P83)</f>
        <v>0</v>
      </c>
      <c r="E187" s="664" t="s">
        <v>95</v>
      </c>
    </row>
    <row r="188" spans="1:5" s="658" customFormat="1" ht="19.899999999999999" customHeight="1">
      <c r="A188" s="465"/>
      <c r="B188" s="674" t="str">
        <f>'14. General Land Rehabilitation'!C49</f>
        <v>General Grade and Rip</v>
      </c>
      <c r="C188" s="1309"/>
      <c r="D188" s="677">
        <f>SUM('14. General Land Rehabilitation'!E63:M63)</f>
        <v>0</v>
      </c>
      <c r="E188" s="664" t="s">
        <v>1495</v>
      </c>
    </row>
    <row r="189" spans="1:5" s="658" customFormat="1" ht="19.899999999999999" customHeight="1">
      <c r="A189" s="465"/>
      <c r="B189" s="674" t="str">
        <f>'14. General Land Rehabilitation'!C90</f>
        <v>Miscellaneous Soil Amelioration and Seeding</v>
      </c>
      <c r="C189" s="1309"/>
      <c r="D189" s="677">
        <f>SUM('14. General Land Rehabilitation'!E104:Q104)</f>
        <v>0</v>
      </c>
      <c r="E189" s="664" t="s">
        <v>1495</v>
      </c>
    </row>
    <row r="190" spans="1:5" s="658" customFormat="1" ht="19.899999999999999" customHeight="1">
      <c r="A190" s="465"/>
      <c r="B190" s="674" t="str">
        <f>'14. General Land Rehabilitation'!C110</f>
        <v>Bores</v>
      </c>
      <c r="C190" s="1309"/>
      <c r="D190" s="677">
        <f>SUM('14. General Land Rehabilitation'!E124:M124)</f>
        <v>0</v>
      </c>
      <c r="E190" s="664" t="s">
        <v>1496</v>
      </c>
    </row>
    <row r="191" spans="1:5" s="658" customFormat="1" ht="19.899999999999999" customHeight="1">
      <c r="A191" s="465"/>
      <c r="B191" s="674" t="str">
        <f>'14. General Land Rehabilitation'!C129</f>
        <v>Long Distance Carting of Amendments</v>
      </c>
      <c r="C191" s="1309"/>
      <c r="D191" s="677">
        <f>SUM('14. General Land Rehabilitation'!E143)</f>
        <v>0</v>
      </c>
      <c r="E191" s="664" t="s">
        <v>95</v>
      </c>
    </row>
    <row r="192" spans="1:5" s="658" customFormat="1" ht="19.899999999999999" customHeight="1">
      <c r="A192" s="465"/>
      <c r="B192" s="674" t="str">
        <f>'14. General Land Rehabilitation'!C146</f>
        <v>Purchase, Load, Haul, Place Growth Media</v>
      </c>
      <c r="C192" s="1309"/>
      <c r="D192" s="677">
        <f>'14. General Land Rehabilitation'!E160</f>
        <v>0</v>
      </c>
      <c r="E192" s="664" t="s">
        <v>15</v>
      </c>
    </row>
    <row r="193" spans="1:5" s="658" customFormat="1" ht="19.899999999999999" customHeight="1">
      <c r="A193" s="465"/>
      <c r="B193" s="674" t="str">
        <f>'14. General Land Rehabilitation'!C129</f>
        <v>Long Distance Carting of Amendments</v>
      </c>
      <c r="C193" s="1309"/>
      <c r="D193" s="677">
        <f>'14. General Land Rehabilitation'!E143</f>
        <v>0</v>
      </c>
      <c r="E193" s="664" t="str">
        <f>'14. General Land Rehabilitation'!E131</f>
        <v>ha</v>
      </c>
    </row>
    <row r="194" spans="1:5" s="658" customFormat="1" ht="19.899999999999999" customHeight="1">
      <c r="A194" s="465"/>
      <c r="B194" s="674" t="str">
        <f>'14. General Land Rehabilitation'!C162</f>
        <v>Long Distance Carting of Clay</v>
      </c>
      <c r="C194" s="1309"/>
      <c r="D194" s="677">
        <f>'14. General Land Rehabilitation'!E176</f>
        <v>0</v>
      </c>
      <c r="E194" s="664" t="s">
        <v>95</v>
      </c>
    </row>
    <row r="195" spans="1:5" s="658" customFormat="1" ht="19.899999999999999" customHeight="1">
      <c r="A195" s="465"/>
      <c r="B195" s="1305" t="s">
        <v>2659</v>
      </c>
      <c r="C195" s="1306"/>
      <c r="D195" s="1307"/>
      <c r="E195" s="1322"/>
    </row>
    <row r="196" spans="1:5" s="658" customFormat="1" ht="19.899999999999999" customHeight="1">
      <c r="A196" s="465"/>
      <c r="B196" s="674" t="str">
        <f>'13. Investigation Contamination'!C10</f>
        <v>Land Investigation</v>
      </c>
      <c r="C196" s="1309"/>
      <c r="D196" s="676">
        <f>'13. Investigation Contamination'!M24</f>
        <v>0</v>
      </c>
      <c r="E196" s="664" t="s">
        <v>95</v>
      </c>
    </row>
    <row r="197" spans="1:5" s="658" customFormat="1" ht="43.9" customHeight="1">
      <c r="A197" s="465"/>
      <c r="B197" s="674" t="str">
        <f>'13. Investigation Contamination'!C27</f>
        <v>Remove material from footprint of process facility / stockpile area / roads and dump in void on-site from footprint of the process facility (leach pads) / stockpile area (ROM product) / roads and dump in a void on-site or to tailings (e.g. sludge)</v>
      </c>
      <c r="C197" s="1309"/>
      <c r="D197" s="676">
        <f>'13. Investigation Contamination'!F41</f>
        <v>0</v>
      </c>
      <c r="E197" s="664" t="s">
        <v>15</v>
      </c>
    </row>
    <row r="198" spans="1:5" s="658" customFormat="1" ht="23.65" customHeight="1">
      <c r="A198" s="465"/>
      <c r="B198" s="674" t="str">
        <f>'13. Investigation Contamination'!C45</f>
        <v>Remove scrap (only where a source separate to process equipment and other activities generating waste)</v>
      </c>
      <c r="C198" s="1309"/>
      <c r="D198" s="676">
        <f>'13. Investigation Contamination'!F59</f>
        <v>0</v>
      </c>
      <c r="E198" s="664" t="s">
        <v>33</v>
      </c>
    </row>
    <row r="199" spans="1:5" s="658" customFormat="1" ht="19.899999999999999" customHeight="1">
      <c r="A199" s="465"/>
      <c r="B199" s="674" t="str">
        <f>'13. Investigation Contamination'!C61</f>
        <v>Disposal to Off-site Facility</v>
      </c>
      <c r="C199" s="1309"/>
      <c r="D199" s="676">
        <f>'13. Investigation Contamination'!F75</f>
        <v>0</v>
      </c>
      <c r="E199" s="664" t="s">
        <v>33</v>
      </c>
    </row>
    <row r="200" spans="1:5" s="658" customFormat="1" ht="19.899999999999999" customHeight="1">
      <c r="A200" s="465"/>
      <c r="B200" s="699" t="str">
        <f>'13. Investigation Contamination'!C77</f>
        <v>Disposal to Off-site Facility - Waste Levy</v>
      </c>
      <c r="C200" s="1323"/>
      <c r="D200" s="676">
        <f>'13. Investigation Contamination'!I89</f>
        <v>0</v>
      </c>
      <c r="E200" s="664" t="s">
        <v>33</v>
      </c>
    </row>
    <row r="201" spans="1:5" s="658" customFormat="1" ht="19.899999999999999" customHeight="1">
      <c r="A201" s="465"/>
      <c r="B201" s="674" t="str">
        <f>'13. Investigation Contamination'!C93</f>
        <v>Soil Bioremediation</v>
      </c>
      <c r="C201" s="1309"/>
      <c r="D201" s="676">
        <f>'13. Investigation Contamination'!F115</f>
        <v>0</v>
      </c>
      <c r="E201" s="664" t="s">
        <v>33</v>
      </c>
    </row>
  </sheetData>
  <sheetProtection algorithmName="SHA-512" hashValue="kbjD0zvUxa4z5cftB07CHG3paKOMGNeNRYfzrAjRRg9FlarwVuTuSwqH6Es+mvH+SvL/k8COuf+Y/KmGXC5SyA==" saltValue="+r8Ab2XNg0NQtfYaCaZ5UA==" spinCount="100000" sheet="1" objects="1" scenarios="1" autoFilter="0"/>
  <autoFilter ref="D7:D201" xr:uid="{B6461482-17F0-49CC-B4CF-123E0DEB0731}"/>
  <conditionalFormatting sqref="D5">
    <cfRule type="expression" dxfId="12" priority="20" stopIfTrue="1">
      <formula>#REF!="N"</formula>
    </cfRule>
    <cfRule type="expression" dxfId="11" priority="21" stopIfTrue="1">
      <formula>#REF!="Y"</formula>
    </cfRule>
  </conditionalFormatting>
  <dataValidations disablePrompts="1" count="2">
    <dataValidation type="list" allowBlank="1" showInputMessage="1" showErrorMessage="1" sqref="DS65715 NO65715 XK65715 AHG65715 ARC65715 BAY65715 BKU65715 BUQ65715 CEM65715 COI65715 CYE65715 DIA65715 DRW65715 EBS65715 ELO65715 EVK65715 FFG65715 FPC65715 FYY65715 GIU65715 GSQ65715 HCM65715 HMI65715 HWE65715 IGA65715 IPW65715 IZS65715 JJO65715 JTK65715 KDG65715 KNC65715 KWY65715 LGU65715 LQQ65715 MAM65715 MKI65715 MUE65715 NEA65715 NNW65715 NXS65715 OHO65715 ORK65715 PBG65715 PLC65715 PUY65715 QEU65715 QOQ65715 QYM65715 RII65715 RSE65715 SCA65715 SLW65715 SVS65715 TFO65715 TPK65715 TZG65715 UJC65715 USY65715 VCU65715 VMQ65715 VWM65715 WGI65715 WQE65715 DS131251 NO131251 XK131251 AHG131251 ARC131251 BAY131251 BKU131251 BUQ131251 CEM131251 COI131251 CYE131251 DIA131251 DRW131251 EBS131251 ELO131251 EVK131251 FFG131251 FPC131251 FYY131251 GIU131251 GSQ131251 HCM131251 HMI131251 HWE131251 IGA131251 IPW131251 IZS131251 JJO131251 JTK131251 KDG131251 KNC131251 KWY131251 LGU131251 LQQ131251 MAM131251 MKI131251 MUE131251 NEA131251 NNW131251 NXS131251 OHO131251 ORK131251 PBG131251 PLC131251 PUY131251 QEU131251 QOQ131251 QYM131251 RII131251 RSE131251 SCA131251 SLW131251 SVS131251 TFO131251 TPK131251 TZG131251 UJC131251 USY131251 VCU131251 VMQ131251 VWM131251 WGI131251 WQE131251 DS196787 NO196787 XK196787 AHG196787 ARC196787 BAY196787 BKU196787 BUQ196787 CEM196787 COI196787 CYE196787 DIA196787 DRW196787 EBS196787 ELO196787 EVK196787 FFG196787 FPC196787 FYY196787 GIU196787 GSQ196787 HCM196787 HMI196787 HWE196787 IGA196787 IPW196787 IZS196787 JJO196787 JTK196787 KDG196787 KNC196787 KWY196787 LGU196787 LQQ196787 MAM196787 MKI196787 MUE196787 NEA196787 NNW196787 NXS196787 OHO196787 ORK196787 PBG196787 PLC196787 PUY196787 QEU196787 QOQ196787 QYM196787 RII196787 RSE196787 SCA196787 SLW196787 SVS196787 TFO196787 TPK196787 TZG196787 UJC196787 USY196787 VCU196787 VMQ196787 VWM196787 WGI196787 WQE196787 DS262323 NO262323 XK262323 AHG262323 ARC262323 BAY262323 BKU262323 BUQ262323 CEM262323 COI262323 CYE262323 DIA262323 DRW262323 EBS262323 ELO262323 EVK262323 FFG262323 FPC262323 FYY262323 GIU262323 GSQ262323 HCM262323 HMI262323 HWE262323 IGA262323 IPW262323 IZS262323 JJO262323 JTK262323 KDG262323 KNC262323 KWY262323 LGU262323 LQQ262323 MAM262323 MKI262323 MUE262323 NEA262323 NNW262323 NXS262323 OHO262323 ORK262323 PBG262323 PLC262323 PUY262323 QEU262323 QOQ262323 QYM262323 RII262323 RSE262323 SCA262323 SLW262323 SVS262323 TFO262323 TPK262323 TZG262323 UJC262323 USY262323 VCU262323 VMQ262323 VWM262323 WGI262323 WQE262323 DS327859 NO327859 XK327859 AHG327859 ARC327859 BAY327859 BKU327859 BUQ327859 CEM327859 COI327859 CYE327859 DIA327859 DRW327859 EBS327859 ELO327859 EVK327859 FFG327859 FPC327859 FYY327859 GIU327859 GSQ327859 HCM327859 HMI327859 HWE327859 IGA327859 IPW327859 IZS327859 JJO327859 JTK327859 KDG327859 KNC327859 KWY327859 LGU327859 LQQ327859 MAM327859 MKI327859 MUE327859 NEA327859 NNW327859 NXS327859 OHO327859 ORK327859 PBG327859 PLC327859 PUY327859 QEU327859 QOQ327859 QYM327859 RII327859 RSE327859 SCA327859 SLW327859 SVS327859 TFO327859 TPK327859 TZG327859 UJC327859 USY327859 VCU327859 VMQ327859 VWM327859 WGI327859 WQE327859 DS393395 NO393395 XK393395 AHG393395 ARC393395 BAY393395 BKU393395 BUQ393395 CEM393395 COI393395 CYE393395 DIA393395 DRW393395 EBS393395 ELO393395 EVK393395 FFG393395 FPC393395 FYY393395 GIU393395 GSQ393395 HCM393395 HMI393395 HWE393395 IGA393395 IPW393395 IZS393395 JJO393395 JTK393395 KDG393395 KNC393395 KWY393395 LGU393395 LQQ393395 MAM393395 MKI393395 MUE393395 NEA393395 NNW393395 NXS393395 OHO393395 ORK393395 PBG393395 PLC393395 PUY393395 QEU393395 QOQ393395 QYM393395 RII393395 RSE393395 SCA393395 SLW393395 SVS393395 TFO393395 TPK393395 TZG393395 UJC393395 USY393395 VCU393395 VMQ393395 VWM393395 WGI393395 WQE393395 DS458931 NO458931 XK458931 AHG458931 ARC458931 BAY458931 BKU458931 BUQ458931 CEM458931 COI458931 CYE458931 DIA458931 DRW458931 EBS458931 ELO458931 EVK458931 FFG458931 FPC458931 FYY458931 GIU458931 GSQ458931 HCM458931 HMI458931 HWE458931 IGA458931 IPW458931 IZS458931 JJO458931 JTK458931 KDG458931 KNC458931 KWY458931 LGU458931 LQQ458931 MAM458931 MKI458931 MUE458931 NEA458931 NNW458931 NXS458931 OHO458931 ORK458931 PBG458931 PLC458931 PUY458931 QEU458931 QOQ458931 QYM458931 RII458931 RSE458931 SCA458931 SLW458931 SVS458931 TFO458931 TPK458931 TZG458931 UJC458931 USY458931 VCU458931 VMQ458931 VWM458931 WGI458931 WQE458931 DS524467 NO524467 XK524467 AHG524467 ARC524467 BAY524467 BKU524467 BUQ524467 CEM524467 COI524467 CYE524467 DIA524467 DRW524467 EBS524467 ELO524467 EVK524467 FFG524467 FPC524467 FYY524467 GIU524467 GSQ524467 HCM524467 HMI524467 HWE524467 IGA524467 IPW524467 IZS524467 JJO524467 JTK524467 KDG524467 KNC524467 KWY524467 LGU524467 LQQ524467 MAM524467 MKI524467 MUE524467 NEA524467 NNW524467 NXS524467 OHO524467 ORK524467 PBG524467 PLC524467 PUY524467 QEU524467 QOQ524467 QYM524467 RII524467 RSE524467 SCA524467 SLW524467 SVS524467 TFO524467 TPK524467 TZG524467 UJC524467 USY524467 VCU524467 VMQ524467 VWM524467 WGI524467 WQE524467 DS590003 NO590003 XK590003 AHG590003 ARC590003 BAY590003 BKU590003 BUQ590003 CEM590003 COI590003 CYE590003 DIA590003 DRW590003 EBS590003 ELO590003 EVK590003 FFG590003 FPC590003 FYY590003 GIU590003 GSQ590003 HCM590003 HMI590003 HWE590003 IGA590003 IPW590003 IZS590003 JJO590003 JTK590003 KDG590003 KNC590003 KWY590003 LGU590003 LQQ590003 MAM590003 MKI590003 MUE590003 NEA590003 NNW590003 NXS590003 OHO590003 ORK590003 PBG590003 PLC590003 PUY590003 QEU590003 QOQ590003 QYM590003 RII590003 RSE590003 SCA590003 SLW590003 SVS590003 TFO590003 TPK590003 TZG590003 UJC590003 USY590003 VCU590003 VMQ590003 VWM590003 WGI590003 WQE590003 DS655539 NO655539 XK655539 AHG655539 ARC655539 BAY655539 BKU655539 BUQ655539 CEM655539 COI655539 CYE655539 DIA655539 DRW655539 EBS655539 ELO655539 EVK655539 FFG655539 FPC655539 FYY655539 GIU655539 GSQ655539 HCM655539 HMI655539 HWE655539 IGA655539 IPW655539 IZS655539 JJO655539 JTK655539 KDG655539 KNC655539 KWY655539 LGU655539 LQQ655539 MAM655539 MKI655539 MUE655539 NEA655539 NNW655539 NXS655539 OHO655539 ORK655539 PBG655539 PLC655539 PUY655539 QEU655539 QOQ655539 QYM655539 RII655539 RSE655539 SCA655539 SLW655539 SVS655539 TFO655539 TPK655539 TZG655539 UJC655539 USY655539 VCU655539 VMQ655539 VWM655539 WGI655539 WQE655539 DS721075 NO721075 XK721075 AHG721075 ARC721075 BAY721075 BKU721075 BUQ721075 CEM721075 COI721075 CYE721075 DIA721075 DRW721075 EBS721075 ELO721075 EVK721075 FFG721075 FPC721075 FYY721075 GIU721075 GSQ721075 HCM721075 HMI721075 HWE721075 IGA721075 IPW721075 IZS721075 JJO721075 JTK721075 KDG721075 KNC721075 KWY721075 LGU721075 LQQ721075 MAM721075 MKI721075 MUE721075 NEA721075 NNW721075 NXS721075 OHO721075 ORK721075 PBG721075 PLC721075 PUY721075 QEU721075 QOQ721075 QYM721075 RII721075 RSE721075 SCA721075 SLW721075 SVS721075 TFO721075 TPK721075 TZG721075 UJC721075 USY721075 VCU721075 VMQ721075 VWM721075 WGI721075 WQE721075 DS786611 NO786611 XK786611 AHG786611 ARC786611 BAY786611 BKU786611 BUQ786611 CEM786611 COI786611 CYE786611 DIA786611 DRW786611 EBS786611 ELO786611 EVK786611 FFG786611 FPC786611 FYY786611 GIU786611 GSQ786611 HCM786611 HMI786611 HWE786611 IGA786611 IPW786611 IZS786611 JJO786611 JTK786611 KDG786611 KNC786611 KWY786611 LGU786611 LQQ786611 MAM786611 MKI786611 MUE786611 NEA786611 NNW786611 NXS786611 OHO786611 ORK786611 PBG786611 PLC786611 PUY786611 QEU786611 QOQ786611 QYM786611 RII786611 RSE786611 SCA786611 SLW786611 SVS786611 TFO786611 TPK786611 TZG786611 UJC786611 USY786611 VCU786611 VMQ786611 VWM786611 WGI786611 WQE786611 DS852147 NO852147 XK852147 AHG852147 ARC852147 BAY852147 BKU852147 BUQ852147 CEM852147 COI852147 CYE852147 DIA852147 DRW852147 EBS852147 ELO852147 EVK852147 FFG852147 FPC852147 FYY852147 GIU852147 GSQ852147 HCM852147 HMI852147 HWE852147 IGA852147 IPW852147 IZS852147 JJO852147 JTK852147 KDG852147 KNC852147 KWY852147 LGU852147 LQQ852147 MAM852147 MKI852147 MUE852147 NEA852147 NNW852147 NXS852147 OHO852147 ORK852147 PBG852147 PLC852147 PUY852147 QEU852147 QOQ852147 QYM852147 RII852147 RSE852147 SCA852147 SLW852147 SVS852147 TFO852147 TPK852147 TZG852147 UJC852147 USY852147 VCU852147 VMQ852147 VWM852147 WGI852147 WQE852147 DS917683 NO917683 XK917683 AHG917683 ARC917683 BAY917683 BKU917683 BUQ917683 CEM917683 COI917683 CYE917683 DIA917683 DRW917683 EBS917683 ELO917683 EVK917683 FFG917683 FPC917683 FYY917683 GIU917683 GSQ917683 HCM917683 HMI917683 HWE917683 IGA917683 IPW917683 IZS917683 JJO917683 JTK917683 KDG917683 KNC917683 KWY917683 LGU917683 LQQ917683 MAM917683 MKI917683 MUE917683 NEA917683 NNW917683 NXS917683 OHO917683 ORK917683 PBG917683 PLC917683 PUY917683 QEU917683 QOQ917683 QYM917683 RII917683 RSE917683 SCA917683 SLW917683 SVS917683 TFO917683 TPK917683 TZG917683 UJC917683 USY917683 VCU917683 VMQ917683 VWM917683 WGI917683 WQE917683 DS983219 NO983219 XK983219 AHG983219 ARC983219 BAY983219 BKU983219 BUQ983219 CEM983219 COI983219 CYE983219 DIA983219 DRW983219 EBS983219 ELO983219 EVK983219 FFG983219 FPC983219 FYY983219 GIU983219 GSQ983219 HCM983219 HMI983219 HWE983219 IGA983219 IPW983219 IZS983219 JJO983219 JTK983219 KDG983219 KNC983219 KWY983219 LGU983219 LQQ983219 MAM983219 MKI983219 MUE983219 NEA983219 NNW983219 NXS983219 OHO983219 ORK983219 PBG983219 PLC983219 PUY983219 QEU983219 QOQ983219 QYM983219 RII983219 RSE983219 SCA983219 SLW983219 SVS983219 TFO983219 TPK983219 TZG983219 UJC983219 USY983219 VCU983219 VMQ983219 VWM983219 WGI983219 WQE983219" xr:uid="{0513969B-B5B8-46FB-AA85-C0F23B1EB2CC}">
      <formula1>Distance_to_Site</formula1>
    </dataValidation>
    <dataValidation type="list" allowBlank="1" showInputMessage="1" showErrorMessage="1" sqref="DS65694 NO65694 XK65694 AHG65694 ARC65694 BAY65694 BKU65694 BUQ65694 CEM65694 COI65694 CYE65694 DIA65694 DRW65694 EBS65694 ELO65694 EVK65694 FFG65694 FPC65694 FYY65694 GIU65694 GSQ65694 HCM65694 HMI65694 HWE65694 IGA65694 IPW65694 IZS65694 JJO65694 JTK65694 KDG65694 KNC65694 KWY65694 LGU65694 LQQ65694 MAM65694 MKI65694 MUE65694 NEA65694 NNW65694 NXS65694 OHO65694 ORK65694 PBG65694 PLC65694 PUY65694 QEU65694 QOQ65694 QYM65694 RII65694 RSE65694 SCA65694 SLW65694 SVS65694 TFO65694 TPK65694 TZG65694 UJC65694 USY65694 VCU65694 VMQ65694 VWM65694 WGI65694 WQE65694 DS131230 NO131230 XK131230 AHG131230 ARC131230 BAY131230 BKU131230 BUQ131230 CEM131230 COI131230 CYE131230 DIA131230 DRW131230 EBS131230 ELO131230 EVK131230 FFG131230 FPC131230 FYY131230 GIU131230 GSQ131230 HCM131230 HMI131230 HWE131230 IGA131230 IPW131230 IZS131230 JJO131230 JTK131230 KDG131230 KNC131230 KWY131230 LGU131230 LQQ131230 MAM131230 MKI131230 MUE131230 NEA131230 NNW131230 NXS131230 OHO131230 ORK131230 PBG131230 PLC131230 PUY131230 QEU131230 QOQ131230 QYM131230 RII131230 RSE131230 SCA131230 SLW131230 SVS131230 TFO131230 TPK131230 TZG131230 UJC131230 USY131230 VCU131230 VMQ131230 VWM131230 WGI131230 WQE131230 DS196766 NO196766 XK196766 AHG196766 ARC196766 BAY196766 BKU196766 BUQ196766 CEM196766 COI196766 CYE196766 DIA196766 DRW196766 EBS196766 ELO196766 EVK196766 FFG196766 FPC196766 FYY196766 GIU196766 GSQ196766 HCM196766 HMI196766 HWE196766 IGA196766 IPW196766 IZS196766 JJO196766 JTK196766 KDG196766 KNC196766 KWY196766 LGU196766 LQQ196766 MAM196766 MKI196766 MUE196766 NEA196766 NNW196766 NXS196766 OHO196766 ORK196766 PBG196766 PLC196766 PUY196766 QEU196766 QOQ196766 QYM196766 RII196766 RSE196766 SCA196766 SLW196766 SVS196766 TFO196766 TPK196766 TZG196766 UJC196766 USY196766 VCU196766 VMQ196766 VWM196766 WGI196766 WQE196766 DS262302 NO262302 XK262302 AHG262302 ARC262302 BAY262302 BKU262302 BUQ262302 CEM262302 COI262302 CYE262302 DIA262302 DRW262302 EBS262302 ELO262302 EVK262302 FFG262302 FPC262302 FYY262302 GIU262302 GSQ262302 HCM262302 HMI262302 HWE262302 IGA262302 IPW262302 IZS262302 JJO262302 JTK262302 KDG262302 KNC262302 KWY262302 LGU262302 LQQ262302 MAM262302 MKI262302 MUE262302 NEA262302 NNW262302 NXS262302 OHO262302 ORK262302 PBG262302 PLC262302 PUY262302 QEU262302 QOQ262302 QYM262302 RII262302 RSE262302 SCA262302 SLW262302 SVS262302 TFO262302 TPK262302 TZG262302 UJC262302 USY262302 VCU262302 VMQ262302 VWM262302 WGI262302 WQE262302 DS327838 NO327838 XK327838 AHG327838 ARC327838 BAY327838 BKU327838 BUQ327838 CEM327838 COI327838 CYE327838 DIA327838 DRW327838 EBS327838 ELO327838 EVK327838 FFG327838 FPC327838 FYY327838 GIU327838 GSQ327838 HCM327838 HMI327838 HWE327838 IGA327838 IPW327838 IZS327838 JJO327838 JTK327838 KDG327838 KNC327838 KWY327838 LGU327838 LQQ327838 MAM327838 MKI327838 MUE327838 NEA327838 NNW327838 NXS327838 OHO327838 ORK327838 PBG327838 PLC327838 PUY327838 QEU327838 QOQ327838 QYM327838 RII327838 RSE327838 SCA327838 SLW327838 SVS327838 TFO327838 TPK327838 TZG327838 UJC327838 USY327838 VCU327838 VMQ327838 VWM327838 WGI327838 WQE327838 DS393374 NO393374 XK393374 AHG393374 ARC393374 BAY393374 BKU393374 BUQ393374 CEM393374 COI393374 CYE393374 DIA393374 DRW393374 EBS393374 ELO393374 EVK393374 FFG393374 FPC393374 FYY393374 GIU393374 GSQ393374 HCM393374 HMI393374 HWE393374 IGA393374 IPW393374 IZS393374 JJO393374 JTK393374 KDG393374 KNC393374 KWY393374 LGU393374 LQQ393374 MAM393374 MKI393374 MUE393374 NEA393374 NNW393374 NXS393374 OHO393374 ORK393374 PBG393374 PLC393374 PUY393374 QEU393374 QOQ393374 QYM393374 RII393374 RSE393374 SCA393374 SLW393374 SVS393374 TFO393374 TPK393374 TZG393374 UJC393374 USY393374 VCU393374 VMQ393374 VWM393374 WGI393374 WQE393374 DS458910 NO458910 XK458910 AHG458910 ARC458910 BAY458910 BKU458910 BUQ458910 CEM458910 COI458910 CYE458910 DIA458910 DRW458910 EBS458910 ELO458910 EVK458910 FFG458910 FPC458910 FYY458910 GIU458910 GSQ458910 HCM458910 HMI458910 HWE458910 IGA458910 IPW458910 IZS458910 JJO458910 JTK458910 KDG458910 KNC458910 KWY458910 LGU458910 LQQ458910 MAM458910 MKI458910 MUE458910 NEA458910 NNW458910 NXS458910 OHO458910 ORK458910 PBG458910 PLC458910 PUY458910 QEU458910 QOQ458910 QYM458910 RII458910 RSE458910 SCA458910 SLW458910 SVS458910 TFO458910 TPK458910 TZG458910 UJC458910 USY458910 VCU458910 VMQ458910 VWM458910 WGI458910 WQE458910 DS524446 NO524446 XK524446 AHG524446 ARC524446 BAY524446 BKU524446 BUQ524446 CEM524446 COI524446 CYE524446 DIA524446 DRW524446 EBS524446 ELO524446 EVK524446 FFG524446 FPC524446 FYY524446 GIU524446 GSQ524446 HCM524446 HMI524446 HWE524446 IGA524446 IPW524446 IZS524446 JJO524446 JTK524446 KDG524446 KNC524446 KWY524446 LGU524446 LQQ524446 MAM524446 MKI524446 MUE524446 NEA524446 NNW524446 NXS524446 OHO524446 ORK524446 PBG524446 PLC524446 PUY524446 QEU524446 QOQ524446 QYM524446 RII524446 RSE524446 SCA524446 SLW524446 SVS524446 TFO524446 TPK524446 TZG524446 UJC524446 USY524446 VCU524446 VMQ524446 VWM524446 WGI524446 WQE524446 DS589982 NO589982 XK589982 AHG589982 ARC589982 BAY589982 BKU589982 BUQ589982 CEM589982 COI589982 CYE589982 DIA589982 DRW589982 EBS589982 ELO589982 EVK589982 FFG589982 FPC589982 FYY589982 GIU589982 GSQ589982 HCM589982 HMI589982 HWE589982 IGA589982 IPW589982 IZS589982 JJO589982 JTK589982 KDG589982 KNC589982 KWY589982 LGU589982 LQQ589982 MAM589982 MKI589982 MUE589982 NEA589982 NNW589982 NXS589982 OHO589982 ORK589982 PBG589982 PLC589982 PUY589982 QEU589982 QOQ589982 QYM589982 RII589982 RSE589982 SCA589982 SLW589982 SVS589982 TFO589982 TPK589982 TZG589982 UJC589982 USY589982 VCU589982 VMQ589982 VWM589982 WGI589982 WQE589982 DS655518 NO655518 XK655518 AHG655518 ARC655518 BAY655518 BKU655518 BUQ655518 CEM655518 COI655518 CYE655518 DIA655518 DRW655518 EBS655518 ELO655518 EVK655518 FFG655518 FPC655518 FYY655518 GIU655518 GSQ655518 HCM655518 HMI655518 HWE655518 IGA655518 IPW655518 IZS655518 JJO655518 JTK655518 KDG655518 KNC655518 KWY655518 LGU655518 LQQ655518 MAM655518 MKI655518 MUE655518 NEA655518 NNW655518 NXS655518 OHO655518 ORK655518 PBG655518 PLC655518 PUY655518 QEU655518 QOQ655518 QYM655518 RII655518 RSE655518 SCA655518 SLW655518 SVS655518 TFO655518 TPK655518 TZG655518 UJC655518 USY655518 VCU655518 VMQ655518 VWM655518 WGI655518 WQE655518 DS721054 NO721054 XK721054 AHG721054 ARC721054 BAY721054 BKU721054 BUQ721054 CEM721054 COI721054 CYE721054 DIA721054 DRW721054 EBS721054 ELO721054 EVK721054 FFG721054 FPC721054 FYY721054 GIU721054 GSQ721054 HCM721054 HMI721054 HWE721054 IGA721054 IPW721054 IZS721054 JJO721054 JTK721054 KDG721054 KNC721054 KWY721054 LGU721054 LQQ721054 MAM721054 MKI721054 MUE721054 NEA721054 NNW721054 NXS721054 OHO721054 ORK721054 PBG721054 PLC721054 PUY721054 QEU721054 QOQ721054 QYM721054 RII721054 RSE721054 SCA721054 SLW721054 SVS721054 TFO721054 TPK721054 TZG721054 UJC721054 USY721054 VCU721054 VMQ721054 VWM721054 WGI721054 WQE721054 DS786590 NO786590 XK786590 AHG786590 ARC786590 BAY786590 BKU786590 BUQ786590 CEM786590 COI786590 CYE786590 DIA786590 DRW786590 EBS786590 ELO786590 EVK786590 FFG786590 FPC786590 FYY786590 GIU786590 GSQ786590 HCM786590 HMI786590 HWE786590 IGA786590 IPW786590 IZS786590 JJO786590 JTK786590 KDG786590 KNC786590 KWY786590 LGU786590 LQQ786590 MAM786590 MKI786590 MUE786590 NEA786590 NNW786590 NXS786590 OHO786590 ORK786590 PBG786590 PLC786590 PUY786590 QEU786590 QOQ786590 QYM786590 RII786590 RSE786590 SCA786590 SLW786590 SVS786590 TFO786590 TPK786590 TZG786590 UJC786590 USY786590 VCU786590 VMQ786590 VWM786590 WGI786590 WQE786590 DS852126 NO852126 XK852126 AHG852126 ARC852126 BAY852126 BKU852126 BUQ852126 CEM852126 COI852126 CYE852126 DIA852126 DRW852126 EBS852126 ELO852126 EVK852126 FFG852126 FPC852126 FYY852126 GIU852126 GSQ852126 HCM852126 HMI852126 HWE852126 IGA852126 IPW852126 IZS852126 JJO852126 JTK852126 KDG852126 KNC852126 KWY852126 LGU852126 LQQ852126 MAM852126 MKI852126 MUE852126 NEA852126 NNW852126 NXS852126 OHO852126 ORK852126 PBG852126 PLC852126 PUY852126 QEU852126 QOQ852126 QYM852126 RII852126 RSE852126 SCA852126 SLW852126 SVS852126 TFO852126 TPK852126 TZG852126 UJC852126 USY852126 VCU852126 VMQ852126 VWM852126 WGI852126 WQE852126 DS917662 NO917662 XK917662 AHG917662 ARC917662 BAY917662 BKU917662 BUQ917662 CEM917662 COI917662 CYE917662 DIA917662 DRW917662 EBS917662 ELO917662 EVK917662 FFG917662 FPC917662 FYY917662 GIU917662 GSQ917662 HCM917662 HMI917662 HWE917662 IGA917662 IPW917662 IZS917662 JJO917662 JTK917662 KDG917662 KNC917662 KWY917662 LGU917662 LQQ917662 MAM917662 MKI917662 MUE917662 NEA917662 NNW917662 NXS917662 OHO917662 ORK917662 PBG917662 PLC917662 PUY917662 QEU917662 QOQ917662 QYM917662 RII917662 RSE917662 SCA917662 SLW917662 SVS917662 TFO917662 TPK917662 TZG917662 UJC917662 USY917662 VCU917662 VMQ917662 VWM917662 WGI917662 WQE917662 DS983198 NO983198 XK983198 AHG983198 ARC983198 BAY983198 BKU983198 BUQ983198 CEM983198 COI983198 CYE983198 DIA983198 DRW983198 EBS983198 ELO983198 EVK983198 FFG983198 FPC983198 FYY983198 GIU983198 GSQ983198 HCM983198 HMI983198 HWE983198 IGA983198 IPW983198 IZS983198 JJO983198 JTK983198 KDG983198 KNC983198 KWY983198 LGU983198 LQQ983198 MAM983198 MKI983198 MUE983198 NEA983198 NNW983198 NXS983198 OHO983198 ORK983198 PBG983198 PLC983198 PUY983198 QEU983198 QOQ983198 QYM983198 RII983198 RSE983198 SCA983198 SLW983198 SVS983198 TFO983198 TPK983198 TZG983198 UJC983198 USY983198 VCU983198 VMQ983198 VWM983198 WGI983198 WQE983198 DS65645 NO65645 XK65645 AHG65645 ARC65645 BAY65645 BKU65645 BUQ65645 CEM65645 COI65645 CYE65645 DIA65645 DRW65645 EBS65645 ELO65645 EVK65645 FFG65645 FPC65645 FYY65645 GIU65645 GSQ65645 HCM65645 HMI65645 HWE65645 IGA65645 IPW65645 IZS65645 JJO65645 JTK65645 KDG65645 KNC65645 KWY65645 LGU65645 LQQ65645 MAM65645 MKI65645 MUE65645 NEA65645 NNW65645 NXS65645 OHO65645 ORK65645 PBG65645 PLC65645 PUY65645 QEU65645 QOQ65645 QYM65645 RII65645 RSE65645 SCA65645 SLW65645 SVS65645 TFO65645 TPK65645 TZG65645 UJC65645 USY65645 VCU65645 VMQ65645 VWM65645 WGI65645 WQE65645 DS131181 NO131181 XK131181 AHG131181 ARC131181 BAY131181 BKU131181 BUQ131181 CEM131181 COI131181 CYE131181 DIA131181 DRW131181 EBS131181 ELO131181 EVK131181 FFG131181 FPC131181 FYY131181 GIU131181 GSQ131181 HCM131181 HMI131181 HWE131181 IGA131181 IPW131181 IZS131181 JJO131181 JTK131181 KDG131181 KNC131181 KWY131181 LGU131181 LQQ131181 MAM131181 MKI131181 MUE131181 NEA131181 NNW131181 NXS131181 OHO131181 ORK131181 PBG131181 PLC131181 PUY131181 QEU131181 QOQ131181 QYM131181 RII131181 RSE131181 SCA131181 SLW131181 SVS131181 TFO131181 TPK131181 TZG131181 UJC131181 USY131181 VCU131181 VMQ131181 VWM131181 WGI131181 WQE131181 DS196717 NO196717 XK196717 AHG196717 ARC196717 BAY196717 BKU196717 BUQ196717 CEM196717 COI196717 CYE196717 DIA196717 DRW196717 EBS196717 ELO196717 EVK196717 FFG196717 FPC196717 FYY196717 GIU196717 GSQ196717 HCM196717 HMI196717 HWE196717 IGA196717 IPW196717 IZS196717 JJO196717 JTK196717 KDG196717 KNC196717 KWY196717 LGU196717 LQQ196717 MAM196717 MKI196717 MUE196717 NEA196717 NNW196717 NXS196717 OHO196717 ORK196717 PBG196717 PLC196717 PUY196717 QEU196717 QOQ196717 QYM196717 RII196717 RSE196717 SCA196717 SLW196717 SVS196717 TFO196717 TPK196717 TZG196717 UJC196717 USY196717 VCU196717 VMQ196717 VWM196717 WGI196717 WQE196717 DS262253 NO262253 XK262253 AHG262253 ARC262253 BAY262253 BKU262253 BUQ262253 CEM262253 COI262253 CYE262253 DIA262253 DRW262253 EBS262253 ELO262253 EVK262253 FFG262253 FPC262253 FYY262253 GIU262253 GSQ262253 HCM262253 HMI262253 HWE262253 IGA262253 IPW262253 IZS262253 JJO262253 JTK262253 KDG262253 KNC262253 KWY262253 LGU262253 LQQ262253 MAM262253 MKI262253 MUE262253 NEA262253 NNW262253 NXS262253 OHO262253 ORK262253 PBG262253 PLC262253 PUY262253 QEU262253 QOQ262253 QYM262253 RII262253 RSE262253 SCA262253 SLW262253 SVS262253 TFO262253 TPK262253 TZG262253 UJC262253 USY262253 VCU262253 VMQ262253 VWM262253 WGI262253 WQE262253 DS327789 NO327789 XK327789 AHG327789 ARC327789 BAY327789 BKU327789 BUQ327789 CEM327789 COI327789 CYE327789 DIA327789 DRW327789 EBS327789 ELO327789 EVK327789 FFG327789 FPC327789 FYY327789 GIU327789 GSQ327789 HCM327789 HMI327789 HWE327789 IGA327789 IPW327789 IZS327789 JJO327789 JTK327789 KDG327789 KNC327789 KWY327789 LGU327789 LQQ327789 MAM327789 MKI327789 MUE327789 NEA327789 NNW327789 NXS327789 OHO327789 ORK327789 PBG327789 PLC327789 PUY327789 QEU327789 QOQ327789 QYM327789 RII327789 RSE327789 SCA327789 SLW327789 SVS327789 TFO327789 TPK327789 TZG327789 UJC327789 USY327789 VCU327789 VMQ327789 VWM327789 WGI327789 WQE327789 DS393325 NO393325 XK393325 AHG393325 ARC393325 BAY393325 BKU393325 BUQ393325 CEM393325 COI393325 CYE393325 DIA393325 DRW393325 EBS393325 ELO393325 EVK393325 FFG393325 FPC393325 FYY393325 GIU393325 GSQ393325 HCM393325 HMI393325 HWE393325 IGA393325 IPW393325 IZS393325 JJO393325 JTK393325 KDG393325 KNC393325 KWY393325 LGU393325 LQQ393325 MAM393325 MKI393325 MUE393325 NEA393325 NNW393325 NXS393325 OHO393325 ORK393325 PBG393325 PLC393325 PUY393325 QEU393325 QOQ393325 QYM393325 RII393325 RSE393325 SCA393325 SLW393325 SVS393325 TFO393325 TPK393325 TZG393325 UJC393325 USY393325 VCU393325 VMQ393325 VWM393325 WGI393325 WQE393325 DS458861 NO458861 XK458861 AHG458861 ARC458861 BAY458861 BKU458861 BUQ458861 CEM458861 COI458861 CYE458861 DIA458861 DRW458861 EBS458861 ELO458861 EVK458861 FFG458861 FPC458861 FYY458861 GIU458861 GSQ458861 HCM458861 HMI458861 HWE458861 IGA458861 IPW458861 IZS458861 JJO458861 JTK458861 KDG458861 KNC458861 KWY458861 LGU458861 LQQ458861 MAM458861 MKI458861 MUE458861 NEA458861 NNW458861 NXS458861 OHO458861 ORK458861 PBG458861 PLC458861 PUY458861 QEU458861 QOQ458861 QYM458861 RII458861 RSE458861 SCA458861 SLW458861 SVS458861 TFO458861 TPK458861 TZG458861 UJC458861 USY458861 VCU458861 VMQ458861 VWM458861 WGI458861 WQE458861 DS524397 NO524397 XK524397 AHG524397 ARC524397 BAY524397 BKU524397 BUQ524397 CEM524397 COI524397 CYE524397 DIA524397 DRW524397 EBS524397 ELO524397 EVK524397 FFG524397 FPC524397 FYY524397 GIU524397 GSQ524397 HCM524397 HMI524397 HWE524397 IGA524397 IPW524397 IZS524397 JJO524397 JTK524397 KDG524397 KNC524397 KWY524397 LGU524397 LQQ524397 MAM524397 MKI524397 MUE524397 NEA524397 NNW524397 NXS524397 OHO524397 ORK524397 PBG524397 PLC524397 PUY524397 QEU524397 QOQ524397 QYM524397 RII524397 RSE524397 SCA524397 SLW524397 SVS524397 TFO524397 TPK524397 TZG524397 UJC524397 USY524397 VCU524397 VMQ524397 VWM524397 WGI524397 WQE524397 DS589933 NO589933 XK589933 AHG589933 ARC589933 BAY589933 BKU589933 BUQ589933 CEM589933 COI589933 CYE589933 DIA589933 DRW589933 EBS589933 ELO589933 EVK589933 FFG589933 FPC589933 FYY589933 GIU589933 GSQ589933 HCM589933 HMI589933 HWE589933 IGA589933 IPW589933 IZS589933 JJO589933 JTK589933 KDG589933 KNC589933 KWY589933 LGU589933 LQQ589933 MAM589933 MKI589933 MUE589933 NEA589933 NNW589933 NXS589933 OHO589933 ORK589933 PBG589933 PLC589933 PUY589933 QEU589933 QOQ589933 QYM589933 RII589933 RSE589933 SCA589933 SLW589933 SVS589933 TFO589933 TPK589933 TZG589933 UJC589933 USY589933 VCU589933 VMQ589933 VWM589933 WGI589933 WQE589933 DS655469 NO655469 XK655469 AHG655469 ARC655469 BAY655469 BKU655469 BUQ655469 CEM655469 COI655469 CYE655469 DIA655469 DRW655469 EBS655469 ELO655469 EVK655469 FFG655469 FPC655469 FYY655469 GIU655469 GSQ655469 HCM655469 HMI655469 HWE655469 IGA655469 IPW655469 IZS655469 JJO655469 JTK655469 KDG655469 KNC655469 KWY655469 LGU655469 LQQ655469 MAM655469 MKI655469 MUE655469 NEA655469 NNW655469 NXS655469 OHO655469 ORK655469 PBG655469 PLC655469 PUY655469 QEU655469 QOQ655469 QYM655469 RII655469 RSE655469 SCA655469 SLW655469 SVS655469 TFO655469 TPK655469 TZG655469 UJC655469 USY655469 VCU655469 VMQ655469 VWM655469 WGI655469 WQE655469 DS721005 NO721005 XK721005 AHG721005 ARC721005 BAY721005 BKU721005 BUQ721005 CEM721005 COI721005 CYE721005 DIA721005 DRW721005 EBS721005 ELO721005 EVK721005 FFG721005 FPC721005 FYY721005 GIU721005 GSQ721005 HCM721005 HMI721005 HWE721005 IGA721005 IPW721005 IZS721005 JJO721005 JTK721005 KDG721005 KNC721005 KWY721005 LGU721005 LQQ721005 MAM721005 MKI721005 MUE721005 NEA721005 NNW721005 NXS721005 OHO721005 ORK721005 PBG721005 PLC721005 PUY721005 QEU721005 QOQ721005 QYM721005 RII721005 RSE721005 SCA721005 SLW721005 SVS721005 TFO721005 TPK721005 TZG721005 UJC721005 USY721005 VCU721005 VMQ721005 VWM721005 WGI721005 WQE721005 DS786541 NO786541 XK786541 AHG786541 ARC786541 BAY786541 BKU786541 BUQ786541 CEM786541 COI786541 CYE786541 DIA786541 DRW786541 EBS786541 ELO786541 EVK786541 FFG786541 FPC786541 FYY786541 GIU786541 GSQ786541 HCM786541 HMI786541 HWE786541 IGA786541 IPW786541 IZS786541 JJO786541 JTK786541 KDG786541 KNC786541 KWY786541 LGU786541 LQQ786541 MAM786541 MKI786541 MUE786541 NEA786541 NNW786541 NXS786541 OHO786541 ORK786541 PBG786541 PLC786541 PUY786541 QEU786541 QOQ786541 QYM786541 RII786541 RSE786541 SCA786541 SLW786541 SVS786541 TFO786541 TPK786541 TZG786541 UJC786541 USY786541 VCU786541 VMQ786541 VWM786541 WGI786541 WQE786541 DS852077 NO852077 XK852077 AHG852077 ARC852077 BAY852077 BKU852077 BUQ852077 CEM852077 COI852077 CYE852077 DIA852077 DRW852077 EBS852077 ELO852077 EVK852077 FFG852077 FPC852077 FYY852077 GIU852077 GSQ852077 HCM852077 HMI852077 HWE852077 IGA852077 IPW852077 IZS852077 JJO852077 JTK852077 KDG852077 KNC852077 KWY852077 LGU852077 LQQ852077 MAM852077 MKI852077 MUE852077 NEA852077 NNW852077 NXS852077 OHO852077 ORK852077 PBG852077 PLC852077 PUY852077 QEU852077 QOQ852077 QYM852077 RII852077 RSE852077 SCA852077 SLW852077 SVS852077 TFO852077 TPK852077 TZG852077 UJC852077 USY852077 VCU852077 VMQ852077 VWM852077 WGI852077 WQE852077 DS917613 NO917613 XK917613 AHG917613 ARC917613 BAY917613 BKU917613 BUQ917613 CEM917613 COI917613 CYE917613 DIA917613 DRW917613 EBS917613 ELO917613 EVK917613 FFG917613 FPC917613 FYY917613 GIU917613 GSQ917613 HCM917613 HMI917613 HWE917613 IGA917613 IPW917613 IZS917613 JJO917613 JTK917613 KDG917613 KNC917613 KWY917613 LGU917613 LQQ917613 MAM917613 MKI917613 MUE917613 NEA917613 NNW917613 NXS917613 OHO917613 ORK917613 PBG917613 PLC917613 PUY917613 QEU917613 QOQ917613 QYM917613 RII917613 RSE917613 SCA917613 SLW917613 SVS917613 TFO917613 TPK917613 TZG917613 UJC917613 USY917613 VCU917613 VMQ917613 VWM917613 WGI917613 WQE917613 DS983149 NO983149 XK983149 AHG983149 ARC983149 BAY983149 BKU983149 BUQ983149 CEM983149 COI983149 CYE983149 DIA983149 DRW983149 EBS983149 ELO983149 EVK983149 FFG983149 FPC983149 FYY983149 GIU983149 GSQ983149 HCM983149 HMI983149 HWE983149 IGA983149 IPW983149 IZS983149 JJO983149 JTK983149 KDG983149 KNC983149 KWY983149 LGU983149 LQQ983149 MAM983149 MKI983149 MUE983149 NEA983149 NNW983149 NXS983149 OHO983149 ORK983149 PBG983149 PLC983149 PUY983149 QEU983149 QOQ983149 QYM983149 RII983149 RSE983149 SCA983149 SLW983149 SVS983149 TFO983149 TPK983149 TZG983149 UJC983149 USY983149 VCU983149 VMQ983149 VWM983149 WGI983149 WQE983149 DS65684 NO65684 XK65684 AHG65684 ARC65684 BAY65684 BKU65684 BUQ65684 CEM65684 COI65684 CYE65684 DIA65684 DRW65684 EBS65684 ELO65684 EVK65684 FFG65684 FPC65684 FYY65684 GIU65684 GSQ65684 HCM65684 HMI65684 HWE65684 IGA65684 IPW65684 IZS65684 JJO65684 JTK65684 KDG65684 KNC65684 KWY65684 LGU65684 LQQ65684 MAM65684 MKI65684 MUE65684 NEA65684 NNW65684 NXS65684 OHO65684 ORK65684 PBG65684 PLC65684 PUY65684 QEU65684 QOQ65684 QYM65684 RII65684 RSE65684 SCA65684 SLW65684 SVS65684 TFO65684 TPK65684 TZG65684 UJC65684 USY65684 VCU65684 VMQ65684 VWM65684 WGI65684 WQE65684 DS131220 NO131220 XK131220 AHG131220 ARC131220 BAY131220 BKU131220 BUQ131220 CEM131220 COI131220 CYE131220 DIA131220 DRW131220 EBS131220 ELO131220 EVK131220 FFG131220 FPC131220 FYY131220 GIU131220 GSQ131220 HCM131220 HMI131220 HWE131220 IGA131220 IPW131220 IZS131220 JJO131220 JTK131220 KDG131220 KNC131220 KWY131220 LGU131220 LQQ131220 MAM131220 MKI131220 MUE131220 NEA131220 NNW131220 NXS131220 OHO131220 ORK131220 PBG131220 PLC131220 PUY131220 QEU131220 QOQ131220 QYM131220 RII131220 RSE131220 SCA131220 SLW131220 SVS131220 TFO131220 TPK131220 TZG131220 UJC131220 USY131220 VCU131220 VMQ131220 VWM131220 WGI131220 WQE131220 DS196756 NO196756 XK196756 AHG196756 ARC196756 BAY196756 BKU196756 BUQ196756 CEM196756 COI196756 CYE196756 DIA196756 DRW196756 EBS196756 ELO196756 EVK196756 FFG196756 FPC196756 FYY196756 GIU196756 GSQ196756 HCM196756 HMI196756 HWE196756 IGA196756 IPW196756 IZS196756 JJO196756 JTK196756 KDG196756 KNC196756 KWY196756 LGU196756 LQQ196756 MAM196756 MKI196756 MUE196756 NEA196756 NNW196756 NXS196756 OHO196756 ORK196756 PBG196756 PLC196756 PUY196756 QEU196756 QOQ196756 QYM196756 RII196756 RSE196756 SCA196756 SLW196756 SVS196756 TFO196756 TPK196756 TZG196756 UJC196756 USY196756 VCU196756 VMQ196756 VWM196756 WGI196756 WQE196756 DS262292 NO262292 XK262292 AHG262292 ARC262292 BAY262292 BKU262292 BUQ262292 CEM262292 COI262292 CYE262292 DIA262292 DRW262292 EBS262292 ELO262292 EVK262292 FFG262292 FPC262292 FYY262292 GIU262292 GSQ262292 HCM262292 HMI262292 HWE262292 IGA262292 IPW262292 IZS262292 JJO262292 JTK262292 KDG262292 KNC262292 KWY262292 LGU262292 LQQ262292 MAM262292 MKI262292 MUE262292 NEA262292 NNW262292 NXS262292 OHO262292 ORK262292 PBG262292 PLC262292 PUY262292 QEU262292 QOQ262292 QYM262292 RII262292 RSE262292 SCA262292 SLW262292 SVS262292 TFO262292 TPK262292 TZG262292 UJC262292 USY262292 VCU262292 VMQ262292 VWM262292 WGI262292 WQE262292 DS327828 NO327828 XK327828 AHG327828 ARC327828 BAY327828 BKU327828 BUQ327828 CEM327828 COI327828 CYE327828 DIA327828 DRW327828 EBS327828 ELO327828 EVK327828 FFG327828 FPC327828 FYY327828 GIU327828 GSQ327828 HCM327828 HMI327828 HWE327828 IGA327828 IPW327828 IZS327828 JJO327828 JTK327828 KDG327828 KNC327828 KWY327828 LGU327828 LQQ327828 MAM327828 MKI327828 MUE327828 NEA327828 NNW327828 NXS327828 OHO327828 ORK327828 PBG327828 PLC327828 PUY327828 QEU327828 QOQ327828 QYM327828 RII327828 RSE327828 SCA327828 SLW327828 SVS327828 TFO327828 TPK327828 TZG327828 UJC327828 USY327828 VCU327828 VMQ327828 VWM327828 WGI327828 WQE327828 DS393364 NO393364 XK393364 AHG393364 ARC393364 BAY393364 BKU393364 BUQ393364 CEM393364 COI393364 CYE393364 DIA393364 DRW393364 EBS393364 ELO393364 EVK393364 FFG393364 FPC393364 FYY393364 GIU393364 GSQ393364 HCM393364 HMI393364 HWE393364 IGA393364 IPW393364 IZS393364 JJO393364 JTK393364 KDG393364 KNC393364 KWY393364 LGU393364 LQQ393364 MAM393364 MKI393364 MUE393364 NEA393364 NNW393364 NXS393364 OHO393364 ORK393364 PBG393364 PLC393364 PUY393364 QEU393364 QOQ393364 QYM393364 RII393364 RSE393364 SCA393364 SLW393364 SVS393364 TFO393364 TPK393364 TZG393364 UJC393364 USY393364 VCU393364 VMQ393364 VWM393364 WGI393364 WQE393364 DS458900 NO458900 XK458900 AHG458900 ARC458900 BAY458900 BKU458900 BUQ458900 CEM458900 COI458900 CYE458900 DIA458900 DRW458900 EBS458900 ELO458900 EVK458900 FFG458900 FPC458900 FYY458900 GIU458900 GSQ458900 HCM458900 HMI458900 HWE458900 IGA458900 IPW458900 IZS458900 JJO458900 JTK458900 KDG458900 KNC458900 KWY458900 LGU458900 LQQ458900 MAM458900 MKI458900 MUE458900 NEA458900 NNW458900 NXS458900 OHO458900 ORK458900 PBG458900 PLC458900 PUY458900 QEU458900 QOQ458900 QYM458900 RII458900 RSE458900 SCA458900 SLW458900 SVS458900 TFO458900 TPK458900 TZG458900 UJC458900 USY458900 VCU458900 VMQ458900 VWM458900 WGI458900 WQE458900 DS524436 NO524436 XK524436 AHG524436 ARC524436 BAY524436 BKU524436 BUQ524436 CEM524436 COI524436 CYE524436 DIA524436 DRW524436 EBS524436 ELO524436 EVK524436 FFG524436 FPC524436 FYY524436 GIU524436 GSQ524436 HCM524436 HMI524436 HWE524436 IGA524436 IPW524436 IZS524436 JJO524436 JTK524436 KDG524436 KNC524436 KWY524436 LGU524436 LQQ524436 MAM524436 MKI524436 MUE524436 NEA524436 NNW524436 NXS524436 OHO524436 ORK524436 PBG524436 PLC524436 PUY524436 QEU524436 QOQ524436 QYM524436 RII524436 RSE524436 SCA524436 SLW524436 SVS524436 TFO524436 TPK524436 TZG524436 UJC524436 USY524436 VCU524436 VMQ524436 VWM524436 WGI524436 WQE524436 DS589972 NO589972 XK589972 AHG589972 ARC589972 BAY589972 BKU589972 BUQ589972 CEM589972 COI589972 CYE589972 DIA589972 DRW589972 EBS589972 ELO589972 EVK589972 FFG589972 FPC589972 FYY589972 GIU589972 GSQ589972 HCM589972 HMI589972 HWE589972 IGA589972 IPW589972 IZS589972 JJO589972 JTK589972 KDG589972 KNC589972 KWY589972 LGU589972 LQQ589972 MAM589972 MKI589972 MUE589972 NEA589972 NNW589972 NXS589972 OHO589972 ORK589972 PBG589972 PLC589972 PUY589972 QEU589972 QOQ589972 QYM589972 RII589972 RSE589972 SCA589972 SLW589972 SVS589972 TFO589972 TPK589972 TZG589972 UJC589972 USY589972 VCU589972 VMQ589972 VWM589972 WGI589972 WQE589972 DS655508 NO655508 XK655508 AHG655508 ARC655508 BAY655508 BKU655508 BUQ655508 CEM655508 COI655508 CYE655508 DIA655508 DRW655508 EBS655508 ELO655508 EVK655508 FFG655508 FPC655508 FYY655508 GIU655508 GSQ655508 HCM655508 HMI655508 HWE655508 IGA655508 IPW655508 IZS655508 JJO655508 JTK655508 KDG655508 KNC655508 KWY655508 LGU655508 LQQ655508 MAM655508 MKI655508 MUE655508 NEA655508 NNW655508 NXS655508 OHO655508 ORK655508 PBG655508 PLC655508 PUY655508 QEU655508 QOQ655508 QYM655508 RII655508 RSE655508 SCA655508 SLW655508 SVS655508 TFO655508 TPK655508 TZG655508 UJC655508 USY655508 VCU655508 VMQ655508 VWM655508 WGI655508 WQE655508 DS721044 NO721044 XK721044 AHG721044 ARC721044 BAY721044 BKU721044 BUQ721044 CEM721044 COI721044 CYE721044 DIA721044 DRW721044 EBS721044 ELO721044 EVK721044 FFG721044 FPC721044 FYY721044 GIU721044 GSQ721044 HCM721044 HMI721044 HWE721044 IGA721044 IPW721044 IZS721044 JJO721044 JTK721044 KDG721044 KNC721044 KWY721044 LGU721044 LQQ721044 MAM721044 MKI721044 MUE721044 NEA721044 NNW721044 NXS721044 OHO721044 ORK721044 PBG721044 PLC721044 PUY721044 QEU721044 QOQ721044 QYM721044 RII721044 RSE721044 SCA721044 SLW721044 SVS721044 TFO721044 TPK721044 TZG721044 UJC721044 USY721044 VCU721044 VMQ721044 VWM721044 WGI721044 WQE721044 DS786580 NO786580 XK786580 AHG786580 ARC786580 BAY786580 BKU786580 BUQ786580 CEM786580 COI786580 CYE786580 DIA786580 DRW786580 EBS786580 ELO786580 EVK786580 FFG786580 FPC786580 FYY786580 GIU786580 GSQ786580 HCM786580 HMI786580 HWE786580 IGA786580 IPW786580 IZS786580 JJO786580 JTK786580 KDG786580 KNC786580 KWY786580 LGU786580 LQQ786580 MAM786580 MKI786580 MUE786580 NEA786580 NNW786580 NXS786580 OHO786580 ORK786580 PBG786580 PLC786580 PUY786580 QEU786580 QOQ786580 QYM786580 RII786580 RSE786580 SCA786580 SLW786580 SVS786580 TFO786580 TPK786580 TZG786580 UJC786580 USY786580 VCU786580 VMQ786580 VWM786580 WGI786580 WQE786580 DS852116 NO852116 XK852116 AHG852116 ARC852116 BAY852116 BKU852116 BUQ852116 CEM852116 COI852116 CYE852116 DIA852116 DRW852116 EBS852116 ELO852116 EVK852116 FFG852116 FPC852116 FYY852116 GIU852116 GSQ852116 HCM852116 HMI852116 HWE852116 IGA852116 IPW852116 IZS852116 JJO852116 JTK852116 KDG852116 KNC852116 KWY852116 LGU852116 LQQ852116 MAM852116 MKI852116 MUE852116 NEA852116 NNW852116 NXS852116 OHO852116 ORK852116 PBG852116 PLC852116 PUY852116 QEU852116 QOQ852116 QYM852116 RII852116 RSE852116 SCA852116 SLW852116 SVS852116 TFO852116 TPK852116 TZG852116 UJC852116 USY852116 VCU852116 VMQ852116 VWM852116 WGI852116 WQE852116 DS917652 NO917652 XK917652 AHG917652 ARC917652 BAY917652 BKU917652 BUQ917652 CEM917652 COI917652 CYE917652 DIA917652 DRW917652 EBS917652 ELO917652 EVK917652 FFG917652 FPC917652 FYY917652 GIU917652 GSQ917652 HCM917652 HMI917652 HWE917652 IGA917652 IPW917652 IZS917652 JJO917652 JTK917652 KDG917652 KNC917652 KWY917652 LGU917652 LQQ917652 MAM917652 MKI917652 MUE917652 NEA917652 NNW917652 NXS917652 OHO917652 ORK917652 PBG917652 PLC917652 PUY917652 QEU917652 QOQ917652 QYM917652 RII917652 RSE917652 SCA917652 SLW917652 SVS917652 TFO917652 TPK917652 TZG917652 UJC917652 USY917652 VCU917652 VMQ917652 VWM917652 WGI917652 WQE917652 DS983188 NO983188 XK983188 AHG983188 ARC983188 BAY983188 BKU983188 BUQ983188 CEM983188 COI983188 CYE983188 DIA983188 DRW983188 EBS983188 ELO983188 EVK983188 FFG983188 FPC983188 FYY983188 GIU983188 GSQ983188 HCM983188 HMI983188 HWE983188 IGA983188 IPW983188 IZS983188 JJO983188 JTK983188 KDG983188 KNC983188 KWY983188 LGU983188 LQQ983188 MAM983188 MKI983188 MUE983188 NEA983188 NNW983188 NXS983188 OHO983188 ORK983188 PBG983188 PLC983188 PUY983188 QEU983188 QOQ983188 QYM983188 RII983188 RSE983188 SCA983188 SLW983188 SVS983188 TFO983188 TPK983188 TZG983188 UJC983188 USY983188 VCU983188 VMQ983188 VWM983188 WGI983188 WQE983188 DS65672 NO65672 XK65672 AHG65672 ARC65672 BAY65672 BKU65672 BUQ65672 CEM65672 COI65672 CYE65672 DIA65672 DRW65672 EBS65672 ELO65672 EVK65672 FFG65672 FPC65672 FYY65672 GIU65672 GSQ65672 HCM65672 HMI65672 HWE65672 IGA65672 IPW65672 IZS65672 JJO65672 JTK65672 KDG65672 KNC65672 KWY65672 LGU65672 LQQ65672 MAM65672 MKI65672 MUE65672 NEA65672 NNW65672 NXS65672 OHO65672 ORK65672 PBG65672 PLC65672 PUY65672 QEU65672 QOQ65672 QYM65672 RII65672 RSE65672 SCA65672 SLW65672 SVS65672 TFO65672 TPK65672 TZG65672 UJC65672 USY65672 VCU65672 VMQ65672 VWM65672 WGI65672 WQE65672 DS131208 NO131208 XK131208 AHG131208 ARC131208 BAY131208 BKU131208 BUQ131208 CEM131208 COI131208 CYE131208 DIA131208 DRW131208 EBS131208 ELO131208 EVK131208 FFG131208 FPC131208 FYY131208 GIU131208 GSQ131208 HCM131208 HMI131208 HWE131208 IGA131208 IPW131208 IZS131208 JJO131208 JTK131208 KDG131208 KNC131208 KWY131208 LGU131208 LQQ131208 MAM131208 MKI131208 MUE131208 NEA131208 NNW131208 NXS131208 OHO131208 ORK131208 PBG131208 PLC131208 PUY131208 QEU131208 QOQ131208 QYM131208 RII131208 RSE131208 SCA131208 SLW131208 SVS131208 TFO131208 TPK131208 TZG131208 UJC131208 USY131208 VCU131208 VMQ131208 VWM131208 WGI131208 WQE131208 DS196744 NO196744 XK196744 AHG196744 ARC196744 BAY196744 BKU196744 BUQ196744 CEM196744 COI196744 CYE196744 DIA196744 DRW196744 EBS196744 ELO196744 EVK196744 FFG196744 FPC196744 FYY196744 GIU196744 GSQ196744 HCM196744 HMI196744 HWE196744 IGA196744 IPW196744 IZS196744 JJO196744 JTK196744 KDG196744 KNC196744 KWY196744 LGU196744 LQQ196744 MAM196744 MKI196744 MUE196744 NEA196744 NNW196744 NXS196744 OHO196744 ORK196744 PBG196744 PLC196744 PUY196744 QEU196744 QOQ196744 QYM196744 RII196744 RSE196744 SCA196744 SLW196744 SVS196744 TFO196744 TPK196744 TZG196744 UJC196744 USY196744 VCU196744 VMQ196744 VWM196744 WGI196744 WQE196744 DS262280 NO262280 XK262280 AHG262280 ARC262280 BAY262280 BKU262280 BUQ262280 CEM262280 COI262280 CYE262280 DIA262280 DRW262280 EBS262280 ELO262280 EVK262280 FFG262280 FPC262280 FYY262280 GIU262280 GSQ262280 HCM262280 HMI262280 HWE262280 IGA262280 IPW262280 IZS262280 JJO262280 JTK262280 KDG262280 KNC262280 KWY262280 LGU262280 LQQ262280 MAM262280 MKI262280 MUE262280 NEA262280 NNW262280 NXS262280 OHO262280 ORK262280 PBG262280 PLC262280 PUY262280 QEU262280 QOQ262280 QYM262280 RII262280 RSE262280 SCA262280 SLW262280 SVS262280 TFO262280 TPK262280 TZG262280 UJC262280 USY262280 VCU262280 VMQ262280 VWM262280 WGI262280 WQE262280 DS327816 NO327816 XK327816 AHG327816 ARC327816 BAY327816 BKU327816 BUQ327816 CEM327816 COI327816 CYE327816 DIA327816 DRW327816 EBS327816 ELO327816 EVK327816 FFG327816 FPC327816 FYY327816 GIU327816 GSQ327816 HCM327816 HMI327816 HWE327816 IGA327816 IPW327816 IZS327816 JJO327816 JTK327816 KDG327816 KNC327816 KWY327816 LGU327816 LQQ327816 MAM327816 MKI327816 MUE327816 NEA327816 NNW327816 NXS327816 OHO327816 ORK327816 PBG327816 PLC327816 PUY327816 QEU327816 QOQ327816 QYM327816 RII327816 RSE327816 SCA327816 SLW327816 SVS327816 TFO327816 TPK327816 TZG327816 UJC327816 USY327816 VCU327816 VMQ327816 VWM327816 WGI327816 WQE327816 DS393352 NO393352 XK393352 AHG393352 ARC393352 BAY393352 BKU393352 BUQ393352 CEM393352 COI393352 CYE393352 DIA393352 DRW393352 EBS393352 ELO393352 EVK393352 FFG393352 FPC393352 FYY393352 GIU393352 GSQ393352 HCM393352 HMI393352 HWE393352 IGA393352 IPW393352 IZS393352 JJO393352 JTK393352 KDG393352 KNC393352 KWY393352 LGU393352 LQQ393352 MAM393352 MKI393352 MUE393352 NEA393352 NNW393352 NXS393352 OHO393352 ORK393352 PBG393352 PLC393352 PUY393352 QEU393352 QOQ393352 QYM393352 RII393352 RSE393352 SCA393352 SLW393352 SVS393352 TFO393352 TPK393352 TZG393352 UJC393352 USY393352 VCU393352 VMQ393352 VWM393352 WGI393352 WQE393352 DS458888 NO458888 XK458888 AHG458888 ARC458888 BAY458888 BKU458888 BUQ458888 CEM458888 COI458888 CYE458888 DIA458888 DRW458888 EBS458888 ELO458888 EVK458888 FFG458888 FPC458888 FYY458888 GIU458888 GSQ458888 HCM458888 HMI458888 HWE458888 IGA458888 IPW458888 IZS458888 JJO458888 JTK458888 KDG458888 KNC458888 KWY458888 LGU458888 LQQ458888 MAM458888 MKI458888 MUE458888 NEA458888 NNW458888 NXS458888 OHO458888 ORK458888 PBG458888 PLC458888 PUY458888 QEU458888 QOQ458888 QYM458888 RII458888 RSE458888 SCA458888 SLW458888 SVS458888 TFO458888 TPK458888 TZG458888 UJC458888 USY458888 VCU458888 VMQ458888 VWM458888 WGI458888 WQE458888 DS524424 NO524424 XK524424 AHG524424 ARC524424 BAY524424 BKU524424 BUQ524424 CEM524424 COI524424 CYE524424 DIA524424 DRW524424 EBS524424 ELO524424 EVK524424 FFG524424 FPC524424 FYY524424 GIU524424 GSQ524424 HCM524424 HMI524424 HWE524424 IGA524424 IPW524424 IZS524424 JJO524424 JTK524424 KDG524424 KNC524424 KWY524424 LGU524424 LQQ524424 MAM524424 MKI524424 MUE524424 NEA524424 NNW524424 NXS524424 OHO524424 ORK524424 PBG524424 PLC524424 PUY524424 QEU524424 QOQ524424 QYM524424 RII524424 RSE524424 SCA524424 SLW524424 SVS524424 TFO524424 TPK524424 TZG524424 UJC524424 USY524424 VCU524424 VMQ524424 VWM524424 WGI524424 WQE524424 DS589960 NO589960 XK589960 AHG589960 ARC589960 BAY589960 BKU589960 BUQ589960 CEM589960 COI589960 CYE589960 DIA589960 DRW589960 EBS589960 ELO589960 EVK589960 FFG589960 FPC589960 FYY589960 GIU589960 GSQ589960 HCM589960 HMI589960 HWE589960 IGA589960 IPW589960 IZS589960 JJO589960 JTK589960 KDG589960 KNC589960 KWY589960 LGU589960 LQQ589960 MAM589960 MKI589960 MUE589960 NEA589960 NNW589960 NXS589960 OHO589960 ORK589960 PBG589960 PLC589960 PUY589960 QEU589960 QOQ589960 QYM589960 RII589960 RSE589960 SCA589960 SLW589960 SVS589960 TFO589960 TPK589960 TZG589960 UJC589960 USY589960 VCU589960 VMQ589960 VWM589960 WGI589960 WQE589960 DS655496 NO655496 XK655496 AHG655496 ARC655496 BAY655496 BKU655496 BUQ655496 CEM655496 COI655496 CYE655496 DIA655496 DRW655496 EBS655496 ELO655496 EVK655496 FFG655496 FPC655496 FYY655496 GIU655496 GSQ655496 HCM655496 HMI655496 HWE655496 IGA655496 IPW655496 IZS655496 JJO655496 JTK655496 KDG655496 KNC655496 KWY655496 LGU655496 LQQ655496 MAM655496 MKI655496 MUE655496 NEA655496 NNW655496 NXS655496 OHO655496 ORK655496 PBG655496 PLC655496 PUY655496 QEU655496 QOQ655496 QYM655496 RII655496 RSE655496 SCA655496 SLW655496 SVS655496 TFO655496 TPK655496 TZG655496 UJC655496 USY655496 VCU655496 VMQ655496 VWM655496 WGI655496 WQE655496 DS721032 NO721032 XK721032 AHG721032 ARC721032 BAY721032 BKU721032 BUQ721032 CEM721032 COI721032 CYE721032 DIA721032 DRW721032 EBS721032 ELO721032 EVK721032 FFG721032 FPC721032 FYY721032 GIU721032 GSQ721032 HCM721032 HMI721032 HWE721032 IGA721032 IPW721032 IZS721032 JJO721032 JTK721032 KDG721032 KNC721032 KWY721032 LGU721032 LQQ721032 MAM721032 MKI721032 MUE721032 NEA721032 NNW721032 NXS721032 OHO721032 ORK721032 PBG721032 PLC721032 PUY721032 QEU721032 QOQ721032 QYM721032 RII721032 RSE721032 SCA721032 SLW721032 SVS721032 TFO721032 TPK721032 TZG721032 UJC721032 USY721032 VCU721032 VMQ721032 VWM721032 WGI721032 WQE721032 DS786568 NO786568 XK786568 AHG786568 ARC786568 BAY786568 BKU786568 BUQ786568 CEM786568 COI786568 CYE786568 DIA786568 DRW786568 EBS786568 ELO786568 EVK786568 FFG786568 FPC786568 FYY786568 GIU786568 GSQ786568 HCM786568 HMI786568 HWE786568 IGA786568 IPW786568 IZS786568 JJO786568 JTK786568 KDG786568 KNC786568 KWY786568 LGU786568 LQQ786568 MAM786568 MKI786568 MUE786568 NEA786568 NNW786568 NXS786568 OHO786568 ORK786568 PBG786568 PLC786568 PUY786568 QEU786568 QOQ786568 QYM786568 RII786568 RSE786568 SCA786568 SLW786568 SVS786568 TFO786568 TPK786568 TZG786568 UJC786568 USY786568 VCU786568 VMQ786568 VWM786568 WGI786568 WQE786568 DS852104 NO852104 XK852104 AHG852104 ARC852104 BAY852104 BKU852104 BUQ852104 CEM852104 COI852104 CYE852104 DIA852104 DRW852104 EBS852104 ELO852104 EVK852104 FFG852104 FPC852104 FYY852104 GIU852104 GSQ852104 HCM852104 HMI852104 HWE852104 IGA852104 IPW852104 IZS852104 JJO852104 JTK852104 KDG852104 KNC852104 KWY852104 LGU852104 LQQ852104 MAM852104 MKI852104 MUE852104 NEA852104 NNW852104 NXS852104 OHO852104 ORK852104 PBG852104 PLC852104 PUY852104 QEU852104 QOQ852104 QYM852104 RII852104 RSE852104 SCA852104 SLW852104 SVS852104 TFO852104 TPK852104 TZG852104 UJC852104 USY852104 VCU852104 VMQ852104 VWM852104 WGI852104 WQE852104 DS917640 NO917640 XK917640 AHG917640 ARC917640 BAY917640 BKU917640 BUQ917640 CEM917640 COI917640 CYE917640 DIA917640 DRW917640 EBS917640 ELO917640 EVK917640 FFG917640 FPC917640 FYY917640 GIU917640 GSQ917640 HCM917640 HMI917640 HWE917640 IGA917640 IPW917640 IZS917640 JJO917640 JTK917640 KDG917640 KNC917640 KWY917640 LGU917640 LQQ917640 MAM917640 MKI917640 MUE917640 NEA917640 NNW917640 NXS917640 OHO917640 ORK917640 PBG917640 PLC917640 PUY917640 QEU917640 QOQ917640 QYM917640 RII917640 RSE917640 SCA917640 SLW917640 SVS917640 TFO917640 TPK917640 TZG917640 UJC917640 USY917640 VCU917640 VMQ917640 VWM917640 WGI917640 WQE917640 DS983176 NO983176 XK983176 AHG983176 ARC983176 BAY983176 BKU983176 BUQ983176 CEM983176 COI983176 CYE983176 DIA983176 DRW983176 EBS983176 ELO983176 EVK983176 FFG983176 FPC983176 FYY983176 GIU983176 GSQ983176 HCM983176 HMI983176 HWE983176 IGA983176 IPW983176 IZS983176 JJO983176 JTK983176 KDG983176 KNC983176 KWY983176 LGU983176 LQQ983176 MAM983176 MKI983176 MUE983176 NEA983176 NNW983176 NXS983176 OHO983176 ORK983176 PBG983176 PLC983176 PUY983176 QEU983176 QOQ983176 QYM983176 RII983176 RSE983176 SCA983176 SLW983176 SVS983176 TFO983176 TPK983176 TZG983176 UJC983176 USY983176 VCU983176 VMQ983176 VWM983176 WGI983176 WQE983176 DS65703 NO65703 XK65703 AHG65703 ARC65703 BAY65703 BKU65703 BUQ65703 CEM65703 COI65703 CYE65703 DIA65703 DRW65703 EBS65703 ELO65703 EVK65703 FFG65703 FPC65703 FYY65703 GIU65703 GSQ65703 HCM65703 HMI65703 HWE65703 IGA65703 IPW65703 IZS65703 JJO65703 JTK65703 KDG65703 KNC65703 KWY65703 LGU65703 LQQ65703 MAM65703 MKI65703 MUE65703 NEA65703 NNW65703 NXS65703 OHO65703 ORK65703 PBG65703 PLC65703 PUY65703 QEU65703 QOQ65703 QYM65703 RII65703 RSE65703 SCA65703 SLW65703 SVS65703 TFO65703 TPK65703 TZG65703 UJC65703 USY65703 VCU65703 VMQ65703 VWM65703 WGI65703 WQE65703 DS131239 NO131239 XK131239 AHG131239 ARC131239 BAY131239 BKU131239 BUQ131239 CEM131239 COI131239 CYE131239 DIA131239 DRW131239 EBS131239 ELO131239 EVK131239 FFG131239 FPC131239 FYY131239 GIU131239 GSQ131239 HCM131239 HMI131239 HWE131239 IGA131239 IPW131239 IZS131239 JJO131239 JTK131239 KDG131239 KNC131239 KWY131239 LGU131239 LQQ131239 MAM131239 MKI131239 MUE131239 NEA131239 NNW131239 NXS131239 OHO131239 ORK131239 PBG131239 PLC131239 PUY131239 QEU131239 QOQ131239 QYM131239 RII131239 RSE131239 SCA131239 SLW131239 SVS131239 TFO131239 TPK131239 TZG131239 UJC131239 USY131239 VCU131239 VMQ131239 VWM131239 WGI131239 WQE131239 DS196775 NO196775 XK196775 AHG196775 ARC196775 BAY196775 BKU196775 BUQ196775 CEM196775 COI196775 CYE196775 DIA196775 DRW196775 EBS196775 ELO196775 EVK196775 FFG196775 FPC196775 FYY196775 GIU196775 GSQ196775 HCM196775 HMI196775 HWE196775 IGA196775 IPW196775 IZS196775 JJO196775 JTK196775 KDG196775 KNC196775 KWY196775 LGU196775 LQQ196775 MAM196775 MKI196775 MUE196775 NEA196775 NNW196775 NXS196775 OHO196775 ORK196775 PBG196775 PLC196775 PUY196775 QEU196775 QOQ196775 QYM196775 RII196775 RSE196775 SCA196775 SLW196775 SVS196775 TFO196775 TPK196775 TZG196775 UJC196775 USY196775 VCU196775 VMQ196775 VWM196775 WGI196775 WQE196775 DS262311 NO262311 XK262311 AHG262311 ARC262311 BAY262311 BKU262311 BUQ262311 CEM262311 COI262311 CYE262311 DIA262311 DRW262311 EBS262311 ELO262311 EVK262311 FFG262311 FPC262311 FYY262311 GIU262311 GSQ262311 HCM262311 HMI262311 HWE262311 IGA262311 IPW262311 IZS262311 JJO262311 JTK262311 KDG262311 KNC262311 KWY262311 LGU262311 LQQ262311 MAM262311 MKI262311 MUE262311 NEA262311 NNW262311 NXS262311 OHO262311 ORK262311 PBG262311 PLC262311 PUY262311 QEU262311 QOQ262311 QYM262311 RII262311 RSE262311 SCA262311 SLW262311 SVS262311 TFO262311 TPK262311 TZG262311 UJC262311 USY262311 VCU262311 VMQ262311 VWM262311 WGI262311 WQE262311 DS327847 NO327847 XK327847 AHG327847 ARC327847 BAY327847 BKU327847 BUQ327847 CEM327847 COI327847 CYE327847 DIA327847 DRW327847 EBS327847 ELO327847 EVK327847 FFG327847 FPC327847 FYY327847 GIU327847 GSQ327847 HCM327847 HMI327847 HWE327847 IGA327847 IPW327847 IZS327847 JJO327847 JTK327847 KDG327847 KNC327847 KWY327847 LGU327847 LQQ327847 MAM327847 MKI327847 MUE327847 NEA327847 NNW327847 NXS327847 OHO327847 ORK327847 PBG327847 PLC327847 PUY327847 QEU327847 QOQ327847 QYM327847 RII327847 RSE327847 SCA327847 SLW327847 SVS327847 TFO327847 TPK327847 TZG327847 UJC327847 USY327847 VCU327847 VMQ327847 VWM327847 WGI327847 WQE327847 DS393383 NO393383 XK393383 AHG393383 ARC393383 BAY393383 BKU393383 BUQ393383 CEM393383 COI393383 CYE393383 DIA393383 DRW393383 EBS393383 ELO393383 EVK393383 FFG393383 FPC393383 FYY393383 GIU393383 GSQ393383 HCM393383 HMI393383 HWE393383 IGA393383 IPW393383 IZS393383 JJO393383 JTK393383 KDG393383 KNC393383 KWY393383 LGU393383 LQQ393383 MAM393383 MKI393383 MUE393383 NEA393383 NNW393383 NXS393383 OHO393383 ORK393383 PBG393383 PLC393383 PUY393383 QEU393383 QOQ393383 QYM393383 RII393383 RSE393383 SCA393383 SLW393383 SVS393383 TFO393383 TPK393383 TZG393383 UJC393383 USY393383 VCU393383 VMQ393383 VWM393383 WGI393383 WQE393383 DS458919 NO458919 XK458919 AHG458919 ARC458919 BAY458919 BKU458919 BUQ458919 CEM458919 COI458919 CYE458919 DIA458919 DRW458919 EBS458919 ELO458919 EVK458919 FFG458919 FPC458919 FYY458919 GIU458919 GSQ458919 HCM458919 HMI458919 HWE458919 IGA458919 IPW458919 IZS458919 JJO458919 JTK458919 KDG458919 KNC458919 KWY458919 LGU458919 LQQ458919 MAM458919 MKI458919 MUE458919 NEA458919 NNW458919 NXS458919 OHO458919 ORK458919 PBG458919 PLC458919 PUY458919 QEU458919 QOQ458919 QYM458919 RII458919 RSE458919 SCA458919 SLW458919 SVS458919 TFO458919 TPK458919 TZG458919 UJC458919 USY458919 VCU458919 VMQ458919 VWM458919 WGI458919 WQE458919 DS524455 NO524455 XK524455 AHG524455 ARC524455 BAY524455 BKU524455 BUQ524455 CEM524455 COI524455 CYE524455 DIA524455 DRW524455 EBS524455 ELO524455 EVK524455 FFG524455 FPC524455 FYY524455 GIU524455 GSQ524455 HCM524455 HMI524455 HWE524455 IGA524455 IPW524455 IZS524455 JJO524455 JTK524455 KDG524455 KNC524455 KWY524455 LGU524455 LQQ524455 MAM524455 MKI524455 MUE524455 NEA524455 NNW524455 NXS524455 OHO524455 ORK524455 PBG524455 PLC524455 PUY524455 QEU524455 QOQ524455 QYM524455 RII524455 RSE524455 SCA524455 SLW524455 SVS524455 TFO524455 TPK524455 TZG524455 UJC524455 USY524455 VCU524455 VMQ524455 VWM524455 WGI524455 WQE524455 DS589991 NO589991 XK589991 AHG589991 ARC589991 BAY589991 BKU589991 BUQ589991 CEM589991 COI589991 CYE589991 DIA589991 DRW589991 EBS589991 ELO589991 EVK589991 FFG589991 FPC589991 FYY589991 GIU589991 GSQ589991 HCM589991 HMI589991 HWE589991 IGA589991 IPW589991 IZS589991 JJO589991 JTK589991 KDG589991 KNC589991 KWY589991 LGU589991 LQQ589991 MAM589991 MKI589991 MUE589991 NEA589991 NNW589991 NXS589991 OHO589991 ORK589991 PBG589991 PLC589991 PUY589991 QEU589991 QOQ589991 QYM589991 RII589991 RSE589991 SCA589991 SLW589991 SVS589991 TFO589991 TPK589991 TZG589991 UJC589991 USY589991 VCU589991 VMQ589991 VWM589991 WGI589991 WQE589991 DS655527 NO655527 XK655527 AHG655527 ARC655527 BAY655527 BKU655527 BUQ655527 CEM655527 COI655527 CYE655527 DIA655527 DRW655527 EBS655527 ELO655527 EVK655527 FFG655527 FPC655527 FYY655527 GIU655527 GSQ655527 HCM655527 HMI655527 HWE655527 IGA655527 IPW655527 IZS655527 JJO655527 JTK655527 KDG655527 KNC655527 KWY655527 LGU655527 LQQ655527 MAM655527 MKI655527 MUE655527 NEA655527 NNW655527 NXS655527 OHO655527 ORK655527 PBG655527 PLC655527 PUY655527 QEU655527 QOQ655527 QYM655527 RII655527 RSE655527 SCA655527 SLW655527 SVS655527 TFO655527 TPK655527 TZG655527 UJC655527 USY655527 VCU655527 VMQ655527 VWM655527 WGI655527 WQE655527 DS721063 NO721063 XK721063 AHG721063 ARC721063 BAY721063 BKU721063 BUQ721063 CEM721063 COI721063 CYE721063 DIA721063 DRW721063 EBS721063 ELO721063 EVK721063 FFG721063 FPC721063 FYY721063 GIU721063 GSQ721063 HCM721063 HMI721063 HWE721063 IGA721063 IPW721063 IZS721063 JJO721063 JTK721063 KDG721063 KNC721063 KWY721063 LGU721063 LQQ721063 MAM721063 MKI721063 MUE721063 NEA721063 NNW721063 NXS721063 OHO721063 ORK721063 PBG721063 PLC721063 PUY721063 QEU721063 QOQ721063 QYM721063 RII721063 RSE721063 SCA721063 SLW721063 SVS721063 TFO721063 TPK721063 TZG721063 UJC721063 USY721063 VCU721063 VMQ721063 VWM721063 WGI721063 WQE721063 DS786599 NO786599 XK786599 AHG786599 ARC786599 BAY786599 BKU786599 BUQ786599 CEM786599 COI786599 CYE786599 DIA786599 DRW786599 EBS786599 ELO786599 EVK786599 FFG786599 FPC786599 FYY786599 GIU786599 GSQ786599 HCM786599 HMI786599 HWE786599 IGA786599 IPW786599 IZS786599 JJO786599 JTK786599 KDG786599 KNC786599 KWY786599 LGU786599 LQQ786599 MAM786599 MKI786599 MUE786599 NEA786599 NNW786599 NXS786599 OHO786599 ORK786599 PBG786599 PLC786599 PUY786599 QEU786599 QOQ786599 QYM786599 RII786599 RSE786599 SCA786599 SLW786599 SVS786599 TFO786599 TPK786599 TZG786599 UJC786599 USY786599 VCU786599 VMQ786599 VWM786599 WGI786599 WQE786599 DS852135 NO852135 XK852135 AHG852135 ARC852135 BAY852135 BKU852135 BUQ852135 CEM852135 COI852135 CYE852135 DIA852135 DRW852135 EBS852135 ELO852135 EVK852135 FFG852135 FPC852135 FYY852135 GIU852135 GSQ852135 HCM852135 HMI852135 HWE852135 IGA852135 IPW852135 IZS852135 JJO852135 JTK852135 KDG852135 KNC852135 KWY852135 LGU852135 LQQ852135 MAM852135 MKI852135 MUE852135 NEA852135 NNW852135 NXS852135 OHO852135 ORK852135 PBG852135 PLC852135 PUY852135 QEU852135 QOQ852135 QYM852135 RII852135 RSE852135 SCA852135 SLW852135 SVS852135 TFO852135 TPK852135 TZG852135 UJC852135 USY852135 VCU852135 VMQ852135 VWM852135 WGI852135 WQE852135 DS917671 NO917671 XK917671 AHG917671 ARC917671 BAY917671 BKU917671 BUQ917671 CEM917671 COI917671 CYE917671 DIA917671 DRW917671 EBS917671 ELO917671 EVK917671 FFG917671 FPC917671 FYY917671 GIU917671 GSQ917671 HCM917671 HMI917671 HWE917671 IGA917671 IPW917671 IZS917671 JJO917671 JTK917671 KDG917671 KNC917671 KWY917671 LGU917671 LQQ917671 MAM917671 MKI917671 MUE917671 NEA917671 NNW917671 NXS917671 OHO917671 ORK917671 PBG917671 PLC917671 PUY917671 QEU917671 QOQ917671 QYM917671 RII917671 RSE917671 SCA917671 SLW917671 SVS917671 TFO917671 TPK917671 TZG917671 UJC917671 USY917671 VCU917671 VMQ917671 VWM917671 WGI917671 WQE917671 DS983207 NO983207 XK983207 AHG983207 ARC983207 BAY983207 BKU983207 BUQ983207 CEM983207 COI983207 CYE983207 DIA983207 DRW983207 EBS983207 ELO983207 EVK983207 FFG983207 FPC983207 FYY983207 GIU983207 GSQ983207 HCM983207 HMI983207 HWE983207 IGA983207 IPW983207 IZS983207 JJO983207 JTK983207 KDG983207 KNC983207 KWY983207 LGU983207 LQQ983207 MAM983207 MKI983207 MUE983207 NEA983207 NNW983207 NXS983207 OHO983207 ORK983207 PBG983207 PLC983207 PUY983207 QEU983207 QOQ983207 QYM983207 RII983207 RSE983207 SCA983207 SLW983207 SVS983207 TFO983207 TPK983207 TZG983207 UJC983207 USY983207 VCU983207 VMQ983207 VWM983207 WGI983207 WQE983207 DS65641 NO65641 XK65641 AHG65641 ARC65641 BAY65641 BKU65641 BUQ65641 CEM65641 COI65641 CYE65641 DIA65641 DRW65641 EBS65641 ELO65641 EVK65641 FFG65641 FPC65641 FYY65641 GIU65641 GSQ65641 HCM65641 HMI65641 HWE65641 IGA65641 IPW65641 IZS65641 JJO65641 JTK65641 KDG65641 KNC65641 KWY65641 LGU65641 LQQ65641 MAM65641 MKI65641 MUE65641 NEA65641 NNW65641 NXS65641 OHO65641 ORK65641 PBG65641 PLC65641 PUY65641 QEU65641 QOQ65641 QYM65641 RII65641 RSE65641 SCA65641 SLW65641 SVS65641 TFO65641 TPK65641 TZG65641 UJC65641 USY65641 VCU65641 VMQ65641 VWM65641 WGI65641 WQE65641 DS131177 NO131177 XK131177 AHG131177 ARC131177 BAY131177 BKU131177 BUQ131177 CEM131177 COI131177 CYE131177 DIA131177 DRW131177 EBS131177 ELO131177 EVK131177 FFG131177 FPC131177 FYY131177 GIU131177 GSQ131177 HCM131177 HMI131177 HWE131177 IGA131177 IPW131177 IZS131177 JJO131177 JTK131177 KDG131177 KNC131177 KWY131177 LGU131177 LQQ131177 MAM131177 MKI131177 MUE131177 NEA131177 NNW131177 NXS131177 OHO131177 ORK131177 PBG131177 PLC131177 PUY131177 QEU131177 QOQ131177 QYM131177 RII131177 RSE131177 SCA131177 SLW131177 SVS131177 TFO131177 TPK131177 TZG131177 UJC131177 USY131177 VCU131177 VMQ131177 VWM131177 WGI131177 WQE131177 DS196713 NO196713 XK196713 AHG196713 ARC196713 BAY196713 BKU196713 BUQ196713 CEM196713 COI196713 CYE196713 DIA196713 DRW196713 EBS196713 ELO196713 EVK196713 FFG196713 FPC196713 FYY196713 GIU196713 GSQ196713 HCM196713 HMI196713 HWE196713 IGA196713 IPW196713 IZS196713 JJO196713 JTK196713 KDG196713 KNC196713 KWY196713 LGU196713 LQQ196713 MAM196713 MKI196713 MUE196713 NEA196713 NNW196713 NXS196713 OHO196713 ORK196713 PBG196713 PLC196713 PUY196713 QEU196713 QOQ196713 QYM196713 RII196713 RSE196713 SCA196713 SLW196713 SVS196713 TFO196713 TPK196713 TZG196713 UJC196713 USY196713 VCU196713 VMQ196713 VWM196713 WGI196713 WQE196713 DS262249 NO262249 XK262249 AHG262249 ARC262249 BAY262249 BKU262249 BUQ262249 CEM262249 COI262249 CYE262249 DIA262249 DRW262249 EBS262249 ELO262249 EVK262249 FFG262249 FPC262249 FYY262249 GIU262249 GSQ262249 HCM262249 HMI262249 HWE262249 IGA262249 IPW262249 IZS262249 JJO262249 JTK262249 KDG262249 KNC262249 KWY262249 LGU262249 LQQ262249 MAM262249 MKI262249 MUE262249 NEA262249 NNW262249 NXS262249 OHO262249 ORK262249 PBG262249 PLC262249 PUY262249 QEU262249 QOQ262249 QYM262249 RII262249 RSE262249 SCA262249 SLW262249 SVS262249 TFO262249 TPK262249 TZG262249 UJC262249 USY262249 VCU262249 VMQ262249 VWM262249 WGI262249 WQE262249 DS327785 NO327785 XK327785 AHG327785 ARC327785 BAY327785 BKU327785 BUQ327785 CEM327785 COI327785 CYE327785 DIA327785 DRW327785 EBS327785 ELO327785 EVK327785 FFG327785 FPC327785 FYY327785 GIU327785 GSQ327785 HCM327785 HMI327785 HWE327785 IGA327785 IPW327785 IZS327785 JJO327785 JTK327785 KDG327785 KNC327785 KWY327785 LGU327785 LQQ327785 MAM327785 MKI327785 MUE327785 NEA327785 NNW327785 NXS327785 OHO327785 ORK327785 PBG327785 PLC327785 PUY327785 QEU327785 QOQ327785 QYM327785 RII327785 RSE327785 SCA327785 SLW327785 SVS327785 TFO327785 TPK327785 TZG327785 UJC327785 USY327785 VCU327785 VMQ327785 VWM327785 WGI327785 WQE327785 DS393321 NO393321 XK393321 AHG393321 ARC393321 BAY393321 BKU393321 BUQ393321 CEM393321 COI393321 CYE393321 DIA393321 DRW393321 EBS393321 ELO393321 EVK393321 FFG393321 FPC393321 FYY393321 GIU393321 GSQ393321 HCM393321 HMI393321 HWE393321 IGA393321 IPW393321 IZS393321 JJO393321 JTK393321 KDG393321 KNC393321 KWY393321 LGU393321 LQQ393321 MAM393321 MKI393321 MUE393321 NEA393321 NNW393321 NXS393321 OHO393321 ORK393321 PBG393321 PLC393321 PUY393321 QEU393321 QOQ393321 QYM393321 RII393321 RSE393321 SCA393321 SLW393321 SVS393321 TFO393321 TPK393321 TZG393321 UJC393321 USY393321 VCU393321 VMQ393321 VWM393321 WGI393321 WQE393321 DS458857 NO458857 XK458857 AHG458857 ARC458857 BAY458857 BKU458857 BUQ458857 CEM458857 COI458857 CYE458857 DIA458857 DRW458857 EBS458857 ELO458857 EVK458857 FFG458857 FPC458857 FYY458857 GIU458857 GSQ458857 HCM458857 HMI458857 HWE458857 IGA458857 IPW458857 IZS458857 JJO458857 JTK458857 KDG458857 KNC458857 KWY458857 LGU458857 LQQ458857 MAM458857 MKI458857 MUE458857 NEA458857 NNW458857 NXS458857 OHO458857 ORK458857 PBG458857 PLC458857 PUY458857 QEU458857 QOQ458857 QYM458857 RII458857 RSE458857 SCA458857 SLW458857 SVS458857 TFO458857 TPK458857 TZG458857 UJC458857 USY458857 VCU458857 VMQ458857 VWM458857 WGI458857 WQE458857 DS524393 NO524393 XK524393 AHG524393 ARC524393 BAY524393 BKU524393 BUQ524393 CEM524393 COI524393 CYE524393 DIA524393 DRW524393 EBS524393 ELO524393 EVK524393 FFG524393 FPC524393 FYY524393 GIU524393 GSQ524393 HCM524393 HMI524393 HWE524393 IGA524393 IPW524393 IZS524393 JJO524393 JTK524393 KDG524393 KNC524393 KWY524393 LGU524393 LQQ524393 MAM524393 MKI524393 MUE524393 NEA524393 NNW524393 NXS524393 OHO524393 ORK524393 PBG524393 PLC524393 PUY524393 QEU524393 QOQ524393 QYM524393 RII524393 RSE524393 SCA524393 SLW524393 SVS524393 TFO524393 TPK524393 TZG524393 UJC524393 USY524393 VCU524393 VMQ524393 VWM524393 WGI524393 WQE524393 DS589929 NO589929 XK589929 AHG589929 ARC589929 BAY589929 BKU589929 BUQ589929 CEM589929 COI589929 CYE589929 DIA589929 DRW589929 EBS589929 ELO589929 EVK589929 FFG589929 FPC589929 FYY589929 GIU589929 GSQ589929 HCM589929 HMI589929 HWE589929 IGA589929 IPW589929 IZS589929 JJO589929 JTK589929 KDG589929 KNC589929 KWY589929 LGU589929 LQQ589929 MAM589929 MKI589929 MUE589929 NEA589929 NNW589929 NXS589929 OHO589929 ORK589929 PBG589929 PLC589929 PUY589929 QEU589929 QOQ589929 QYM589929 RII589929 RSE589929 SCA589929 SLW589929 SVS589929 TFO589929 TPK589929 TZG589929 UJC589929 USY589929 VCU589929 VMQ589929 VWM589929 WGI589929 WQE589929 DS655465 NO655465 XK655465 AHG655465 ARC655465 BAY655465 BKU655465 BUQ655465 CEM655465 COI655465 CYE655465 DIA655465 DRW655465 EBS655465 ELO655465 EVK655465 FFG655465 FPC655465 FYY655465 GIU655465 GSQ655465 HCM655465 HMI655465 HWE655465 IGA655465 IPW655465 IZS655465 JJO655465 JTK655465 KDG655465 KNC655465 KWY655465 LGU655465 LQQ655465 MAM655465 MKI655465 MUE655465 NEA655465 NNW655465 NXS655465 OHO655465 ORK655465 PBG655465 PLC655465 PUY655465 QEU655465 QOQ655465 QYM655465 RII655465 RSE655465 SCA655465 SLW655465 SVS655465 TFO655465 TPK655465 TZG655465 UJC655465 USY655465 VCU655465 VMQ655465 VWM655465 WGI655465 WQE655465 DS721001 NO721001 XK721001 AHG721001 ARC721001 BAY721001 BKU721001 BUQ721001 CEM721001 COI721001 CYE721001 DIA721001 DRW721001 EBS721001 ELO721001 EVK721001 FFG721001 FPC721001 FYY721001 GIU721001 GSQ721001 HCM721001 HMI721001 HWE721001 IGA721001 IPW721001 IZS721001 JJO721001 JTK721001 KDG721001 KNC721001 KWY721001 LGU721001 LQQ721001 MAM721001 MKI721001 MUE721001 NEA721001 NNW721001 NXS721001 OHO721001 ORK721001 PBG721001 PLC721001 PUY721001 QEU721001 QOQ721001 QYM721001 RII721001 RSE721001 SCA721001 SLW721001 SVS721001 TFO721001 TPK721001 TZG721001 UJC721001 USY721001 VCU721001 VMQ721001 VWM721001 WGI721001 WQE721001 DS786537 NO786537 XK786537 AHG786537 ARC786537 BAY786537 BKU786537 BUQ786537 CEM786537 COI786537 CYE786537 DIA786537 DRW786537 EBS786537 ELO786537 EVK786537 FFG786537 FPC786537 FYY786537 GIU786537 GSQ786537 HCM786537 HMI786537 HWE786537 IGA786537 IPW786537 IZS786537 JJO786537 JTK786537 KDG786537 KNC786537 KWY786537 LGU786537 LQQ786537 MAM786537 MKI786537 MUE786537 NEA786537 NNW786537 NXS786537 OHO786537 ORK786537 PBG786537 PLC786537 PUY786537 QEU786537 QOQ786537 QYM786537 RII786537 RSE786537 SCA786537 SLW786537 SVS786537 TFO786537 TPK786537 TZG786537 UJC786537 USY786537 VCU786537 VMQ786537 VWM786537 WGI786537 WQE786537 DS852073 NO852073 XK852073 AHG852073 ARC852073 BAY852073 BKU852073 BUQ852073 CEM852073 COI852073 CYE852073 DIA852073 DRW852073 EBS852073 ELO852073 EVK852073 FFG852073 FPC852073 FYY852073 GIU852073 GSQ852073 HCM852073 HMI852073 HWE852073 IGA852073 IPW852073 IZS852073 JJO852073 JTK852073 KDG852073 KNC852073 KWY852073 LGU852073 LQQ852073 MAM852073 MKI852073 MUE852073 NEA852073 NNW852073 NXS852073 OHO852073 ORK852073 PBG852073 PLC852073 PUY852073 QEU852073 QOQ852073 QYM852073 RII852073 RSE852073 SCA852073 SLW852073 SVS852073 TFO852073 TPK852073 TZG852073 UJC852073 USY852073 VCU852073 VMQ852073 VWM852073 WGI852073 WQE852073 DS917609 NO917609 XK917609 AHG917609 ARC917609 BAY917609 BKU917609 BUQ917609 CEM917609 COI917609 CYE917609 DIA917609 DRW917609 EBS917609 ELO917609 EVK917609 FFG917609 FPC917609 FYY917609 GIU917609 GSQ917609 HCM917609 HMI917609 HWE917609 IGA917609 IPW917609 IZS917609 JJO917609 JTK917609 KDG917609 KNC917609 KWY917609 LGU917609 LQQ917609 MAM917609 MKI917609 MUE917609 NEA917609 NNW917609 NXS917609 OHO917609 ORK917609 PBG917609 PLC917609 PUY917609 QEU917609 QOQ917609 QYM917609 RII917609 RSE917609 SCA917609 SLW917609 SVS917609 TFO917609 TPK917609 TZG917609 UJC917609 USY917609 VCU917609 VMQ917609 VWM917609 WGI917609 WQE917609 DS983145 NO983145 XK983145 AHG983145 ARC983145 BAY983145 BKU983145 BUQ983145 CEM983145 COI983145 CYE983145 DIA983145 DRW983145 EBS983145 ELO983145 EVK983145 FFG983145 FPC983145 FYY983145 GIU983145 GSQ983145 HCM983145 HMI983145 HWE983145 IGA983145 IPW983145 IZS983145 JJO983145 JTK983145 KDG983145 KNC983145 KWY983145 LGU983145 LQQ983145 MAM983145 MKI983145 MUE983145 NEA983145 NNW983145 NXS983145 OHO983145 ORK983145 PBG983145 PLC983145 PUY983145 QEU983145 QOQ983145 QYM983145 RII983145 RSE983145 SCA983145 SLW983145 SVS983145 TFO983145 TPK983145 TZG983145 UJC983145 USY983145 VCU983145 VMQ983145 VWM983145 WGI983145 WQE983145" xr:uid="{D5533D09-1911-4631-A37F-A6FE25F74292}">
      <formula1>Select_Haul_Distance</formula1>
    </dataValidation>
  </dataValidations>
  <hyperlinks>
    <hyperlink ref="B2" location="CONTENTS!A1" display="Contents" xr:uid="{1367CCF9-19FC-4487-B828-6F5B1516BB50}"/>
  </hyperlinks>
  <printOptions horizontalCentered="1"/>
  <pageMargins left="0.59055118110236227" right="0.59055118110236227" top="0.59055118110236227" bottom="0.59055118110236227" header="0.39370078740157483" footer="0.39370078740157483"/>
  <pageSetup paperSize="8" fitToHeight="0" orientation="portrait" r:id="rId1"/>
  <headerFooter alignWithMargins="0"/>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15A5DFE-2D04-4E3B-B6DA-DFC66AE96387}">
          <x14:formula1>
            <xm:f>Y_N</xm:f>
          </x14:formula1>
          <xm:sqref>DM65719:DM65728 NI65719:NI65728 XE65719:XE65728 AHA65719:AHA65728 AQW65719:AQW65728 BAS65719:BAS65728 BKO65719:BKO65728 BUK65719:BUK65728 CEG65719:CEG65728 COC65719:COC65728 CXY65719:CXY65728 DHU65719:DHU65728 DRQ65719:DRQ65728 EBM65719:EBM65728 ELI65719:ELI65728 EVE65719:EVE65728 FFA65719:FFA65728 FOW65719:FOW65728 FYS65719:FYS65728 GIO65719:GIO65728 GSK65719:GSK65728 HCG65719:HCG65728 HMC65719:HMC65728 HVY65719:HVY65728 IFU65719:IFU65728 IPQ65719:IPQ65728 IZM65719:IZM65728 JJI65719:JJI65728 JTE65719:JTE65728 KDA65719:KDA65728 KMW65719:KMW65728 KWS65719:KWS65728 LGO65719:LGO65728 LQK65719:LQK65728 MAG65719:MAG65728 MKC65719:MKC65728 MTY65719:MTY65728 NDU65719:NDU65728 NNQ65719:NNQ65728 NXM65719:NXM65728 OHI65719:OHI65728 ORE65719:ORE65728 PBA65719:PBA65728 PKW65719:PKW65728 PUS65719:PUS65728 QEO65719:QEO65728 QOK65719:QOK65728 QYG65719:QYG65728 RIC65719:RIC65728 RRY65719:RRY65728 SBU65719:SBU65728 SLQ65719:SLQ65728 SVM65719:SVM65728 TFI65719:TFI65728 TPE65719:TPE65728 TZA65719:TZA65728 UIW65719:UIW65728 USS65719:USS65728 VCO65719:VCO65728 VMK65719:VMK65728 VWG65719:VWG65728 WGC65719:WGC65728 WPY65719:WPY65728 DM131255:DM131264 NI131255:NI131264 XE131255:XE131264 AHA131255:AHA131264 AQW131255:AQW131264 BAS131255:BAS131264 BKO131255:BKO131264 BUK131255:BUK131264 CEG131255:CEG131264 COC131255:COC131264 CXY131255:CXY131264 DHU131255:DHU131264 DRQ131255:DRQ131264 EBM131255:EBM131264 ELI131255:ELI131264 EVE131255:EVE131264 FFA131255:FFA131264 FOW131255:FOW131264 FYS131255:FYS131264 GIO131255:GIO131264 GSK131255:GSK131264 HCG131255:HCG131264 HMC131255:HMC131264 HVY131255:HVY131264 IFU131255:IFU131264 IPQ131255:IPQ131264 IZM131255:IZM131264 JJI131255:JJI131264 JTE131255:JTE131264 KDA131255:KDA131264 KMW131255:KMW131264 KWS131255:KWS131264 LGO131255:LGO131264 LQK131255:LQK131264 MAG131255:MAG131264 MKC131255:MKC131264 MTY131255:MTY131264 NDU131255:NDU131264 NNQ131255:NNQ131264 NXM131255:NXM131264 OHI131255:OHI131264 ORE131255:ORE131264 PBA131255:PBA131264 PKW131255:PKW131264 PUS131255:PUS131264 QEO131255:QEO131264 QOK131255:QOK131264 QYG131255:QYG131264 RIC131255:RIC131264 RRY131255:RRY131264 SBU131255:SBU131264 SLQ131255:SLQ131264 SVM131255:SVM131264 TFI131255:TFI131264 TPE131255:TPE131264 TZA131255:TZA131264 UIW131255:UIW131264 USS131255:USS131264 VCO131255:VCO131264 VMK131255:VMK131264 VWG131255:VWG131264 WGC131255:WGC131264 WPY131255:WPY131264 DM196791:DM196800 NI196791:NI196800 XE196791:XE196800 AHA196791:AHA196800 AQW196791:AQW196800 BAS196791:BAS196800 BKO196791:BKO196800 BUK196791:BUK196800 CEG196791:CEG196800 COC196791:COC196800 CXY196791:CXY196800 DHU196791:DHU196800 DRQ196791:DRQ196800 EBM196791:EBM196800 ELI196791:ELI196800 EVE196791:EVE196800 FFA196791:FFA196800 FOW196791:FOW196800 FYS196791:FYS196800 GIO196791:GIO196800 GSK196791:GSK196800 HCG196791:HCG196800 HMC196791:HMC196800 HVY196791:HVY196800 IFU196791:IFU196800 IPQ196791:IPQ196800 IZM196791:IZM196800 JJI196791:JJI196800 JTE196791:JTE196800 KDA196791:KDA196800 KMW196791:KMW196800 KWS196791:KWS196800 LGO196791:LGO196800 LQK196791:LQK196800 MAG196791:MAG196800 MKC196791:MKC196800 MTY196791:MTY196800 NDU196791:NDU196800 NNQ196791:NNQ196800 NXM196791:NXM196800 OHI196791:OHI196800 ORE196791:ORE196800 PBA196791:PBA196800 PKW196791:PKW196800 PUS196791:PUS196800 QEO196791:QEO196800 QOK196791:QOK196800 QYG196791:QYG196800 RIC196791:RIC196800 RRY196791:RRY196800 SBU196791:SBU196800 SLQ196791:SLQ196800 SVM196791:SVM196800 TFI196791:TFI196800 TPE196791:TPE196800 TZA196791:TZA196800 UIW196791:UIW196800 USS196791:USS196800 VCO196791:VCO196800 VMK196791:VMK196800 VWG196791:VWG196800 WGC196791:WGC196800 WPY196791:WPY196800 DM262327:DM262336 NI262327:NI262336 XE262327:XE262336 AHA262327:AHA262336 AQW262327:AQW262336 BAS262327:BAS262336 BKO262327:BKO262336 BUK262327:BUK262336 CEG262327:CEG262336 COC262327:COC262336 CXY262327:CXY262336 DHU262327:DHU262336 DRQ262327:DRQ262336 EBM262327:EBM262336 ELI262327:ELI262336 EVE262327:EVE262336 FFA262327:FFA262336 FOW262327:FOW262336 FYS262327:FYS262336 GIO262327:GIO262336 GSK262327:GSK262336 HCG262327:HCG262336 HMC262327:HMC262336 HVY262327:HVY262336 IFU262327:IFU262336 IPQ262327:IPQ262336 IZM262327:IZM262336 JJI262327:JJI262336 JTE262327:JTE262336 KDA262327:KDA262336 KMW262327:KMW262336 KWS262327:KWS262336 LGO262327:LGO262336 LQK262327:LQK262336 MAG262327:MAG262336 MKC262327:MKC262336 MTY262327:MTY262336 NDU262327:NDU262336 NNQ262327:NNQ262336 NXM262327:NXM262336 OHI262327:OHI262336 ORE262327:ORE262336 PBA262327:PBA262336 PKW262327:PKW262336 PUS262327:PUS262336 QEO262327:QEO262336 QOK262327:QOK262336 QYG262327:QYG262336 RIC262327:RIC262336 RRY262327:RRY262336 SBU262327:SBU262336 SLQ262327:SLQ262336 SVM262327:SVM262336 TFI262327:TFI262336 TPE262327:TPE262336 TZA262327:TZA262336 UIW262327:UIW262336 USS262327:USS262336 VCO262327:VCO262336 VMK262327:VMK262336 VWG262327:VWG262336 WGC262327:WGC262336 WPY262327:WPY262336 DM327863:DM327872 NI327863:NI327872 XE327863:XE327872 AHA327863:AHA327872 AQW327863:AQW327872 BAS327863:BAS327872 BKO327863:BKO327872 BUK327863:BUK327872 CEG327863:CEG327872 COC327863:COC327872 CXY327863:CXY327872 DHU327863:DHU327872 DRQ327863:DRQ327872 EBM327863:EBM327872 ELI327863:ELI327872 EVE327863:EVE327872 FFA327863:FFA327872 FOW327863:FOW327872 FYS327863:FYS327872 GIO327863:GIO327872 GSK327863:GSK327872 HCG327863:HCG327872 HMC327863:HMC327872 HVY327863:HVY327872 IFU327863:IFU327872 IPQ327863:IPQ327872 IZM327863:IZM327872 JJI327863:JJI327872 JTE327863:JTE327872 KDA327863:KDA327872 KMW327863:KMW327872 KWS327863:KWS327872 LGO327863:LGO327872 LQK327863:LQK327872 MAG327863:MAG327872 MKC327863:MKC327872 MTY327863:MTY327872 NDU327863:NDU327872 NNQ327863:NNQ327872 NXM327863:NXM327872 OHI327863:OHI327872 ORE327863:ORE327872 PBA327863:PBA327872 PKW327863:PKW327872 PUS327863:PUS327872 QEO327863:QEO327872 QOK327863:QOK327872 QYG327863:QYG327872 RIC327863:RIC327872 RRY327863:RRY327872 SBU327863:SBU327872 SLQ327863:SLQ327872 SVM327863:SVM327872 TFI327863:TFI327872 TPE327863:TPE327872 TZA327863:TZA327872 UIW327863:UIW327872 USS327863:USS327872 VCO327863:VCO327872 VMK327863:VMK327872 VWG327863:VWG327872 WGC327863:WGC327872 WPY327863:WPY327872 DM393399:DM393408 NI393399:NI393408 XE393399:XE393408 AHA393399:AHA393408 AQW393399:AQW393408 BAS393399:BAS393408 BKO393399:BKO393408 BUK393399:BUK393408 CEG393399:CEG393408 COC393399:COC393408 CXY393399:CXY393408 DHU393399:DHU393408 DRQ393399:DRQ393408 EBM393399:EBM393408 ELI393399:ELI393408 EVE393399:EVE393408 FFA393399:FFA393408 FOW393399:FOW393408 FYS393399:FYS393408 GIO393399:GIO393408 GSK393399:GSK393408 HCG393399:HCG393408 HMC393399:HMC393408 HVY393399:HVY393408 IFU393399:IFU393408 IPQ393399:IPQ393408 IZM393399:IZM393408 JJI393399:JJI393408 JTE393399:JTE393408 KDA393399:KDA393408 KMW393399:KMW393408 KWS393399:KWS393408 LGO393399:LGO393408 LQK393399:LQK393408 MAG393399:MAG393408 MKC393399:MKC393408 MTY393399:MTY393408 NDU393399:NDU393408 NNQ393399:NNQ393408 NXM393399:NXM393408 OHI393399:OHI393408 ORE393399:ORE393408 PBA393399:PBA393408 PKW393399:PKW393408 PUS393399:PUS393408 QEO393399:QEO393408 QOK393399:QOK393408 QYG393399:QYG393408 RIC393399:RIC393408 RRY393399:RRY393408 SBU393399:SBU393408 SLQ393399:SLQ393408 SVM393399:SVM393408 TFI393399:TFI393408 TPE393399:TPE393408 TZA393399:TZA393408 UIW393399:UIW393408 USS393399:USS393408 VCO393399:VCO393408 VMK393399:VMK393408 VWG393399:VWG393408 WGC393399:WGC393408 WPY393399:WPY393408 DM458935:DM458944 NI458935:NI458944 XE458935:XE458944 AHA458935:AHA458944 AQW458935:AQW458944 BAS458935:BAS458944 BKO458935:BKO458944 BUK458935:BUK458944 CEG458935:CEG458944 COC458935:COC458944 CXY458935:CXY458944 DHU458935:DHU458944 DRQ458935:DRQ458944 EBM458935:EBM458944 ELI458935:ELI458944 EVE458935:EVE458944 FFA458935:FFA458944 FOW458935:FOW458944 FYS458935:FYS458944 GIO458935:GIO458944 GSK458935:GSK458944 HCG458935:HCG458944 HMC458935:HMC458944 HVY458935:HVY458944 IFU458935:IFU458944 IPQ458935:IPQ458944 IZM458935:IZM458944 JJI458935:JJI458944 JTE458935:JTE458944 KDA458935:KDA458944 KMW458935:KMW458944 KWS458935:KWS458944 LGO458935:LGO458944 LQK458935:LQK458944 MAG458935:MAG458944 MKC458935:MKC458944 MTY458935:MTY458944 NDU458935:NDU458944 NNQ458935:NNQ458944 NXM458935:NXM458944 OHI458935:OHI458944 ORE458935:ORE458944 PBA458935:PBA458944 PKW458935:PKW458944 PUS458935:PUS458944 QEO458935:QEO458944 QOK458935:QOK458944 QYG458935:QYG458944 RIC458935:RIC458944 RRY458935:RRY458944 SBU458935:SBU458944 SLQ458935:SLQ458944 SVM458935:SVM458944 TFI458935:TFI458944 TPE458935:TPE458944 TZA458935:TZA458944 UIW458935:UIW458944 USS458935:USS458944 VCO458935:VCO458944 VMK458935:VMK458944 VWG458935:VWG458944 WGC458935:WGC458944 WPY458935:WPY458944 DM524471:DM524480 NI524471:NI524480 XE524471:XE524480 AHA524471:AHA524480 AQW524471:AQW524480 BAS524471:BAS524480 BKO524471:BKO524480 BUK524471:BUK524480 CEG524471:CEG524480 COC524471:COC524480 CXY524471:CXY524480 DHU524471:DHU524480 DRQ524471:DRQ524480 EBM524471:EBM524480 ELI524471:ELI524480 EVE524471:EVE524480 FFA524471:FFA524480 FOW524471:FOW524480 FYS524471:FYS524480 GIO524471:GIO524480 GSK524471:GSK524480 HCG524471:HCG524480 HMC524471:HMC524480 HVY524471:HVY524480 IFU524471:IFU524480 IPQ524471:IPQ524480 IZM524471:IZM524480 JJI524471:JJI524480 JTE524471:JTE524480 KDA524471:KDA524480 KMW524471:KMW524480 KWS524471:KWS524480 LGO524471:LGO524480 LQK524471:LQK524480 MAG524471:MAG524480 MKC524471:MKC524480 MTY524471:MTY524480 NDU524471:NDU524480 NNQ524471:NNQ524480 NXM524471:NXM524480 OHI524471:OHI524480 ORE524471:ORE524480 PBA524471:PBA524480 PKW524471:PKW524480 PUS524471:PUS524480 QEO524471:QEO524480 QOK524471:QOK524480 QYG524471:QYG524480 RIC524471:RIC524480 RRY524471:RRY524480 SBU524471:SBU524480 SLQ524471:SLQ524480 SVM524471:SVM524480 TFI524471:TFI524480 TPE524471:TPE524480 TZA524471:TZA524480 UIW524471:UIW524480 USS524471:USS524480 VCO524471:VCO524480 VMK524471:VMK524480 VWG524471:VWG524480 WGC524471:WGC524480 WPY524471:WPY524480 DM590007:DM590016 NI590007:NI590016 XE590007:XE590016 AHA590007:AHA590016 AQW590007:AQW590016 BAS590007:BAS590016 BKO590007:BKO590016 BUK590007:BUK590016 CEG590007:CEG590016 COC590007:COC590016 CXY590007:CXY590016 DHU590007:DHU590016 DRQ590007:DRQ590016 EBM590007:EBM590016 ELI590007:ELI590016 EVE590007:EVE590016 FFA590007:FFA590016 FOW590007:FOW590016 FYS590007:FYS590016 GIO590007:GIO590016 GSK590007:GSK590016 HCG590007:HCG590016 HMC590007:HMC590016 HVY590007:HVY590016 IFU590007:IFU590016 IPQ590007:IPQ590016 IZM590007:IZM590016 JJI590007:JJI590016 JTE590007:JTE590016 KDA590007:KDA590016 KMW590007:KMW590016 KWS590007:KWS590016 LGO590007:LGO590016 LQK590007:LQK590016 MAG590007:MAG590016 MKC590007:MKC590016 MTY590007:MTY590016 NDU590007:NDU590016 NNQ590007:NNQ590016 NXM590007:NXM590016 OHI590007:OHI590016 ORE590007:ORE590016 PBA590007:PBA590016 PKW590007:PKW590016 PUS590007:PUS590016 QEO590007:QEO590016 QOK590007:QOK590016 QYG590007:QYG590016 RIC590007:RIC590016 RRY590007:RRY590016 SBU590007:SBU590016 SLQ590007:SLQ590016 SVM590007:SVM590016 TFI590007:TFI590016 TPE590007:TPE590016 TZA590007:TZA590016 UIW590007:UIW590016 USS590007:USS590016 VCO590007:VCO590016 VMK590007:VMK590016 VWG590007:VWG590016 WGC590007:WGC590016 WPY590007:WPY590016 DM655543:DM655552 NI655543:NI655552 XE655543:XE655552 AHA655543:AHA655552 AQW655543:AQW655552 BAS655543:BAS655552 BKO655543:BKO655552 BUK655543:BUK655552 CEG655543:CEG655552 COC655543:COC655552 CXY655543:CXY655552 DHU655543:DHU655552 DRQ655543:DRQ655552 EBM655543:EBM655552 ELI655543:ELI655552 EVE655543:EVE655552 FFA655543:FFA655552 FOW655543:FOW655552 FYS655543:FYS655552 GIO655543:GIO655552 GSK655543:GSK655552 HCG655543:HCG655552 HMC655543:HMC655552 HVY655543:HVY655552 IFU655543:IFU655552 IPQ655543:IPQ655552 IZM655543:IZM655552 JJI655543:JJI655552 JTE655543:JTE655552 KDA655543:KDA655552 KMW655543:KMW655552 KWS655543:KWS655552 LGO655543:LGO655552 LQK655543:LQK655552 MAG655543:MAG655552 MKC655543:MKC655552 MTY655543:MTY655552 NDU655543:NDU655552 NNQ655543:NNQ655552 NXM655543:NXM655552 OHI655543:OHI655552 ORE655543:ORE655552 PBA655543:PBA655552 PKW655543:PKW655552 PUS655543:PUS655552 QEO655543:QEO655552 QOK655543:QOK655552 QYG655543:QYG655552 RIC655543:RIC655552 RRY655543:RRY655552 SBU655543:SBU655552 SLQ655543:SLQ655552 SVM655543:SVM655552 TFI655543:TFI655552 TPE655543:TPE655552 TZA655543:TZA655552 UIW655543:UIW655552 USS655543:USS655552 VCO655543:VCO655552 VMK655543:VMK655552 VWG655543:VWG655552 WGC655543:WGC655552 WPY655543:WPY655552 DM721079:DM721088 NI721079:NI721088 XE721079:XE721088 AHA721079:AHA721088 AQW721079:AQW721088 BAS721079:BAS721088 BKO721079:BKO721088 BUK721079:BUK721088 CEG721079:CEG721088 COC721079:COC721088 CXY721079:CXY721088 DHU721079:DHU721088 DRQ721079:DRQ721088 EBM721079:EBM721088 ELI721079:ELI721088 EVE721079:EVE721088 FFA721079:FFA721088 FOW721079:FOW721088 FYS721079:FYS721088 GIO721079:GIO721088 GSK721079:GSK721088 HCG721079:HCG721088 HMC721079:HMC721088 HVY721079:HVY721088 IFU721079:IFU721088 IPQ721079:IPQ721088 IZM721079:IZM721088 JJI721079:JJI721088 JTE721079:JTE721088 KDA721079:KDA721088 KMW721079:KMW721088 KWS721079:KWS721088 LGO721079:LGO721088 LQK721079:LQK721088 MAG721079:MAG721088 MKC721079:MKC721088 MTY721079:MTY721088 NDU721079:NDU721088 NNQ721079:NNQ721088 NXM721079:NXM721088 OHI721079:OHI721088 ORE721079:ORE721088 PBA721079:PBA721088 PKW721079:PKW721088 PUS721079:PUS721088 QEO721079:QEO721088 QOK721079:QOK721088 QYG721079:QYG721088 RIC721079:RIC721088 RRY721079:RRY721088 SBU721079:SBU721088 SLQ721079:SLQ721088 SVM721079:SVM721088 TFI721079:TFI721088 TPE721079:TPE721088 TZA721079:TZA721088 UIW721079:UIW721088 USS721079:USS721088 VCO721079:VCO721088 VMK721079:VMK721088 VWG721079:VWG721088 WGC721079:WGC721088 WPY721079:WPY721088 DM786615:DM786624 NI786615:NI786624 XE786615:XE786624 AHA786615:AHA786624 AQW786615:AQW786624 BAS786615:BAS786624 BKO786615:BKO786624 BUK786615:BUK786624 CEG786615:CEG786624 COC786615:COC786624 CXY786615:CXY786624 DHU786615:DHU786624 DRQ786615:DRQ786624 EBM786615:EBM786624 ELI786615:ELI786624 EVE786615:EVE786624 FFA786615:FFA786624 FOW786615:FOW786624 FYS786615:FYS786624 GIO786615:GIO786624 GSK786615:GSK786624 HCG786615:HCG786624 HMC786615:HMC786624 HVY786615:HVY786624 IFU786615:IFU786624 IPQ786615:IPQ786624 IZM786615:IZM786624 JJI786615:JJI786624 JTE786615:JTE786624 KDA786615:KDA786624 KMW786615:KMW786624 KWS786615:KWS786624 LGO786615:LGO786624 LQK786615:LQK786624 MAG786615:MAG786624 MKC786615:MKC786624 MTY786615:MTY786624 NDU786615:NDU786624 NNQ786615:NNQ786624 NXM786615:NXM786624 OHI786615:OHI786624 ORE786615:ORE786624 PBA786615:PBA786624 PKW786615:PKW786624 PUS786615:PUS786624 QEO786615:QEO786624 QOK786615:QOK786624 QYG786615:QYG786624 RIC786615:RIC786624 RRY786615:RRY786624 SBU786615:SBU786624 SLQ786615:SLQ786624 SVM786615:SVM786624 TFI786615:TFI786624 TPE786615:TPE786624 TZA786615:TZA786624 UIW786615:UIW786624 USS786615:USS786624 VCO786615:VCO786624 VMK786615:VMK786624 VWG786615:VWG786624 WGC786615:WGC786624 WPY786615:WPY786624 DM852151:DM852160 NI852151:NI852160 XE852151:XE852160 AHA852151:AHA852160 AQW852151:AQW852160 BAS852151:BAS852160 BKO852151:BKO852160 BUK852151:BUK852160 CEG852151:CEG852160 COC852151:COC852160 CXY852151:CXY852160 DHU852151:DHU852160 DRQ852151:DRQ852160 EBM852151:EBM852160 ELI852151:ELI852160 EVE852151:EVE852160 FFA852151:FFA852160 FOW852151:FOW852160 FYS852151:FYS852160 GIO852151:GIO852160 GSK852151:GSK852160 HCG852151:HCG852160 HMC852151:HMC852160 HVY852151:HVY852160 IFU852151:IFU852160 IPQ852151:IPQ852160 IZM852151:IZM852160 JJI852151:JJI852160 JTE852151:JTE852160 KDA852151:KDA852160 KMW852151:KMW852160 KWS852151:KWS852160 LGO852151:LGO852160 LQK852151:LQK852160 MAG852151:MAG852160 MKC852151:MKC852160 MTY852151:MTY852160 NDU852151:NDU852160 NNQ852151:NNQ852160 NXM852151:NXM852160 OHI852151:OHI852160 ORE852151:ORE852160 PBA852151:PBA852160 PKW852151:PKW852160 PUS852151:PUS852160 QEO852151:QEO852160 QOK852151:QOK852160 QYG852151:QYG852160 RIC852151:RIC852160 RRY852151:RRY852160 SBU852151:SBU852160 SLQ852151:SLQ852160 SVM852151:SVM852160 TFI852151:TFI852160 TPE852151:TPE852160 TZA852151:TZA852160 UIW852151:UIW852160 USS852151:USS852160 VCO852151:VCO852160 VMK852151:VMK852160 VWG852151:VWG852160 WGC852151:WGC852160 WPY852151:WPY852160 DM917687:DM917696 NI917687:NI917696 XE917687:XE917696 AHA917687:AHA917696 AQW917687:AQW917696 BAS917687:BAS917696 BKO917687:BKO917696 BUK917687:BUK917696 CEG917687:CEG917696 COC917687:COC917696 CXY917687:CXY917696 DHU917687:DHU917696 DRQ917687:DRQ917696 EBM917687:EBM917696 ELI917687:ELI917696 EVE917687:EVE917696 FFA917687:FFA917696 FOW917687:FOW917696 FYS917687:FYS917696 GIO917687:GIO917696 GSK917687:GSK917696 HCG917687:HCG917696 HMC917687:HMC917696 HVY917687:HVY917696 IFU917687:IFU917696 IPQ917687:IPQ917696 IZM917687:IZM917696 JJI917687:JJI917696 JTE917687:JTE917696 KDA917687:KDA917696 KMW917687:KMW917696 KWS917687:KWS917696 LGO917687:LGO917696 LQK917687:LQK917696 MAG917687:MAG917696 MKC917687:MKC917696 MTY917687:MTY917696 NDU917687:NDU917696 NNQ917687:NNQ917696 NXM917687:NXM917696 OHI917687:OHI917696 ORE917687:ORE917696 PBA917687:PBA917696 PKW917687:PKW917696 PUS917687:PUS917696 QEO917687:QEO917696 QOK917687:QOK917696 QYG917687:QYG917696 RIC917687:RIC917696 RRY917687:RRY917696 SBU917687:SBU917696 SLQ917687:SLQ917696 SVM917687:SVM917696 TFI917687:TFI917696 TPE917687:TPE917696 TZA917687:TZA917696 UIW917687:UIW917696 USS917687:USS917696 VCO917687:VCO917696 VMK917687:VMK917696 VWG917687:VWG917696 WGC917687:WGC917696 WPY917687:WPY917696 DM983223:DM983232 NI983223:NI983232 XE983223:XE983232 AHA983223:AHA983232 AQW983223:AQW983232 BAS983223:BAS983232 BKO983223:BKO983232 BUK983223:BUK983232 CEG983223:CEG983232 COC983223:COC983232 CXY983223:CXY983232 DHU983223:DHU983232 DRQ983223:DRQ983232 EBM983223:EBM983232 ELI983223:ELI983232 EVE983223:EVE983232 FFA983223:FFA983232 FOW983223:FOW983232 FYS983223:FYS983232 GIO983223:GIO983232 GSK983223:GSK983232 HCG983223:HCG983232 HMC983223:HMC983232 HVY983223:HVY983232 IFU983223:IFU983232 IPQ983223:IPQ983232 IZM983223:IZM983232 JJI983223:JJI983232 JTE983223:JTE983232 KDA983223:KDA983232 KMW983223:KMW983232 KWS983223:KWS983232 LGO983223:LGO983232 LQK983223:LQK983232 MAG983223:MAG983232 MKC983223:MKC983232 MTY983223:MTY983232 NDU983223:NDU983232 NNQ983223:NNQ983232 NXM983223:NXM983232 OHI983223:OHI983232 ORE983223:ORE983232 PBA983223:PBA983232 PKW983223:PKW983232 PUS983223:PUS983232 QEO983223:QEO983232 QOK983223:QOK983232 QYG983223:QYG983232 RIC983223:RIC983232 RRY983223:RRY983232 SBU983223:SBU983232 SLQ983223:SLQ983232 SVM983223:SVM983232 TFI983223:TFI983232 TPE983223:TPE983232 TZA983223:TZA983232 UIW983223:UIW983232 USS983223:USS983232 VCO983223:VCO983232 VMK983223:VMK983232 VWG983223:VWG983232 WGC983223:WGC983232 WPY983223:WPY983232 DM65663:DM65664 NI65663:NI65664 XE65663:XE65664 AHA65663:AHA65664 AQW65663:AQW65664 BAS65663:BAS65664 BKO65663:BKO65664 BUK65663:BUK65664 CEG65663:CEG65664 COC65663:COC65664 CXY65663:CXY65664 DHU65663:DHU65664 DRQ65663:DRQ65664 EBM65663:EBM65664 ELI65663:ELI65664 EVE65663:EVE65664 FFA65663:FFA65664 FOW65663:FOW65664 FYS65663:FYS65664 GIO65663:GIO65664 GSK65663:GSK65664 HCG65663:HCG65664 HMC65663:HMC65664 HVY65663:HVY65664 IFU65663:IFU65664 IPQ65663:IPQ65664 IZM65663:IZM65664 JJI65663:JJI65664 JTE65663:JTE65664 KDA65663:KDA65664 KMW65663:KMW65664 KWS65663:KWS65664 LGO65663:LGO65664 LQK65663:LQK65664 MAG65663:MAG65664 MKC65663:MKC65664 MTY65663:MTY65664 NDU65663:NDU65664 NNQ65663:NNQ65664 NXM65663:NXM65664 OHI65663:OHI65664 ORE65663:ORE65664 PBA65663:PBA65664 PKW65663:PKW65664 PUS65663:PUS65664 QEO65663:QEO65664 QOK65663:QOK65664 QYG65663:QYG65664 RIC65663:RIC65664 RRY65663:RRY65664 SBU65663:SBU65664 SLQ65663:SLQ65664 SVM65663:SVM65664 TFI65663:TFI65664 TPE65663:TPE65664 TZA65663:TZA65664 UIW65663:UIW65664 USS65663:USS65664 VCO65663:VCO65664 VMK65663:VMK65664 VWG65663:VWG65664 WGC65663:WGC65664 WPY65663:WPY65664 DM131199:DM131200 NI131199:NI131200 XE131199:XE131200 AHA131199:AHA131200 AQW131199:AQW131200 BAS131199:BAS131200 BKO131199:BKO131200 BUK131199:BUK131200 CEG131199:CEG131200 COC131199:COC131200 CXY131199:CXY131200 DHU131199:DHU131200 DRQ131199:DRQ131200 EBM131199:EBM131200 ELI131199:ELI131200 EVE131199:EVE131200 FFA131199:FFA131200 FOW131199:FOW131200 FYS131199:FYS131200 GIO131199:GIO131200 GSK131199:GSK131200 HCG131199:HCG131200 HMC131199:HMC131200 HVY131199:HVY131200 IFU131199:IFU131200 IPQ131199:IPQ131200 IZM131199:IZM131200 JJI131199:JJI131200 JTE131199:JTE131200 KDA131199:KDA131200 KMW131199:KMW131200 KWS131199:KWS131200 LGO131199:LGO131200 LQK131199:LQK131200 MAG131199:MAG131200 MKC131199:MKC131200 MTY131199:MTY131200 NDU131199:NDU131200 NNQ131199:NNQ131200 NXM131199:NXM131200 OHI131199:OHI131200 ORE131199:ORE131200 PBA131199:PBA131200 PKW131199:PKW131200 PUS131199:PUS131200 QEO131199:QEO131200 QOK131199:QOK131200 QYG131199:QYG131200 RIC131199:RIC131200 RRY131199:RRY131200 SBU131199:SBU131200 SLQ131199:SLQ131200 SVM131199:SVM131200 TFI131199:TFI131200 TPE131199:TPE131200 TZA131199:TZA131200 UIW131199:UIW131200 USS131199:USS131200 VCO131199:VCO131200 VMK131199:VMK131200 VWG131199:VWG131200 WGC131199:WGC131200 WPY131199:WPY131200 DM196735:DM196736 NI196735:NI196736 XE196735:XE196736 AHA196735:AHA196736 AQW196735:AQW196736 BAS196735:BAS196736 BKO196735:BKO196736 BUK196735:BUK196736 CEG196735:CEG196736 COC196735:COC196736 CXY196735:CXY196736 DHU196735:DHU196736 DRQ196735:DRQ196736 EBM196735:EBM196736 ELI196735:ELI196736 EVE196735:EVE196736 FFA196735:FFA196736 FOW196735:FOW196736 FYS196735:FYS196736 GIO196735:GIO196736 GSK196735:GSK196736 HCG196735:HCG196736 HMC196735:HMC196736 HVY196735:HVY196736 IFU196735:IFU196736 IPQ196735:IPQ196736 IZM196735:IZM196736 JJI196735:JJI196736 JTE196735:JTE196736 KDA196735:KDA196736 KMW196735:KMW196736 KWS196735:KWS196736 LGO196735:LGO196736 LQK196735:LQK196736 MAG196735:MAG196736 MKC196735:MKC196736 MTY196735:MTY196736 NDU196735:NDU196736 NNQ196735:NNQ196736 NXM196735:NXM196736 OHI196735:OHI196736 ORE196735:ORE196736 PBA196735:PBA196736 PKW196735:PKW196736 PUS196735:PUS196736 QEO196735:QEO196736 QOK196735:QOK196736 QYG196735:QYG196736 RIC196735:RIC196736 RRY196735:RRY196736 SBU196735:SBU196736 SLQ196735:SLQ196736 SVM196735:SVM196736 TFI196735:TFI196736 TPE196735:TPE196736 TZA196735:TZA196736 UIW196735:UIW196736 USS196735:USS196736 VCO196735:VCO196736 VMK196735:VMK196736 VWG196735:VWG196736 WGC196735:WGC196736 WPY196735:WPY196736 DM262271:DM262272 NI262271:NI262272 XE262271:XE262272 AHA262271:AHA262272 AQW262271:AQW262272 BAS262271:BAS262272 BKO262271:BKO262272 BUK262271:BUK262272 CEG262271:CEG262272 COC262271:COC262272 CXY262271:CXY262272 DHU262271:DHU262272 DRQ262271:DRQ262272 EBM262271:EBM262272 ELI262271:ELI262272 EVE262271:EVE262272 FFA262271:FFA262272 FOW262271:FOW262272 FYS262271:FYS262272 GIO262271:GIO262272 GSK262271:GSK262272 HCG262271:HCG262272 HMC262271:HMC262272 HVY262271:HVY262272 IFU262271:IFU262272 IPQ262271:IPQ262272 IZM262271:IZM262272 JJI262271:JJI262272 JTE262271:JTE262272 KDA262271:KDA262272 KMW262271:KMW262272 KWS262271:KWS262272 LGO262271:LGO262272 LQK262271:LQK262272 MAG262271:MAG262272 MKC262271:MKC262272 MTY262271:MTY262272 NDU262271:NDU262272 NNQ262271:NNQ262272 NXM262271:NXM262272 OHI262271:OHI262272 ORE262271:ORE262272 PBA262271:PBA262272 PKW262271:PKW262272 PUS262271:PUS262272 QEO262271:QEO262272 QOK262271:QOK262272 QYG262271:QYG262272 RIC262271:RIC262272 RRY262271:RRY262272 SBU262271:SBU262272 SLQ262271:SLQ262272 SVM262271:SVM262272 TFI262271:TFI262272 TPE262271:TPE262272 TZA262271:TZA262272 UIW262271:UIW262272 USS262271:USS262272 VCO262271:VCO262272 VMK262271:VMK262272 VWG262271:VWG262272 WGC262271:WGC262272 WPY262271:WPY262272 DM327807:DM327808 NI327807:NI327808 XE327807:XE327808 AHA327807:AHA327808 AQW327807:AQW327808 BAS327807:BAS327808 BKO327807:BKO327808 BUK327807:BUK327808 CEG327807:CEG327808 COC327807:COC327808 CXY327807:CXY327808 DHU327807:DHU327808 DRQ327807:DRQ327808 EBM327807:EBM327808 ELI327807:ELI327808 EVE327807:EVE327808 FFA327807:FFA327808 FOW327807:FOW327808 FYS327807:FYS327808 GIO327807:GIO327808 GSK327807:GSK327808 HCG327807:HCG327808 HMC327807:HMC327808 HVY327807:HVY327808 IFU327807:IFU327808 IPQ327807:IPQ327808 IZM327807:IZM327808 JJI327807:JJI327808 JTE327807:JTE327808 KDA327807:KDA327808 KMW327807:KMW327808 KWS327807:KWS327808 LGO327807:LGO327808 LQK327807:LQK327808 MAG327807:MAG327808 MKC327807:MKC327808 MTY327807:MTY327808 NDU327807:NDU327808 NNQ327807:NNQ327808 NXM327807:NXM327808 OHI327807:OHI327808 ORE327807:ORE327808 PBA327807:PBA327808 PKW327807:PKW327808 PUS327807:PUS327808 QEO327807:QEO327808 QOK327807:QOK327808 QYG327807:QYG327808 RIC327807:RIC327808 RRY327807:RRY327808 SBU327807:SBU327808 SLQ327807:SLQ327808 SVM327807:SVM327808 TFI327807:TFI327808 TPE327807:TPE327808 TZA327807:TZA327808 UIW327807:UIW327808 USS327807:USS327808 VCO327807:VCO327808 VMK327807:VMK327808 VWG327807:VWG327808 WGC327807:WGC327808 WPY327807:WPY327808 DM393343:DM393344 NI393343:NI393344 XE393343:XE393344 AHA393343:AHA393344 AQW393343:AQW393344 BAS393343:BAS393344 BKO393343:BKO393344 BUK393343:BUK393344 CEG393343:CEG393344 COC393343:COC393344 CXY393343:CXY393344 DHU393343:DHU393344 DRQ393343:DRQ393344 EBM393343:EBM393344 ELI393343:ELI393344 EVE393343:EVE393344 FFA393343:FFA393344 FOW393343:FOW393344 FYS393343:FYS393344 GIO393343:GIO393344 GSK393343:GSK393344 HCG393343:HCG393344 HMC393343:HMC393344 HVY393343:HVY393344 IFU393343:IFU393344 IPQ393343:IPQ393344 IZM393343:IZM393344 JJI393343:JJI393344 JTE393343:JTE393344 KDA393343:KDA393344 KMW393343:KMW393344 KWS393343:KWS393344 LGO393343:LGO393344 LQK393343:LQK393344 MAG393343:MAG393344 MKC393343:MKC393344 MTY393343:MTY393344 NDU393343:NDU393344 NNQ393343:NNQ393344 NXM393343:NXM393344 OHI393343:OHI393344 ORE393343:ORE393344 PBA393343:PBA393344 PKW393343:PKW393344 PUS393343:PUS393344 QEO393343:QEO393344 QOK393343:QOK393344 QYG393343:QYG393344 RIC393343:RIC393344 RRY393343:RRY393344 SBU393343:SBU393344 SLQ393343:SLQ393344 SVM393343:SVM393344 TFI393343:TFI393344 TPE393343:TPE393344 TZA393343:TZA393344 UIW393343:UIW393344 USS393343:USS393344 VCO393343:VCO393344 VMK393343:VMK393344 VWG393343:VWG393344 WGC393343:WGC393344 WPY393343:WPY393344 DM458879:DM458880 NI458879:NI458880 XE458879:XE458880 AHA458879:AHA458880 AQW458879:AQW458880 BAS458879:BAS458880 BKO458879:BKO458880 BUK458879:BUK458880 CEG458879:CEG458880 COC458879:COC458880 CXY458879:CXY458880 DHU458879:DHU458880 DRQ458879:DRQ458880 EBM458879:EBM458880 ELI458879:ELI458880 EVE458879:EVE458880 FFA458879:FFA458880 FOW458879:FOW458880 FYS458879:FYS458880 GIO458879:GIO458880 GSK458879:GSK458880 HCG458879:HCG458880 HMC458879:HMC458880 HVY458879:HVY458880 IFU458879:IFU458880 IPQ458879:IPQ458880 IZM458879:IZM458880 JJI458879:JJI458880 JTE458879:JTE458880 KDA458879:KDA458880 KMW458879:KMW458880 KWS458879:KWS458880 LGO458879:LGO458880 LQK458879:LQK458880 MAG458879:MAG458880 MKC458879:MKC458880 MTY458879:MTY458880 NDU458879:NDU458880 NNQ458879:NNQ458880 NXM458879:NXM458880 OHI458879:OHI458880 ORE458879:ORE458880 PBA458879:PBA458880 PKW458879:PKW458880 PUS458879:PUS458880 QEO458879:QEO458880 QOK458879:QOK458880 QYG458879:QYG458880 RIC458879:RIC458880 RRY458879:RRY458880 SBU458879:SBU458880 SLQ458879:SLQ458880 SVM458879:SVM458880 TFI458879:TFI458880 TPE458879:TPE458880 TZA458879:TZA458880 UIW458879:UIW458880 USS458879:USS458880 VCO458879:VCO458880 VMK458879:VMK458880 VWG458879:VWG458880 WGC458879:WGC458880 WPY458879:WPY458880 DM524415:DM524416 NI524415:NI524416 XE524415:XE524416 AHA524415:AHA524416 AQW524415:AQW524416 BAS524415:BAS524416 BKO524415:BKO524416 BUK524415:BUK524416 CEG524415:CEG524416 COC524415:COC524416 CXY524415:CXY524416 DHU524415:DHU524416 DRQ524415:DRQ524416 EBM524415:EBM524416 ELI524415:ELI524416 EVE524415:EVE524416 FFA524415:FFA524416 FOW524415:FOW524416 FYS524415:FYS524416 GIO524415:GIO524416 GSK524415:GSK524416 HCG524415:HCG524416 HMC524415:HMC524416 HVY524415:HVY524416 IFU524415:IFU524416 IPQ524415:IPQ524416 IZM524415:IZM524416 JJI524415:JJI524416 JTE524415:JTE524416 KDA524415:KDA524416 KMW524415:KMW524416 KWS524415:KWS524416 LGO524415:LGO524416 LQK524415:LQK524416 MAG524415:MAG524416 MKC524415:MKC524416 MTY524415:MTY524416 NDU524415:NDU524416 NNQ524415:NNQ524416 NXM524415:NXM524416 OHI524415:OHI524416 ORE524415:ORE524416 PBA524415:PBA524416 PKW524415:PKW524416 PUS524415:PUS524416 QEO524415:QEO524416 QOK524415:QOK524416 QYG524415:QYG524416 RIC524415:RIC524416 RRY524415:RRY524416 SBU524415:SBU524416 SLQ524415:SLQ524416 SVM524415:SVM524416 TFI524415:TFI524416 TPE524415:TPE524416 TZA524415:TZA524416 UIW524415:UIW524416 USS524415:USS524416 VCO524415:VCO524416 VMK524415:VMK524416 VWG524415:VWG524416 WGC524415:WGC524416 WPY524415:WPY524416 DM589951:DM589952 NI589951:NI589952 XE589951:XE589952 AHA589951:AHA589952 AQW589951:AQW589952 BAS589951:BAS589952 BKO589951:BKO589952 BUK589951:BUK589952 CEG589951:CEG589952 COC589951:COC589952 CXY589951:CXY589952 DHU589951:DHU589952 DRQ589951:DRQ589952 EBM589951:EBM589952 ELI589951:ELI589952 EVE589951:EVE589952 FFA589951:FFA589952 FOW589951:FOW589952 FYS589951:FYS589952 GIO589951:GIO589952 GSK589951:GSK589952 HCG589951:HCG589952 HMC589951:HMC589952 HVY589951:HVY589952 IFU589951:IFU589952 IPQ589951:IPQ589952 IZM589951:IZM589952 JJI589951:JJI589952 JTE589951:JTE589952 KDA589951:KDA589952 KMW589951:KMW589952 KWS589951:KWS589952 LGO589951:LGO589952 LQK589951:LQK589952 MAG589951:MAG589952 MKC589951:MKC589952 MTY589951:MTY589952 NDU589951:NDU589952 NNQ589951:NNQ589952 NXM589951:NXM589952 OHI589951:OHI589952 ORE589951:ORE589952 PBA589951:PBA589952 PKW589951:PKW589952 PUS589951:PUS589952 QEO589951:QEO589952 QOK589951:QOK589952 QYG589951:QYG589952 RIC589951:RIC589952 RRY589951:RRY589952 SBU589951:SBU589952 SLQ589951:SLQ589952 SVM589951:SVM589952 TFI589951:TFI589952 TPE589951:TPE589952 TZA589951:TZA589952 UIW589951:UIW589952 USS589951:USS589952 VCO589951:VCO589952 VMK589951:VMK589952 VWG589951:VWG589952 WGC589951:WGC589952 WPY589951:WPY589952 DM655487:DM655488 NI655487:NI655488 XE655487:XE655488 AHA655487:AHA655488 AQW655487:AQW655488 BAS655487:BAS655488 BKO655487:BKO655488 BUK655487:BUK655488 CEG655487:CEG655488 COC655487:COC655488 CXY655487:CXY655488 DHU655487:DHU655488 DRQ655487:DRQ655488 EBM655487:EBM655488 ELI655487:ELI655488 EVE655487:EVE655488 FFA655487:FFA655488 FOW655487:FOW655488 FYS655487:FYS655488 GIO655487:GIO655488 GSK655487:GSK655488 HCG655487:HCG655488 HMC655487:HMC655488 HVY655487:HVY655488 IFU655487:IFU655488 IPQ655487:IPQ655488 IZM655487:IZM655488 JJI655487:JJI655488 JTE655487:JTE655488 KDA655487:KDA655488 KMW655487:KMW655488 KWS655487:KWS655488 LGO655487:LGO655488 LQK655487:LQK655488 MAG655487:MAG655488 MKC655487:MKC655488 MTY655487:MTY655488 NDU655487:NDU655488 NNQ655487:NNQ655488 NXM655487:NXM655488 OHI655487:OHI655488 ORE655487:ORE655488 PBA655487:PBA655488 PKW655487:PKW655488 PUS655487:PUS655488 QEO655487:QEO655488 QOK655487:QOK655488 QYG655487:QYG655488 RIC655487:RIC655488 RRY655487:RRY655488 SBU655487:SBU655488 SLQ655487:SLQ655488 SVM655487:SVM655488 TFI655487:TFI655488 TPE655487:TPE655488 TZA655487:TZA655488 UIW655487:UIW655488 USS655487:USS655488 VCO655487:VCO655488 VMK655487:VMK655488 VWG655487:VWG655488 WGC655487:WGC655488 WPY655487:WPY655488 DM721023:DM721024 NI721023:NI721024 XE721023:XE721024 AHA721023:AHA721024 AQW721023:AQW721024 BAS721023:BAS721024 BKO721023:BKO721024 BUK721023:BUK721024 CEG721023:CEG721024 COC721023:COC721024 CXY721023:CXY721024 DHU721023:DHU721024 DRQ721023:DRQ721024 EBM721023:EBM721024 ELI721023:ELI721024 EVE721023:EVE721024 FFA721023:FFA721024 FOW721023:FOW721024 FYS721023:FYS721024 GIO721023:GIO721024 GSK721023:GSK721024 HCG721023:HCG721024 HMC721023:HMC721024 HVY721023:HVY721024 IFU721023:IFU721024 IPQ721023:IPQ721024 IZM721023:IZM721024 JJI721023:JJI721024 JTE721023:JTE721024 KDA721023:KDA721024 KMW721023:KMW721024 KWS721023:KWS721024 LGO721023:LGO721024 LQK721023:LQK721024 MAG721023:MAG721024 MKC721023:MKC721024 MTY721023:MTY721024 NDU721023:NDU721024 NNQ721023:NNQ721024 NXM721023:NXM721024 OHI721023:OHI721024 ORE721023:ORE721024 PBA721023:PBA721024 PKW721023:PKW721024 PUS721023:PUS721024 QEO721023:QEO721024 QOK721023:QOK721024 QYG721023:QYG721024 RIC721023:RIC721024 RRY721023:RRY721024 SBU721023:SBU721024 SLQ721023:SLQ721024 SVM721023:SVM721024 TFI721023:TFI721024 TPE721023:TPE721024 TZA721023:TZA721024 UIW721023:UIW721024 USS721023:USS721024 VCO721023:VCO721024 VMK721023:VMK721024 VWG721023:VWG721024 WGC721023:WGC721024 WPY721023:WPY721024 DM786559:DM786560 NI786559:NI786560 XE786559:XE786560 AHA786559:AHA786560 AQW786559:AQW786560 BAS786559:BAS786560 BKO786559:BKO786560 BUK786559:BUK786560 CEG786559:CEG786560 COC786559:COC786560 CXY786559:CXY786560 DHU786559:DHU786560 DRQ786559:DRQ786560 EBM786559:EBM786560 ELI786559:ELI786560 EVE786559:EVE786560 FFA786559:FFA786560 FOW786559:FOW786560 FYS786559:FYS786560 GIO786559:GIO786560 GSK786559:GSK786560 HCG786559:HCG786560 HMC786559:HMC786560 HVY786559:HVY786560 IFU786559:IFU786560 IPQ786559:IPQ786560 IZM786559:IZM786560 JJI786559:JJI786560 JTE786559:JTE786560 KDA786559:KDA786560 KMW786559:KMW786560 KWS786559:KWS786560 LGO786559:LGO786560 LQK786559:LQK786560 MAG786559:MAG786560 MKC786559:MKC786560 MTY786559:MTY786560 NDU786559:NDU786560 NNQ786559:NNQ786560 NXM786559:NXM786560 OHI786559:OHI786560 ORE786559:ORE786560 PBA786559:PBA786560 PKW786559:PKW786560 PUS786559:PUS786560 QEO786559:QEO786560 QOK786559:QOK786560 QYG786559:QYG786560 RIC786559:RIC786560 RRY786559:RRY786560 SBU786559:SBU786560 SLQ786559:SLQ786560 SVM786559:SVM786560 TFI786559:TFI786560 TPE786559:TPE786560 TZA786559:TZA786560 UIW786559:UIW786560 USS786559:USS786560 VCO786559:VCO786560 VMK786559:VMK786560 VWG786559:VWG786560 WGC786559:WGC786560 WPY786559:WPY786560 DM852095:DM852096 NI852095:NI852096 XE852095:XE852096 AHA852095:AHA852096 AQW852095:AQW852096 BAS852095:BAS852096 BKO852095:BKO852096 BUK852095:BUK852096 CEG852095:CEG852096 COC852095:COC852096 CXY852095:CXY852096 DHU852095:DHU852096 DRQ852095:DRQ852096 EBM852095:EBM852096 ELI852095:ELI852096 EVE852095:EVE852096 FFA852095:FFA852096 FOW852095:FOW852096 FYS852095:FYS852096 GIO852095:GIO852096 GSK852095:GSK852096 HCG852095:HCG852096 HMC852095:HMC852096 HVY852095:HVY852096 IFU852095:IFU852096 IPQ852095:IPQ852096 IZM852095:IZM852096 JJI852095:JJI852096 JTE852095:JTE852096 KDA852095:KDA852096 KMW852095:KMW852096 KWS852095:KWS852096 LGO852095:LGO852096 LQK852095:LQK852096 MAG852095:MAG852096 MKC852095:MKC852096 MTY852095:MTY852096 NDU852095:NDU852096 NNQ852095:NNQ852096 NXM852095:NXM852096 OHI852095:OHI852096 ORE852095:ORE852096 PBA852095:PBA852096 PKW852095:PKW852096 PUS852095:PUS852096 QEO852095:QEO852096 QOK852095:QOK852096 QYG852095:QYG852096 RIC852095:RIC852096 RRY852095:RRY852096 SBU852095:SBU852096 SLQ852095:SLQ852096 SVM852095:SVM852096 TFI852095:TFI852096 TPE852095:TPE852096 TZA852095:TZA852096 UIW852095:UIW852096 USS852095:USS852096 VCO852095:VCO852096 VMK852095:VMK852096 VWG852095:VWG852096 WGC852095:WGC852096 WPY852095:WPY852096 DM917631:DM917632 NI917631:NI917632 XE917631:XE917632 AHA917631:AHA917632 AQW917631:AQW917632 BAS917631:BAS917632 BKO917631:BKO917632 BUK917631:BUK917632 CEG917631:CEG917632 COC917631:COC917632 CXY917631:CXY917632 DHU917631:DHU917632 DRQ917631:DRQ917632 EBM917631:EBM917632 ELI917631:ELI917632 EVE917631:EVE917632 FFA917631:FFA917632 FOW917631:FOW917632 FYS917631:FYS917632 GIO917631:GIO917632 GSK917631:GSK917632 HCG917631:HCG917632 HMC917631:HMC917632 HVY917631:HVY917632 IFU917631:IFU917632 IPQ917631:IPQ917632 IZM917631:IZM917632 JJI917631:JJI917632 JTE917631:JTE917632 KDA917631:KDA917632 KMW917631:KMW917632 KWS917631:KWS917632 LGO917631:LGO917632 LQK917631:LQK917632 MAG917631:MAG917632 MKC917631:MKC917632 MTY917631:MTY917632 NDU917631:NDU917632 NNQ917631:NNQ917632 NXM917631:NXM917632 OHI917631:OHI917632 ORE917631:ORE917632 PBA917631:PBA917632 PKW917631:PKW917632 PUS917631:PUS917632 QEO917631:QEO917632 QOK917631:QOK917632 QYG917631:QYG917632 RIC917631:RIC917632 RRY917631:RRY917632 SBU917631:SBU917632 SLQ917631:SLQ917632 SVM917631:SVM917632 TFI917631:TFI917632 TPE917631:TPE917632 TZA917631:TZA917632 UIW917631:UIW917632 USS917631:USS917632 VCO917631:VCO917632 VMK917631:VMK917632 VWG917631:VWG917632 WGC917631:WGC917632 WPY917631:WPY917632 DM983167:DM983168 NI983167:NI983168 XE983167:XE983168 AHA983167:AHA983168 AQW983167:AQW983168 BAS983167:BAS983168 BKO983167:BKO983168 BUK983167:BUK983168 CEG983167:CEG983168 COC983167:COC983168 CXY983167:CXY983168 DHU983167:DHU983168 DRQ983167:DRQ983168 EBM983167:EBM983168 ELI983167:ELI983168 EVE983167:EVE983168 FFA983167:FFA983168 FOW983167:FOW983168 FYS983167:FYS983168 GIO983167:GIO983168 GSK983167:GSK983168 HCG983167:HCG983168 HMC983167:HMC983168 HVY983167:HVY983168 IFU983167:IFU983168 IPQ983167:IPQ983168 IZM983167:IZM983168 JJI983167:JJI983168 JTE983167:JTE983168 KDA983167:KDA983168 KMW983167:KMW983168 KWS983167:KWS983168 LGO983167:LGO983168 LQK983167:LQK983168 MAG983167:MAG983168 MKC983167:MKC983168 MTY983167:MTY983168 NDU983167:NDU983168 NNQ983167:NNQ983168 NXM983167:NXM983168 OHI983167:OHI983168 ORE983167:ORE983168 PBA983167:PBA983168 PKW983167:PKW983168 PUS983167:PUS983168 QEO983167:QEO983168 QOK983167:QOK983168 QYG983167:QYG983168 RIC983167:RIC983168 RRY983167:RRY983168 SBU983167:SBU983168 SLQ983167:SLQ983168 SVM983167:SVM983168 TFI983167:TFI983168 TPE983167:TPE983168 TZA983167:TZA983168 UIW983167:UIW983168 USS983167:USS983168 VCO983167:VCO983168 VMK983167:VMK983168 VWG983167:VWG983168 WGC983167:WGC983168 WPY983167:WPY983168 WPY983221 DM65674:DM65684 NI65674:NI65684 XE65674:XE65684 AHA65674:AHA65684 AQW65674:AQW65684 BAS65674:BAS65684 BKO65674:BKO65684 BUK65674:BUK65684 CEG65674:CEG65684 COC65674:COC65684 CXY65674:CXY65684 DHU65674:DHU65684 DRQ65674:DRQ65684 EBM65674:EBM65684 ELI65674:ELI65684 EVE65674:EVE65684 FFA65674:FFA65684 FOW65674:FOW65684 FYS65674:FYS65684 GIO65674:GIO65684 GSK65674:GSK65684 HCG65674:HCG65684 HMC65674:HMC65684 HVY65674:HVY65684 IFU65674:IFU65684 IPQ65674:IPQ65684 IZM65674:IZM65684 JJI65674:JJI65684 JTE65674:JTE65684 KDA65674:KDA65684 KMW65674:KMW65684 KWS65674:KWS65684 LGO65674:LGO65684 LQK65674:LQK65684 MAG65674:MAG65684 MKC65674:MKC65684 MTY65674:MTY65684 NDU65674:NDU65684 NNQ65674:NNQ65684 NXM65674:NXM65684 OHI65674:OHI65684 ORE65674:ORE65684 PBA65674:PBA65684 PKW65674:PKW65684 PUS65674:PUS65684 QEO65674:QEO65684 QOK65674:QOK65684 QYG65674:QYG65684 RIC65674:RIC65684 RRY65674:RRY65684 SBU65674:SBU65684 SLQ65674:SLQ65684 SVM65674:SVM65684 TFI65674:TFI65684 TPE65674:TPE65684 TZA65674:TZA65684 UIW65674:UIW65684 USS65674:USS65684 VCO65674:VCO65684 VMK65674:VMK65684 VWG65674:VWG65684 WGC65674:WGC65684 WPY65674:WPY65684 DM131210:DM131220 NI131210:NI131220 XE131210:XE131220 AHA131210:AHA131220 AQW131210:AQW131220 BAS131210:BAS131220 BKO131210:BKO131220 BUK131210:BUK131220 CEG131210:CEG131220 COC131210:COC131220 CXY131210:CXY131220 DHU131210:DHU131220 DRQ131210:DRQ131220 EBM131210:EBM131220 ELI131210:ELI131220 EVE131210:EVE131220 FFA131210:FFA131220 FOW131210:FOW131220 FYS131210:FYS131220 GIO131210:GIO131220 GSK131210:GSK131220 HCG131210:HCG131220 HMC131210:HMC131220 HVY131210:HVY131220 IFU131210:IFU131220 IPQ131210:IPQ131220 IZM131210:IZM131220 JJI131210:JJI131220 JTE131210:JTE131220 KDA131210:KDA131220 KMW131210:KMW131220 KWS131210:KWS131220 LGO131210:LGO131220 LQK131210:LQK131220 MAG131210:MAG131220 MKC131210:MKC131220 MTY131210:MTY131220 NDU131210:NDU131220 NNQ131210:NNQ131220 NXM131210:NXM131220 OHI131210:OHI131220 ORE131210:ORE131220 PBA131210:PBA131220 PKW131210:PKW131220 PUS131210:PUS131220 QEO131210:QEO131220 QOK131210:QOK131220 QYG131210:QYG131220 RIC131210:RIC131220 RRY131210:RRY131220 SBU131210:SBU131220 SLQ131210:SLQ131220 SVM131210:SVM131220 TFI131210:TFI131220 TPE131210:TPE131220 TZA131210:TZA131220 UIW131210:UIW131220 USS131210:USS131220 VCO131210:VCO131220 VMK131210:VMK131220 VWG131210:VWG131220 WGC131210:WGC131220 WPY131210:WPY131220 DM196746:DM196756 NI196746:NI196756 XE196746:XE196756 AHA196746:AHA196756 AQW196746:AQW196756 BAS196746:BAS196756 BKO196746:BKO196756 BUK196746:BUK196756 CEG196746:CEG196756 COC196746:COC196756 CXY196746:CXY196756 DHU196746:DHU196756 DRQ196746:DRQ196756 EBM196746:EBM196756 ELI196746:ELI196756 EVE196746:EVE196756 FFA196746:FFA196756 FOW196746:FOW196756 FYS196746:FYS196756 GIO196746:GIO196756 GSK196746:GSK196756 HCG196746:HCG196756 HMC196746:HMC196756 HVY196746:HVY196756 IFU196746:IFU196756 IPQ196746:IPQ196756 IZM196746:IZM196756 JJI196746:JJI196756 JTE196746:JTE196756 KDA196746:KDA196756 KMW196746:KMW196756 KWS196746:KWS196756 LGO196746:LGO196756 LQK196746:LQK196756 MAG196746:MAG196756 MKC196746:MKC196756 MTY196746:MTY196756 NDU196746:NDU196756 NNQ196746:NNQ196756 NXM196746:NXM196756 OHI196746:OHI196756 ORE196746:ORE196756 PBA196746:PBA196756 PKW196746:PKW196756 PUS196746:PUS196756 QEO196746:QEO196756 QOK196746:QOK196756 QYG196746:QYG196756 RIC196746:RIC196756 RRY196746:RRY196756 SBU196746:SBU196756 SLQ196746:SLQ196756 SVM196746:SVM196756 TFI196746:TFI196756 TPE196746:TPE196756 TZA196746:TZA196756 UIW196746:UIW196756 USS196746:USS196756 VCO196746:VCO196756 VMK196746:VMK196756 VWG196746:VWG196756 WGC196746:WGC196756 WPY196746:WPY196756 DM262282:DM262292 NI262282:NI262292 XE262282:XE262292 AHA262282:AHA262292 AQW262282:AQW262292 BAS262282:BAS262292 BKO262282:BKO262292 BUK262282:BUK262292 CEG262282:CEG262292 COC262282:COC262292 CXY262282:CXY262292 DHU262282:DHU262292 DRQ262282:DRQ262292 EBM262282:EBM262292 ELI262282:ELI262292 EVE262282:EVE262292 FFA262282:FFA262292 FOW262282:FOW262292 FYS262282:FYS262292 GIO262282:GIO262292 GSK262282:GSK262292 HCG262282:HCG262292 HMC262282:HMC262292 HVY262282:HVY262292 IFU262282:IFU262292 IPQ262282:IPQ262292 IZM262282:IZM262292 JJI262282:JJI262292 JTE262282:JTE262292 KDA262282:KDA262292 KMW262282:KMW262292 KWS262282:KWS262292 LGO262282:LGO262292 LQK262282:LQK262292 MAG262282:MAG262292 MKC262282:MKC262292 MTY262282:MTY262292 NDU262282:NDU262292 NNQ262282:NNQ262292 NXM262282:NXM262292 OHI262282:OHI262292 ORE262282:ORE262292 PBA262282:PBA262292 PKW262282:PKW262292 PUS262282:PUS262292 QEO262282:QEO262292 QOK262282:QOK262292 QYG262282:QYG262292 RIC262282:RIC262292 RRY262282:RRY262292 SBU262282:SBU262292 SLQ262282:SLQ262292 SVM262282:SVM262292 TFI262282:TFI262292 TPE262282:TPE262292 TZA262282:TZA262292 UIW262282:UIW262292 USS262282:USS262292 VCO262282:VCO262292 VMK262282:VMK262292 VWG262282:VWG262292 WGC262282:WGC262292 WPY262282:WPY262292 DM327818:DM327828 NI327818:NI327828 XE327818:XE327828 AHA327818:AHA327828 AQW327818:AQW327828 BAS327818:BAS327828 BKO327818:BKO327828 BUK327818:BUK327828 CEG327818:CEG327828 COC327818:COC327828 CXY327818:CXY327828 DHU327818:DHU327828 DRQ327818:DRQ327828 EBM327818:EBM327828 ELI327818:ELI327828 EVE327818:EVE327828 FFA327818:FFA327828 FOW327818:FOW327828 FYS327818:FYS327828 GIO327818:GIO327828 GSK327818:GSK327828 HCG327818:HCG327828 HMC327818:HMC327828 HVY327818:HVY327828 IFU327818:IFU327828 IPQ327818:IPQ327828 IZM327818:IZM327828 JJI327818:JJI327828 JTE327818:JTE327828 KDA327818:KDA327828 KMW327818:KMW327828 KWS327818:KWS327828 LGO327818:LGO327828 LQK327818:LQK327828 MAG327818:MAG327828 MKC327818:MKC327828 MTY327818:MTY327828 NDU327818:NDU327828 NNQ327818:NNQ327828 NXM327818:NXM327828 OHI327818:OHI327828 ORE327818:ORE327828 PBA327818:PBA327828 PKW327818:PKW327828 PUS327818:PUS327828 QEO327818:QEO327828 QOK327818:QOK327828 QYG327818:QYG327828 RIC327818:RIC327828 RRY327818:RRY327828 SBU327818:SBU327828 SLQ327818:SLQ327828 SVM327818:SVM327828 TFI327818:TFI327828 TPE327818:TPE327828 TZA327818:TZA327828 UIW327818:UIW327828 USS327818:USS327828 VCO327818:VCO327828 VMK327818:VMK327828 VWG327818:VWG327828 WGC327818:WGC327828 WPY327818:WPY327828 DM393354:DM393364 NI393354:NI393364 XE393354:XE393364 AHA393354:AHA393364 AQW393354:AQW393364 BAS393354:BAS393364 BKO393354:BKO393364 BUK393354:BUK393364 CEG393354:CEG393364 COC393354:COC393364 CXY393354:CXY393364 DHU393354:DHU393364 DRQ393354:DRQ393364 EBM393354:EBM393364 ELI393354:ELI393364 EVE393354:EVE393364 FFA393354:FFA393364 FOW393354:FOW393364 FYS393354:FYS393364 GIO393354:GIO393364 GSK393354:GSK393364 HCG393354:HCG393364 HMC393354:HMC393364 HVY393354:HVY393364 IFU393354:IFU393364 IPQ393354:IPQ393364 IZM393354:IZM393364 JJI393354:JJI393364 JTE393354:JTE393364 KDA393354:KDA393364 KMW393354:KMW393364 KWS393354:KWS393364 LGO393354:LGO393364 LQK393354:LQK393364 MAG393354:MAG393364 MKC393354:MKC393364 MTY393354:MTY393364 NDU393354:NDU393364 NNQ393354:NNQ393364 NXM393354:NXM393364 OHI393354:OHI393364 ORE393354:ORE393364 PBA393354:PBA393364 PKW393354:PKW393364 PUS393354:PUS393364 QEO393354:QEO393364 QOK393354:QOK393364 QYG393354:QYG393364 RIC393354:RIC393364 RRY393354:RRY393364 SBU393354:SBU393364 SLQ393354:SLQ393364 SVM393354:SVM393364 TFI393354:TFI393364 TPE393354:TPE393364 TZA393354:TZA393364 UIW393354:UIW393364 USS393354:USS393364 VCO393354:VCO393364 VMK393354:VMK393364 VWG393354:VWG393364 WGC393354:WGC393364 WPY393354:WPY393364 DM458890:DM458900 NI458890:NI458900 XE458890:XE458900 AHA458890:AHA458900 AQW458890:AQW458900 BAS458890:BAS458900 BKO458890:BKO458900 BUK458890:BUK458900 CEG458890:CEG458900 COC458890:COC458900 CXY458890:CXY458900 DHU458890:DHU458900 DRQ458890:DRQ458900 EBM458890:EBM458900 ELI458890:ELI458900 EVE458890:EVE458900 FFA458890:FFA458900 FOW458890:FOW458900 FYS458890:FYS458900 GIO458890:GIO458900 GSK458890:GSK458900 HCG458890:HCG458900 HMC458890:HMC458900 HVY458890:HVY458900 IFU458890:IFU458900 IPQ458890:IPQ458900 IZM458890:IZM458900 JJI458890:JJI458900 JTE458890:JTE458900 KDA458890:KDA458900 KMW458890:KMW458900 KWS458890:KWS458900 LGO458890:LGO458900 LQK458890:LQK458900 MAG458890:MAG458900 MKC458890:MKC458900 MTY458890:MTY458900 NDU458890:NDU458900 NNQ458890:NNQ458900 NXM458890:NXM458900 OHI458890:OHI458900 ORE458890:ORE458900 PBA458890:PBA458900 PKW458890:PKW458900 PUS458890:PUS458900 QEO458890:QEO458900 QOK458890:QOK458900 QYG458890:QYG458900 RIC458890:RIC458900 RRY458890:RRY458900 SBU458890:SBU458900 SLQ458890:SLQ458900 SVM458890:SVM458900 TFI458890:TFI458900 TPE458890:TPE458900 TZA458890:TZA458900 UIW458890:UIW458900 USS458890:USS458900 VCO458890:VCO458900 VMK458890:VMK458900 VWG458890:VWG458900 WGC458890:WGC458900 WPY458890:WPY458900 DM524426:DM524436 NI524426:NI524436 XE524426:XE524436 AHA524426:AHA524436 AQW524426:AQW524436 BAS524426:BAS524436 BKO524426:BKO524436 BUK524426:BUK524436 CEG524426:CEG524436 COC524426:COC524436 CXY524426:CXY524436 DHU524426:DHU524436 DRQ524426:DRQ524436 EBM524426:EBM524436 ELI524426:ELI524436 EVE524426:EVE524436 FFA524426:FFA524436 FOW524426:FOW524436 FYS524426:FYS524436 GIO524426:GIO524436 GSK524426:GSK524436 HCG524426:HCG524436 HMC524426:HMC524436 HVY524426:HVY524436 IFU524426:IFU524436 IPQ524426:IPQ524436 IZM524426:IZM524436 JJI524426:JJI524436 JTE524426:JTE524436 KDA524426:KDA524436 KMW524426:KMW524436 KWS524426:KWS524436 LGO524426:LGO524436 LQK524426:LQK524436 MAG524426:MAG524436 MKC524426:MKC524436 MTY524426:MTY524436 NDU524426:NDU524436 NNQ524426:NNQ524436 NXM524426:NXM524436 OHI524426:OHI524436 ORE524426:ORE524436 PBA524426:PBA524436 PKW524426:PKW524436 PUS524426:PUS524436 QEO524426:QEO524436 QOK524426:QOK524436 QYG524426:QYG524436 RIC524426:RIC524436 RRY524426:RRY524436 SBU524426:SBU524436 SLQ524426:SLQ524436 SVM524426:SVM524436 TFI524426:TFI524436 TPE524426:TPE524436 TZA524426:TZA524436 UIW524426:UIW524436 USS524426:USS524436 VCO524426:VCO524436 VMK524426:VMK524436 VWG524426:VWG524436 WGC524426:WGC524436 WPY524426:WPY524436 DM589962:DM589972 NI589962:NI589972 XE589962:XE589972 AHA589962:AHA589972 AQW589962:AQW589972 BAS589962:BAS589972 BKO589962:BKO589972 BUK589962:BUK589972 CEG589962:CEG589972 COC589962:COC589972 CXY589962:CXY589972 DHU589962:DHU589972 DRQ589962:DRQ589972 EBM589962:EBM589972 ELI589962:ELI589972 EVE589962:EVE589972 FFA589962:FFA589972 FOW589962:FOW589972 FYS589962:FYS589972 GIO589962:GIO589972 GSK589962:GSK589972 HCG589962:HCG589972 HMC589962:HMC589972 HVY589962:HVY589972 IFU589962:IFU589972 IPQ589962:IPQ589972 IZM589962:IZM589972 JJI589962:JJI589972 JTE589962:JTE589972 KDA589962:KDA589972 KMW589962:KMW589972 KWS589962:KWS589972 LGO589962:LGO589972 LQK589962:LQK589972 MAG589962:MAG589972 MKC589962:MKC589972 MTY589962:MTY589972 NDU589962:NDU589972 NNQ589962:NNQ589972 NXM589962:NXM589972 OHI589962:OHI589972 ORE589962:ORE589972 PBA589962:PBA589972 PKW589962:PKW589972 PUS589962:PUS589972 QEO589962:QEO589972 QOK589962:QOK589972 QYG589962:QYG589972 RIC589962:RIC589972 RRY589962:RRY589972 SBU589962:SBU589972 SLQ589962:SLQ589972 SVM589962:SVM589972 TFI589962:TFI589972 TPE589962:TPE589972 TZA589962:TZA589972 UIW589962:UIW589972 USS589962:USS589972 VCO589962:VCO589972 VMK589962:VMK589972 VWG589962:VWG589972 WGC589962:WGC589972 WPY589962:WPY589972 DM655498:DM655508 NI655498:NI655508 XE655498:XE655508 AHA655498:AHA655508 AQW655498:AQW655508 BAS655498:BAS655508 BKO655498:BKO655508 BUK655498:BUK655508 CEG655498:CEG655508 COC655498:COC655508 CXY655498:CXY655508 DHU655498:DHU655508 DRQ655498:DRQ655508 EBM655498:EBM655508 ELI655498:ELI655508 EVE655498:EVE655508 FFA655498:FFA655508 FOW655498:FOW655508 FYS655498:FYS655508 GIO655498:GIO655508 GSK655498:GSK655508 HCG655498:HCG655508 HMC655498:HMC655508 HVY655498:HVY655508 IFU655498:IFU655508 IPQ655498:IPQ655508 IZM655498:IZM655508 JJI655498:JJI655508 JTE655498:JTE655508 KDA655498:KDA655508 KMW655498:KMW655508 KWS655498:KWS655508 LGO655498:LGO655508 LQK655498:LQK655508 MAG655498:MAG655508 MKC655498:MKC655508 MTY655498:MTY655508 NDU655498:NDU655508 NNQ655498:NNQ655508 NXM655498:NXM655508 OHI655498:OHI655508 ORE655498:ORE655508 PBA655498:PBA655508 PKW655498:PKW655508 PUS655498:PUS655508 QEO655498:QEO655508 QOK655498:QOK655508 QYG655498:QYG655508 RIC655498:RIC655508 RRY655498:RRY655508 SBU655498:SBU655508 SLQ655498:SLQ655508 SVM655498:SVM655508 TFI655498:TFI655508 TPE655498:TPE655508 TZA655498:TZA655508 UIW655498:UIW655508 USS655498:USS655508 VCO655498:VCO655508 VMK655498:VMK655508 VWG655498:VWG655508 WGC655498:WGC655508 WPY655498:WPY655508 DM721034:DM721044 NI721034:NI721044 XE721034:XE721044 AHA721034:AHA721044 AQW721034:AQW721044 BAS721034:BAS721044 BKO721034:BKO721044 BUK721034:BUK721044 CEG721034:CEG721044 COC721034:COC721044 CXY721034:CXY721044 DHU721034:DHU721044 DRQ721034:DRQ721044 EBM721034:EBM721044 ELI721034:ELI721044 EVE721034:EVE721044 FFA721034:FFA721044 FOW721034:FOW721044 FYS721034:FYS721044 GIO721034:GIO721044 GSK721034:GSK721044 HCG721034:HCG721044 HMC721034:HMC721044 HVY721034:HVY721044 IFU721034:IFU721044 IPQ721034:IPQ721044 IZM721034:IZM721044 JJI721034:JJI721044 JTE721034:JTE721044 KDA721034:KDA721044 KMW721034:KMW721044 KWS721034:KWS721044 LGO721034:LGO721044 LQK721034:LQK721044 MAG721034:MAG721044 MKC721034:MKC721044 MTY721034:MTY721044 NDU721034:NDU721044 NNQ721034:NNQ721044 NXM721034:NXM721044 OHI721034:OHI721044 ORE721034:ORE721044 PBA721034:PBA721044 PKW721034:PKW721044 PUS721034:PUS721044 QEO721034:QEO721044 QOK721034:QOK721044 QYG721034:QYG721044 RIC721034:RIC721044 RRY721034:RRY721044 SBU721034:SBU721044 SLQ721034:SLQ721044 SVM721034:SVM721044 TFI721034:TFI721044 TPE721034:TPE721044 TZA721034:TZA721044 UIW721034:UIW721044 USS721034:USS721044 VCO721034:VCO721044 VMK721034:VMK721044 VWG721034:VWG721044 WGC721034:WGC721044 WPY721034:WPY721044 DM786570:DM786580 NI786570:NI786580 XE786570:XE786580 AHA786570:AHA786580 AQW786570:AQW786580 BAS786570:BAS786580 BKO786570:BKO786580 BUK786570:BUK786580 CEG786570:CEG786580 COC786570:COC786580 CXY786570:CXY786580 DHU786570:DHU786580 DRQ786570:DRQ786580 EBM786570:EBM786580 ELI786570:ELI786580 EVE786570:EVE786580 FFA786570:FFA786580 FOW786570:FOW786580 FYS786570:FYS786580 GIO786570:GIO786580 GSK786570:GSK786580 HCG786570:HCG786580 HMC786570:HMC786580 HVY786570:HVY786580 IFU786570:IFU786580 IPQ786570:IPQ786580 IZM786570:IZM786580 JJI786570:JJI786580 JTE786570:JTE786580 KDA786570:KDA786580 KMW786570:KMW786580 KWS786570:KWS786580 LGO786570:LGO786580 LQK786570:LQK786580 MAG786570:MAG786580 MKC786570:MKC786580 MTY786570:MTY786580 NDU786570:NDU786580 NNQ786570:NNQ786580 NXM786570:NXM786580 OHI786570:OHI786580 ORE786570:ORE786580 PBA786570:PBA786580 PKW786570:PKW786580 PUS786570:PUS786580 QEO786570:QEO786580 QOK786570:QOK786580 QYG786570:QYG786580 RIC786570:RIC786580 RRY786570:RRY786580 SBU786570:SBU786580 SLQ786570:SLQ786580 SVM786570:SVM786580 TFI786570:TFI786580 TPE786570:TPE786580 TZA786570:TZA786580 UIW786570:UIW786580 USS786570:USS786580 VCO786570:VCO786580 VMK786570:VMK786580 VWG786570:VWG786580 WGC786570:WGC786580 WPY786570:WPY786580 DM852106:DM852116 NI852106:NI852116 XE852106:XE852116 AHA852106:AHA852116 AQW852106:AQW852116 BAS852106:BAS852116 BKO852106:BKO852116 BUK852106:BUK852116 CEG852106:CEG852116 COC852106:COC852116 CXY852106:CXY852116 DHU852106:DHU852116 DRQ852106:DRQ852116 EBM852106:EBM852116 ELI852106:ELI852116 EVE852106:EVE852116 FFA852106:FFA852116 FOW852106:FOW852116 FYS852106:FYS852116 GIO852106:GIO852116 GSK852106:GSK852116 HCG852106:HCG852116 HMC852106:HMC852116 HVY852106:HVY852116 IFU852106:IFU852116 IPQ852106:IPQ852116 IZM852106:IZM852116 JJI852106:JJI852116 JTE852106:JTE852116 KDA852106:KDA852116 KMW852106:KMW852116 KWS852106:KWS852116 LGO852106:LGO852116 LQK852106:LQK852116 MAG852106:MAG852116 MKC852106:MKC852116 MTY852106:MTY852116 NDU852106:NDU852116 NNQ852106:NNQ852116 NXM852106:NXM852116 OHI852106:OHI852116 ORE852106:ORE852116 PBA852106:PBA852116 PKW852106:PKW852116 PUS852106:PUS852116 QEO852106:QEO852116 QOK852106:QOK852116 QYG852106:QYG852116 RIC852106:RIC852116 RRY852106:RRY852116 SBU852106:SBU852116 SLQ852106:SLQ852116 SVM852106:SVM852116 TFI852106:TFI852116 TPE852106:TPE852116 TZA852106:TZA852116 UIW852106:UIW852116 USS852106:USS852116 VCO852106:VCO852116 VMK852106:VMK852116 VWG852106:VWG852116 WGC852106:WGC852116 WPY852106:WPY852116 DM917642:DM917652 NI917642:NI917652 XE917642:XE917652 AHA917642:AHA917652 AQW917642:AQW917652 BAS917642:BAS917652 BKO917642:BKO917652 BUK917642:BUK917652 CEG917642:CEG917652 COC917642:COC917652 CXY917642:CXY917652 DHU917642:DHU917652 DRQ917642:DRQ917652 EBM917642:EBM917652 ELI917642:ELI917652 EVE917642:EVE917652 FFA917642:FFA917652 FOW917642:FOW917652 FYS917642:FYS917652 GIO917642:GIO917652 GSK917642:GSK917652 HCG917642:HCG917652 HMC917642:HMC917652 HVY917642:HVY917652 IFU917642:IFU917652 IPQ917642:IPQ917652 IZM917642:IZM917652 JJI917642:JJI917652 JTE917642:JTE917652 KDA917642:KDA917652 KMW917642:KMW917652 KWS917642:KWS917652 LGO917642:LGO917652 LQK917642:LQK917652 MAG917642:MAG917652 MKC917642:MKC917652 MTY917642:MTY917652 NDU917642:NDU917652 NNQ917642:NNQ917652 NXM917642:NXM917652 OHI917642:OHI917652 ORE917642:ORE917652 PBA917642:PBA917652 PKW917642:PKW917652 PUS917642:PUS917652 QEO917642:QEO917652 QOK917642:QOK917652 QYG917642:QYG917652 RIC917642:RIC917652 RRY917642:RRY917652 SBU917642:SBU917652 SLQ917642:SLQ917652 SVM917642:SVM917652 TFI917642:TFI917652 TPE917642:TPE917652 TZA917642:TZA917652 UIW917642:UIW917652 USS917642:USS917652 VCO917642:VCO917652 VMK917642:VMK917652 VWG917642:VWG917652 WGC917642:WGC917652 WPY917642:WPY917652 DM983178:DM983188 NI983178:NI983188 XE983178:XE983188 AHA983178:AHA983188 AQW983178:AQW983188 BAS983178:BAS983188 BKO983178:BKO983188 BUK983178:BUK983188 CEG983178:CEG983188 COC983178:COC983188 CXY983178:CXY983188 DHU983178:DHU983188 DRQ983178:DRQ983188 EBM983178:EBM983188 ELI983178:ELI983188 EVE983178:EVE983188 FFA983178:FFA983188 FOW983178:FOW983188 FYS983178:FYS983188 GIO983178:GIO983188 GSK983178:GSK983188 HCG983178:HCG983188 HMC983178:HMC983188 HVY983178:HVY983188 IFU983178:IFU983188 IPQ983178:IPQ983188 IZM983178:IZM983188 JJI983178:JJI983188 JTE983178:JTE983188 KDA983178:KDA983188 KMW983178:KMW983188 KWS983178:KWS983188 LGO983178:LGO983188 LQK983178:LQK983188 MAG983178:MAG983188 MKC983178:MKC983188 MTY983178:MTY983188 NDU983178:NDU983188 NNQ983178:NNQ983188 NXM983178:NXM983188 OHI983178:OHI983188 ORE983178:ORE983188 PBA983178:PBA983188 PKW983178:PKW983188 PUS983178:PUS983188 QEO983178:QEO983188 QOK983178:QOK983188 QYG983178:QYG983188 RIC983178:RIC983188 RRY983178:RRY983188 SBU983178:SBU983188 SLQ983178:SLQ983188 SVM983178:SVM983188 TFI983178:TFI983188 TPE983178:TPE983188 TZA983178:TZA983188 UIW983178:UIW983188 USS983178:USS983188 VCO983178:VCO983188 VMK983178:VMK983188 VWG983178:VWG983188 WGC983178:WGC983188 WPY983178:WPY983188 DM65637:DM65641 NI65637:NI65641 XE65637:XE65641 AHA65637:AHA65641 AQW65637:AQW65641 BAS65637:BAS65641 BKO65637:BKO65641 BUK65637:BUK65641 CEG65637:CEG65641 COC65637:COC65641 CXY65637:CXY65641 DHU65637:DHU65641 DRQ65637:DRQ65641 EBM65637:EBM65641 ELI65637:ELI65641 EVE65637:EVE65641 FFA65637:FFA65641 FOW65637:FOW65641 FYS65637:FYS65641 GIO65637:GIO65641 GSK65637:GSK65641 HCG65637:HCG65641 HMC65637:HMC65641 HVY65637:HVY65641 IFU65637:IFU65641 IPQ65637:IPQ65641 IZM65637:IZM65641 JJI65637:JJI65641 JTE65637:JTE65641 KDA65637:KDA65641 KMW65637:KMW65641 KWS65637:KWS65641 LGO65637:LGO65641 LQK65637:LQK65641 MAG65637:MAG65641 MKC65637:MKC65641 MTY65637:MTY65641 NDU65637:NDU65641 NNQ65637:NNQ65641 NXM65637:NXM65641 OHI65637:OHI65641 ORE65637:ORE65641 PBA65637:PBA65641 PKW65637:PKW65641 PUS65637:PUS65641 QEO65637:QEO65641 QOK65637:QOK65641 QYG65637:QYG65641 RIC65637:RIC65641 RRY65637:RRY65641 SBU65637:SBU65641 SLQ65637:SLQ65641 SVM65637:SVM65641 TFI65637:TFI65641 TPE65637:TPE65641 TZA65637:TZA65641 UIW65637:UIW65641 USS65637:USS65641 VCO65637:VCO65641 VMK65637:VMK65641 VWG65637:VWG65641 WGC65637:WGC65641 WPY65637:WPY65641 DM131173:DM131177 NI131173:NI131177 XE131173:XE131177 AHA131173:AHA131177 AQW131173:AQW131177 BAS131173:BAS131177 BKO131173:BKO131177 BUK131173:BUK131177 CEG131173:CEG131177 COC131173:COC131177 CXY131173:CXY131177 DHU131173:DHU131177 DRQ131173:DRQ131177 EBM131173:EBM131177 ELI131173:ELI131177 EVE131173:EVE131177 FFA131173:FFA131177 FOW131173:FOW131177 FYS131173:FYS131177 GIO131173:GIO131177 GSK131173:GSK131177 HCG131173:HCG131177 HMC131173:HMC131177 HVY131173:HVY131177 IFU131173:IFU131177 IPQ131173:IPQ131177 IZM131173:IZM131177 JJI131173:JJI131177 JTE131173:JTE131177 KDA131173:KDA131177 KMW131173:KMW131177 KWS131173:KWS131177 LGO131173:LGO131177 LQK131173:LQK131177 MAG131173:MAG131177 MKC131173:MKC131177 MTY131173:MTY131177 NDU131173:NDU131177 NNQ131173:NNQ131177 NXM131173:NXM131177 OHI131173:OHI131177 ORE131173:ORE131177 PBA131173:PBA131177 PKW131173:PKW131177 PUS131173:PUS131177 QEO131173:QEO131177 QOK131173:QOK131177 QYG131173:QYG131177 RIC131173:RIC131177 RRY131173:RRY131177 SBU131173:SBU131177 SLQ131173:SLQ131177 SVM131173:SVM131177 TFI131173:TFI131177 TPE131173:TPE131177 TZA131173:TZA131177 UIW131173:UIW131177 USS131173:USS131177 VCO131173:VCO131177 VMK131173:VMK131177 VWG131173:VWG131177 WGC131173:WGC131177 WPY131173:WPY131177 DM196709:DM196713 NI196709:NI196713 XE196709:XE196713 AHA196709:AHA196713 AQW196709:AQW196713 BAS196709:BAS196713 BKO196709:BKO196713 BUK196709:BUK196713 CEG196709:CEG196713 COC196709:COC196713 CXY196709:CXY196713 DHU196709:DHU196713 DRQ196709:DRQ196713 EBM196709:EBM196713 ELI196709:ELI196713 EVE196709:EVE196713 FFA196709:FFA196713 FOW196709:FOW196713 FYS196709:FYS196713 GIO196709:GIO196713 GSK196709:GSK196713 HCG196709:HCG196713 HMC196709:HMC196713 HVY196709:HVY196713 IFU196709:IFU196713 IPQ196709:IPQ196713 IZM196709:IZM196713 JJI196709:JJI196713 JTE196709:JTE196713 KDA196709:KDA196713 KMW196709:KMW196713 KWS196709:KWS196713 LGO196709:LGO196713 LQK196709:LQK196713 MAG196709:MAG196713 MKC196709:MKC196713 MTY196709:MTY196713 NDU196709:NDU196713 NNQ196709:NNQ196713 NXM196709:NXM196713 OHI196709:OHI196713 ORE196709:ORE196713 PBA196709:PBA196713 PKW196709:PKW196713 PUS196709:PUS196713 QEO196709:QEO196713 QOK196709:QOK196713 QYG196709:QYG196713 RIC196709:RIC196713 RRY196709:RRY196713 SBU196709:SBU196713 SLQ196709:SLQ196713 SVM196709:SVM196713 TFI196709:TFI196713 TPE196709:TPE196713 TZA196709:TZA196713 UIW196709:UIW196713 USS196709:USS196713 VCO196709:VCO196713 VMK196709:VMK196713 VWG196709:VWG196713 WGC196709:WGC196713 WPY196709:WPY196713 DM262245:DM262249 NI262245:NI262249 XE262245:XE262249 AHA262245:AHA262249 AQW262245:AQW262249 BAS262245:BAS262249 BKO262245:BKO262249 BUK262245:BUK262249 CEG262245:CEG262249 COC262245:COC262249 CXY262245:CXY262249 DHU262245:DHU262249 DRQ262245:DRQ262249 EBM262245:EBM262249 ELI262245:ELI262249 EVE262245:EVE262249 FFA262245:FFA262249 FOW262245:FOW262249 FYS262245:FYS262249 GIO262245:GIO262249 GSK262245:GSK262249 HCG262245:HCG262249 HMC262245:HMC262249 HVY262245:HVY262249 IFU262245:IFU262249 IPQ262245:IPQ262249 IZM262245:IZM262249 JJI262245:JJI262249 JTE262245:JTE262249 KDA262245:KDA262249 KMW262245:KMW262249 KWS262245:KWS262249 LGO262245:LGO262249 LQK262245:LQK262249 MAG262245:MAG262249 MKC262245:MKC262249 MTY262245:MTY262249 NDU262245:NDU262249 NNQ262245:NNQ262249 NXM262245:NXM262249 OHI262245:OHI262249 ORE262245:ORE262249 PBA262245:PBA262249 PKW262245:PKW262249 PUS262245:PUS262249 QEO262245:QEO262249 QOK262245:QOK262249 QYG262245:QYG262249 RIC262245:RIC262249 RRY262245:RRY262249 SBU262245:SBU262249 SLQ262245:SLQ262249 SVM262245:SVM262249 TFI262245:TFI262249 TPE262245:TPE262249 TZA262245:TZA262249 UIW262245:UIW262249 USS262245:USS262249 VCO262245:VCO262249 VMK262245:VMK262249 VWG262245:VWG262249 WGC262245:WGC262249 WPY262245:WPY262249 DM327781:DM327785 NI327781:NI327785 XE327781:XE327785 AHA327781:AHA327785 AQW327781:AQW327785 BAS327781:BAS327785 BKO327781:BKO327785 BUK327781:BUK327785 CEG327781:CEG327785 COC327781:COC327785 CXY327781:CXY327785 DHU327781:DHU327785 DRQ327781:DRQ327785 EBM327781:EBM327785 ELI327781:ELI327785 EVE327781:EVE327785 FFA327781:FFA327785 FOW327781:FOW327785 FYS327781:FYS327785 GIO327781:GIO327785 GSK327781:GSK327785 HCG327781:HCG327785 HMC327781:HMC327785 HVY327781:HVY327785 IFU327781:IFU327785 IPQ327781:IPQ327785 IZM327781:IZM327785 JJI327781:JJI327785 JTE327781:JTE327785 KDA327781:KDA327785 KMW327781:KMW327785 KWS327781:KWS327785 LGO327781:LGO327785 LQK327781:LQK327785 MAG327781:MAG327785 MKC327781:MKC327785 MTY327781:MTY327785 NDU327781:NDU327785 NNQ327781:NNQ327785 NXM327781:NXM327785 OHI327781:OHI327785 ORE327781:ORE327785 PBA327781:PBA327785 PKW327781:PKW327785 PUS327781:PUS327785 QEO327781:QEO327785 QOK327781:QOK327785 QYG327781:QYG327785 RIC327781:RIC327785 RRY327781:RRY327785 SBU327781:SBU327785 SLQ327781:SLQ327785 SVM327781:SVM327785 TFI327781:TFI327785 TPE327781:TPE327785 TZA327781:TZA327785 UIW327781:UIW327785 USS327781:USS327785 VCO327781:VCO327785 VMK327781:VMK327785 VWG327781:VWG327785 WGC327781:WGC327785 WPY327781:WPY327785 DM393317:DM393321 NI393317:NI393321 XE393317:XE393321 AHA393317:AHA393321 AQW393317:AQW393321 BAS393317:BAS393321 BKO393317:BKO393321 BUK393317:BUK393321 CEG393317:CEG393321 COC393317:COC393321 CXY393317:CXY393321 DHU393317:DHU393321 DRQ393317:DRQ393321 EBM393317:EBM393321 ELI393317:ELI393321 EVE393317:EVE393321 FFA393317:FFA393321 FOW393317:FOW393321 FYS393317:FYS393321 GIO393317:GIO393321 GSK393317:GSK393321 HCG393317:HCG393321 HMC393317:HMC393321 HVY393317:HVY393321 IFU393317:IFU393321 IPQ393317:IPQ393321 IZM393317:IZM393321 JJI393317:JJI393321 JTE393317:JTE393321 KDA393317:KDA393321 KMW393317:KMW393321 KWS393317:KWS393321 LGO393317:LGO393321 LQK393317:LQK393321 MAG393317:MAG393321 MKC393317:MKC393321 MTY393317:MTY393321 NDU393317:NDU393321 NNQ393317:NNQ393321 NXM393317:NXM393321 OHI393317:OHI393321 ORE393317:ORE393321 PBA393317:PBA393321 PKW393317:PKW393321 PUS393317:PUS393321 QEO393317:QEO393321 QOK393317:QOK393321 QYG393317:QYG393321 RIC393317:RIC393321 RRY393317:RRY393321 SBU393317:SBU393321 SLQ393317:SLQ393321 SVM393317:SVM393321 TFI393317:TFI393321 TPE393317:TPE393321 TZA393317:TZA393321 UIW393317:UIW393321 USS393317:USS393321 VCO393317:VCO393321 VMK393317:VMK393321 VWG393317:VWG393321 WGC393317:WGC393321 WPY393317:WPY393321 DM458853:DM458857 NI458853:NI458857 XE458853:XE458857 AHA458853:AHA458857 AQW458853:AQW458857 BAS458853:BAS458857 BKO458853:BKO458857 BUK458853:BUK458857 CEG458853:CEG458857 COC458853:COC458857 CXY458853:CXY458857 DHU458853:DHU458857 DRQ458853:DRQ458857 EBM458853:EBM458857 ELI458853:ELI458857 EVE458853:EVE458857 FFA458853:FFA458857 FOW458853:FOW458857 FYS458853:FYS458857 GIO458853:GIO458857 GSK458853:GSK458857 HCG458853:HCG458857 HMC458853:HMC458857 HVY458853:HVY458857 IFU458853:IFU458857 IPQ458853:IPQ458857 IZM458853:IZM458857 JJI458853:JJI458857 JTE458853:JTE458857 KDA458853:KDA458857 KMW458853:KMW458857 KWS458853:KWS458857 LGO458853:LGO458857 LQK458853:LQK458857 MAG458853:MAG458857 MKC458853:MKC458857 MTY458853:MTY458857 NDU458853:NDU458857 NNQ458853:NNQ458857 NXM458853:NXM458857 OHI458853:OHI458857 ORE458853:ORE458857 PBA458853:PBA458857 PKW458853:PKW458857 PUS458853:PUS458857 QEO458853:QEO458857 QOK458853:QOK458857 QYG458853:QYG458857 RIC458853:RIC458857 RRY458853:RRY458857 SBU458853:SBU458857 SLQ458853:SLQ458857 SVM458853:SVM458857 TFI458853:TFI458857 TPE458853:TPE458857 TZA458853:TZA458857 UIW458853:UIW458857 USS458853:USS458857 VCO458853:VCO458857 VMK458853:VMK458857 VWG458853:VWG458857 WGC458853:WGC458857 WPY458853:WPY458857 DM524389:DM524393 NI524389:NI524393 XE524389:XE524393 AHA524389:AHA524393 AQW524389:AQW524393 BAS524389:BAS524393 BKO524389:BKO524393 BUK524389:BUK524393 CEG524389:CEG524393 COC524389:COC524393 CXY524389:CXY524393 DHU524389:DHU524393 DRQ524389:DRQ524393 EBM524389:EBM524393 ELI524389:ELI524393 EVE524389:EVE524393 FFA524389:FFA524393 FOW524389:FOW524393 FYS524389:FYS524393 GIO524389:GIO524393 GSK524389:GSK524393 HCG524389:HCG524393 HMC524389:HMC524393 HVY524389:HVY524393 IFU524389:IFU524393 IPQ524389:IPQ524393 IZM524389:IZM524393 JJI524389:JJI524393 JTE524389:JTE524393 KDA524389:KDA524393 KMW524389:KMW524393 KWS524389:KWS524393 LGO524389:LGO524393 LQK524389:LQK524393 MAG524389:MAG524393 MKC524389:MKC524393 MTY524389:MTY524393 NDU524389:NDU524393 NNQ524389:NNQ524393 NXM524389:NXM524393 OHI524389:OHI524393 ORE524389:ORE524393 PBA524389:PBA524393 PKW524389:PKW524393 PUS524389:PUS524393 QEO524389:QEO524393 QOK524389:QOK524393 QYG524389:QYG524393 RIC524389:RIC524393 RRY524389:RRY524393 SBU524389:SBU524393 SLQ524389:SLQ524393 SVM524389:SVM524393 TFI524389:TFI524393 TPE524389:TPE524393 TZA524389:TZA524393 UIW524389:UIW524393 USS524389:USS524393 VCO524389:VCO524393 VMK524389:VMK524393 VWG524389:VWG524393 WGC524389:WGC524393 WPY524389:WPY524393 DM589925:DM589929 NI589925:NI589929 XE589925:XE589929 AHA589925:AHA589929 AQW589925:AQW589929 BAS589925:BAS589929 BKO589925:BKO589929 BUK589925:BUK589929 CEG589925:CEG589929 COC589925:COC589929 CXY589925:CXY589929 DHU589925:DHU589929 DRQ589925:DRQ589929 EBM589925:EBM589929 ELI589925:ELI589929 EVE589925:EVE589929 FFA589925:FFA589929 FOW589925:FOW589929 FYS589925:FYS589929 GIO589925:GIO589929 GSK589925:GSK589929 HCG589925:HCG589929 HMC589925:HMC589929 HVY589925:HVY589929 IFU589925:IFU589929 IPQ589925:IPQ589929 IZM589925:IZM589929 JJI589925:JJI589929 JTE589925:JTE589929 KDA589925:KDA589929 KMW589925:KMW589929 KWS589925:KWS589929 LGO589925:LGO589929 LQK589925:LQK589929 MAG589925:MAG589929 MKC589925:MKC589929 MTY589925:MTY589929 NDU589925:NDU589929 NNQ589925:NNQ589929 NXM589925:NXM589929 OHI589925:OHI589929 ORE589925:ORE589929 PBA589925:PBA589929 PKW589925:PKW589929 PUS589925:PUS589929 QEO589925:QEO589929 QOK589925:QOK589929 QYG589925:QYG589929 RIC589925:RIC589929 RRY589925:RRY589929 SBU589925:SBU589929 SLQ589925:SLQ589929 SVM589925:SVM589929 TFI589925:TFI589929 TPE589925:TPE589929 TZA589925:TZA589929 UIW589925:UIW589929 USS589925:USS589929 VCO589925:VCO589929 VMK589925:VMK589929 VWG589925:VWG589929 WGC589925:WGC589929 WPY589925:WPY589929 DM655461:DM655465 NI655461:NI655465 XE655461:XE655465 AHA655461:AHA655465 AQW655461:AQW655465 BAS655461:BAS655465 BKO655461:BKO655465 BUK655461:BUK655465 CEG655461:CEG655465 COC655461:COC655465 CXY655461:CXY655465 DHU655461:DHU655465 DRQ655461:DRQ655465 EBM655461:EBM655465 ELI655461:ELI655465 EVE655461:EVE655465 FFA655461:FFA655465 FOW655461:FOW655465 FYS655461:FYS655465 GIO655461:GIO655465 GSK655461:GSK655465 HCG655461:HCG655465 HMC655461:HMC655465 HVY655461:HVY655465 IFU655461:IFU655465 IPQ655461:IPQ655465 IZM655461:IZM655465 JJI655461:JJI655465 JTE655461:JTE655465 KDA655461:KDA655465 KMW655461:KMW655465 KWS655461:KWS655465 LGO655461:LGO655465 LQK655461:LQK655465 MAG655461:MAG655465 MKC655461:MKC655465 MTY655461:MTY655465 NDU655461:NDU655465 NNQ655461:NNQ655465 NXM655461:NXM655465 OHI655461:OHI655465 ORE655461:ORE655465 PBA655461:PBA655465 PKW655461:PKW655465 PUS655461:PUS655465 QEO655461:QEO655465 QOK655461:QOK655465 QYG655461:QYG655465 RIC655461:RIC655465 RRY655461:RRY655465 SBU655461:SBU655465 SLQ655461:SLQ655465 SVM655461:SVM655465 TFI655461:TFI655465 TPE655461:TPE655465 TZA655461:TZA655465 UIW655461:UIW655465 USS655461:USS655465 VCO655461:VCO655465 VMK655461:VMK655465 VWG655461:VWG655465 WGC655461:WGC655465 WPY655461:WPY655465 DM720997:DM721001 NI720997:NI721001 XE720997:XE721001 AHA720997:AHA721001 AQW720997:AQW721001 BAS720997:BAS721001 BKO720997:BKO721001 BUK720997:BUK721001 CEG720997:CEG721001 COC720997:COC721001 CXY720997:CXY721001 DHU720997:DHU721001 DRQ720997:DRQ721001 EBM720997:EBM721001 ELI720997:ELI721001 EVE720997:EVE721001 FFA720997:FFA721001 FOW720997:FOW721001 FYS720997:FYS721001 GIO720997:GIO721001 GSK720997:GSK721001 HCG720997:HCG721001 HMC720997:HMC721001 HVY720997:HVY721001 IFU720997:IFU721001 IPQ720997:IPQ721001 IZM720997:IZM721001 JJI720997:JJI721001 JTE720997:JTE721001 KDA720997:KDA721001 KMW720997:KMW721001 KWS720997:KWS721001 LGO720997:LGO721001 LQK720997:LQK721001 MAG720997:MAG721001 MKC720997:MKC721001 MTY720997:MTY721001 NDU720997:NDU721001 NNQ720997:NNQ721001 NXM720997:NXM721001 OHI720997:OHI721001 ORE720997:ORE721001 PBA720997:PBA721001 PKW720997:PKW721001 PUS720997:PUS721001 QEO720997:QEO721001 QOK720997:QOK721001 QYG720997:QYG721001 RIC720997:RIC721001 RRY720997:RRY721001 SBU720997:SBU721001 SLQ720997:SLQ721001 SVM720997:SVM721001 TFI720997:TFI721001 TPE720997:TPE721001 TZA720997:TZA721001 UIW720997:UIW721001 USS720997:USS721001 VCO720997:VCO721001 VMK720997:VMK721001 VWG720997:VWG721001 WGC720997:WGC721001 WPY720997:WPY721001 DM786533:DM786537 NI786533:NI786537 XE786533:XE786537 AHA786533:AHA786537 AQW786533:AQW786537 BAS786533:BAS786537 BKO786533:BKO786537 BUK786533:BUK786537 CEG786533:CEG786537 COC786533:COC786537 CXY786533:CXY786537 DHU786533:DHU786537 DRQ786533:DRQ786537 EBM786533:EBM786537 ELI786533:ELI786537 EVE786533:EVE786537 FFA786533:FFA786537 FOW786533:FOW786537 FYS786533:FYS786537 GIO786533:GIO786537 GSK786533:GSK786537 HCG786533:HCG786537 HMC786533:HMC786537 HVY786533:HVY786537 IFU786533:IFU786537 IPQ786533:IPQ786537 IZM786533:IZM786537 JJI786533:JJI786537 JTE786533:JTE786537 KDA786533:KDA786537 KMW786533:KMW786537 KWS786533:KWS786537 LGO786533:LGO786537 LQK786533:LQK786537 MAG786533:MAG786537 MKC786533:MKC786537 MTY786533:MTY786537 NDU786533:NDU786537 NNQ786533:NNQ786537 NXM786533:NXM786537 OHI786533:OHI786537 ORE786533:ORE786537 PBA786533:PBA786537 PKW786533:PKW786537 PUS786533:PUS786537 QEO786533:QEO786537 QOK786533:QOK786537 QYG786533:QYG786537 RIC786533:RIC786537 RRY786533:RRY786537 SBU786533:SBU786537 SLQ786533:SLQ786537 SVM786533:SVM786537 TFI786533:TFI786537 TPE786533:TPE786537 TZA786533:TZA786537 UIW786533:UIW786537 USS786533:USS786537 VCO786533:VCO786537 VMK786533:VMK786537 VWG786533:VWG786537 WGC786533:WGC786537 WPY786533:WPY786537 DM852069:DM852073 NI852069:NI852073 XE852069:XE852073 AHA852069:AHA852073 AQW852069:AQW852073 BAS852069:BAS852073 BKO852069:BKO852073 BUK852069:BUK852073 CEG852069:CEG852073 COC852069:COC852073 CXY852069:CXY852073 DHU852069:DHU852073 DRQ852069:DRQ852073 EBM852069:EBM852073 ELI852069:ELI852073 EVE852069:EVE852073 FFA852069:FFA852073 FOW852069:FOW852073 FYS852069:FYS852073 GIO852069:GIO852073 GSK852069:GSK852073 HCG852069:HCG852073 HMC852069:HMC852073 HVY852069:HVY852073 IFU852069:IFU852073 IPQ852069:IPQ852073 IZM852069:IZM852073 JJI852069:JJI852073 JTE852069:JTE852073 KDA852069:KDA852073 KMW852069:KMW852073 KWS852069:KWS852073 LGO852069:LGO852073 LQK852069:LQK852073 MAG852069:MAG852073 MKC852069:MKC852073 MTY852069:MTY852073 NDU852069:NDU852073 NNQ852069:NNQ852073 NXM852069:NXM852073 OHI852069:OHI852073 ORE852069:ORE852073 PBA852069:PBA852073 PKW852069:PKW852073 PUS852069:PUS852073 QEO852069:QEO852073 QOK852069:QOK852073 QYG852069:QYG852073 RIC852069:RIC852073 RRY852069:RRY852073 SBU852069:SBU852073 SLQ852069:SLQ852073 SVM852069:SVM852073 TFI852069:TFI852073 TPE852069:TPE852073 TZA852069:TZA852073 UIW852069:UIW852073 USS852069:USS852073 VCO852069:VCO852073 VMK852069:VMK852073 VWG852069:VWG852073 WGC852069:WGC852073 WPY852069:WPY852073 DM917605:DM917609 NI917605:NI917609 XE917605:XE917609 AHA917605:AHA917609 AQW917605:AQW917609 BAS917605:BAS917609 BKO917605:BKO917609 BUK917605:BUK917609 CEG917605:CEG917609 COC917605:COC917609 CXY917605:CXY917609 DHU917605:DHU917609 DRQ917605:DRQ917609 EBM917605:EBM917609 ELI917605:ELI917609 EVE917605:EVE917609 FFA917605:FFA917609 FOW917605:FOW917609 FYS917605:FYS917609 GIO917605:GIO917609 GSK917605:GSK917609 HCG917605:HCG917609 HMC917605:HMC917609 HVY917605:HVY917609 IFU917605:IFU917609 IPQ917605:IPQ917609 IZM917605:IZM917609 JJI917605:JJI917609 JTE917605:JTE917609 KDA917605:KDA917609 KMW917605:KMW917609 KWS917605:KWS917609 LGO917605:LGO917609 LQK917605:LQK917609 MAG917605:MAG917609 MKC917605:MKC917609 MTY917605:MTY917609 NDU917605:NDU917609 NNQ917605:NNQ917609 NXM917605:NXM917609 OHI917605:OHI917609 ORE917605:ORE917609 PBA917605:PBA917609 PKW917605:PKW917609 PUS917605:PUS917609 QEO917605:QEO917609 QOK917605:QOK917609 QYG917605:QYG917609 RIC917605:RIC917609 RRY917605:RRY917609 SBU917605:SBU917609 SLQ917605:SLQ917609 SVM917605:SVM917609 TFI917605:TFI917609 TPE917605:TPE917609 TZA917605:TZA917609 UIW917605:UIW917609 USS917605:USS917609 VCO917605:VCO917609 VMK917605:VMK917609 VWG917605:VWG917609 WGC917605:WGC917609 WPY917605:WPY917609 DM983141:DM983145 NI983141:NI983145 XE983141:XE983145 AHA983141:AHA983145 AQW983141:AQW983145 BAS983141:BAS983145 BKO983141:BKO983145 BUK983141:BUK983145 CEG983141:CEG983145 COC983141:COC983145 CXY983141:CXY983145 DHU983141:DHU983145 DRQ983141:DRQ983145 EBM983141:EBM983145 ELI983141:ELI983145 EVE983141:EVE983145 FFA983141:FFA983145 FOW983141:FOW983145 FYS983141:FYS983145 GIO983141:GIO983145 GSK983141:GSK983145 HCG983141:HCG983145 HMC983141:HMC983145 HVY983141:HVY983145 IFU983141:IFU983145 IPQ983141:IPQ983145 IZM983141:IZM983145 JJI983141:JJI983145 JTE983141:JTE983145 KDA983141:KDA983145 KMW983141:KMW983145 KWS983141:KWS983145 LGO983141:LGO983145 LQK983141:LQK983145 MAG983141:MAG983145 MKC983141:MKC983145 MTY983141:MTY983145 NDU983141:NDU983145 NNQ983141:NNQ983145 NXM983141:NXM983145 OHI983141:OHI983145 ORE983141:ORE983145 PBA983141:PBA983145 PKW983141:PKW983145 PUS983141:PUS983145 QEO983141:QEO983145 QOK983141:QOK983145 QYG983141:QYG983145 RIC983141:RIC983145 RRY983141:RRY983145 SBU983141:SBU983145 SLQ983141:SLQ983145 SVM983141:SVM983145 TFI983141:TFI983145 TPE983141:TPE983145 TZA983141:TZA983145 UIW983141:UIW983145 USS983141:USS983145 VCO983141:VCO983145 VMK983141:VMK983145 VWG983141:VWG983145 WGC983141:WGC983145 WPY983141:WPY983145 DM65686:DM65692 NI65686:NI65692 XE65686:XE65692 AHA65686:AHA65692 AQW65686:AQW65692 BAS65686:BAS65692 BKO65686:BKO65692 BUK65686:BUK65692 CEG65686:CEG65692 COC65686:COC65692 CXY65686:CXY65692 DHU65686:DHU65692 DRQ65686:DRQ65692 EBM65686:EBM65692 ELI65686:ELI65692 EVE65686:EVE65692 FFA65686:FFA65692 FOW65686:FOW65692 FYS65686:FYS65692 GIO65686:GIO65692 GSK65686:GSK65692 HCG65686:HCG65692 HMC65686:HMC65692 HVY65686:HVY65692 IFU65686:IFU65692 IPQ65686:IPQ65692 IZM65686:IZM65692 JJI65686:JJI65692 JTE65686:JTE65692 KDA65686:KDA65692 KMW65686:KMW65692 KWS65686:KWS65692 LGO65686:LGO65692 LQK65686:LQK65692 MAG65686:MAG65692 MKC65686:MKC65692 MTY65686:MTY65692 NDU65686:NDU65692 NNQ65686:NNQ65692 NXM65686:NXM65692 OHI65686:OHI65692 ORE65686:ORE65692 PBA65686:PBA65692 PKW65686:PKW65692 PUS65686:PUS65692 QEO65686:QEO65692 QOK65686:QOK65692 QYG65686:QYG65692 RIC65686:RIC65692 RRY65686:RRY65692 SBU65686:SBU65692 SLQ65686:SLQ65692 SVM65686:SVM65692 TFI65686:TFI65692 TPE65686:TPE65692 TZA65686:TZA65692 UIW65686:UIW65692 USS65686:USS65692 VCO65686:VCO65692 VMK65686:VMK65692 VWG65686:VWG65692 WGC65686:WGC65692 WPY65686:WPY65692 DM131222:DM131228 NI131222:NI131228 XE131222:XE131228 AHA131222:AHA131228 AQW131222:AQW131228 BAS131222:BAS131228 BKO131222:BKO131228 BUK131222:BUK131228 CEG131222:CEG131228 COC131222:COC131228 CXY131222:CXY131228 DHU131222:DHU131228 DRQ131222:DRQ131228 EBM131222:EBM131228 ELI131222:ELI131228 EVE131222:EVE131228 FFA131222:FFA131228 FOW131222:FOW131228 FYS131222:FYS131228 GIO131222:GIO131228 GSK131222:GSK131228 HCG131222:HCG131228 HMC131222:HMC131228 HVY131222:HVY131228 IFU131222:IFU131228 IPQ131222:IPQ131228 IZM131222:IZM131228 JJI131222:JJI131228 JTE131222:JTE131228 KDA131222:KDA131228 KMW131222:KMW131228 KWS131222:KWS131228 LGO131222:LGO131228 LQK131222:LQK131228 MAG131222:MAG131228 MKC131222:MKC131228 MTY131222:MTY131228 NDU131222:NDU131228 NNQ131222:NNQ131228 NXM131222:NXM131228 OHI131222:OHI131228 ORE131222:ORE131228 PBA131222:PBA131228 PKW131222:PKW131228 PUS131222:PUS131228 QEO131222:QEO131228 QOK131222:QOK131228 QYG131222:QYG131228 RIC131222:RIC131228 RRY131222:RRY131228 SBU131222:SBU131228 SLQ131222:SLQ131228 SVM131222:SVM131228 TFI131222:TFI131228 TPE131222:TPE131228 TZA131222:TZA131228 UIW131222:UIW131228 USS131222:USS131228 VCO131222:VCO131228 VMK131222:VMK131228 VWG131222:VWG131228 WGC131222:WGC131228 WPY131222:WPY131228 DM196758:DM196764 NI196758:NI196764 XE196758:XE196764 AHA196758:AHA196764 AQW196758:AQW196764 BAS196758:BAS196764 BKO196758:BKO196764 BUK196758:BUK196764 CEG196758:CEG196764 COC196758:COC196764 CXY196758:CXY196764 DHU196758:DHU196764 DRQ196758:DRQ196764 EBM196758:EBM196764 ELI196758:ELI196764 EVE196758:EVE196764 FFA196758:FFA196764 FOW196758:FOW196764 FYS196758:FYS196764 GIO196758:GIO196764 GSK196758:GSK196764 HCG196758:HCG196764 HMC196758:HMC196764 HVY196758:HVY196764 IFU196758:IFU196764 IPQ196758:IPQ196764 IZM196758:IZM196764 JJI196758:JJI196764 JTE196758:JTE196764 KDA196758:KDA196764 KMW196758:KMW196764 KWS196758:KWS196764 LGO196758:LGO196764 LQK196758:LQK196764 MAG196758:MAG196764 MKC196758:MKC196764 MTY196758:MTY196764 NDU196758:NDU196764 NNQ196758:NNQ196764 NXM196758:NXM196764 OHI196758:OHI196764 ORE196758:ORE196764 PBA196758:PBA196764 PKW196758:PKW196764 PUS196758:PUS196764 QEO196758:QEO196764 QOK196758:QOK196764 QYG196758:QYG196764 RIC196758:RIC196764 RRY196758:RRY196764 SBU196758:SBU196764 SLQ196758:SLQ196764 SVM196758:SVM196764 TFI196758:TFI196764 TPE196758:TPE196764 TZA196758:TZA196764 UIW196758:UIW196764 USS196758:USS196764 VCO196758:VCO196764 VMK196758:VMK196764 VWG196758:VWG196764 WGC196758:WGC196764 WPY196758:WPY196764 DM262294:DM262300 NI262294:NI262300 XE262294:XE262300 AHA262294:AHA262300 AQW262294:AQW262300 BAS262294:BAS262300 BKO262294:BKO262300 BUK262294:BUK262300 CEG262294:CEG262300 COC262294:COC262300 CXY262294:CXY262300 DHU262294:DHU262300 DRQ262294:DRQ262300 EBM262294:EBM262300 ELI262294:ELI262300 EVE262294:EVE262300 FFA262294:FFA262300 FOW262294:FOW262300 FYS262294:FYS262300 GIO262294:GIO262300 GSK262294:GSK262300 HCG262294:HCG262300 HMC262294:HMC262300 HVY262294:HVY262300 IFU262294:IFU262300 IPQ262294:IPQ262300 IZM262294:IZM262300 JJI262294:JJI262300 JTE262294:JTE262300 KDA262294:KDA262300 KMW262294:KMW262300 KWS262294:KWS262300 LGO262294:LGO262300 LQK262294:LQK262300 MAG262294:MAG262300 MKC262294:MKC262300 MTY262294:MTY262300 NDU262294:NDU262300 NNQ262294:NNQ262300 NXM262294:NXM262300 OHI262294:OHI262300 ORE262294:ORE262300 PBA262294:PBA262300 PKW262294:PKW262300 PUS262294:PUS262300 QEO262294:QEO262300 QOK262294:QOK262300 QYG262294:QYG262300 RIC262294:RIC262300 RRY262294:RRY262300 SBU262294:SBU262300 SLQ262294:SLQ262300 SVM262294:SVM262300 TFI262294:TFI262300 TPE262294:TPE262300 TZA262294:TZA262300 UIW262294:UIW262300 USS262294:USS262300 VCO262294:VCO262300 VMK262294:VMK262300 VWG262294:VWG262300 WGC262294:WGC262300 WPY262294:WPY262300 DM327830:DM327836 NI327830:NI327836 XE327830:XE327836 AHA327830:AHA327836 AQW327830:AQW327836 BAS327830:BAS327836 BKO327830:BKO327836 BUK327830:BUK327836 CEG327830:CEG327836 COC327830:COC327836 CXY327830:CXY327836 DHU327830:DHU327836 DRQ327830:DRQ327836 EBM327830:EBM327836 ELI327830:ELI327836 EVE327830:EVE327836 FFA327830:FFA327836 FOW327830:FOW327836 FYS327830:FYS327836 GIO327830:GIO327836 GSK327830:GSK327836 HCG327830:HCG327836 HMC327830:HMC327836 HVY327830:HVY327836 IFU327830:IFU327836 IPQ327830:IPQ327836 IZM327830:IZM327836 JJI327830:JJI327836 JTE327830:JTE327836 KDA327830:KDA327836 KMW327830:KMW327836 KWS327830:KWS327836 LGO327830:LGO327836 LQK327830:LQK327836 MAG327830:MAG327836 MKC327830:MKC327836 MTY327830:MTY327836 NDU327830:NDU327836 NNQ327830:NNQ327836 NXM327830:NXM327836 OHI327830:OHI327836 ORE327830:ORE327836 PBA327830:PBA327836 PKW327830:PKW327836 PUS327830:PUS327836 QEO327830:QEO327836 QOK327830:QOK327836 QYG327830:QYG327836 RIC327830:RIC327836 RRY327830:RRY327836 SBU327830:SBU327836 SLQ327830:SLQ327836 SVM327830:SVM327836 TFI327830:TFI327836 TPE327830:TPE327836 TZA327830:TZA327836 UIW327830:UIW327836 USS327830:USS327836 VCO327830:VCO327836 VMK327830:VMK327836 VWG327830:VWG327836 WGC327830:WGC327836 WPY327830:WPY327836 DM393366:DM393372 NI393366:NI393372 XE393366:XE393372 AHA393366:AHA393372 AQW393366:AQW393372 BAS393366:BAS393372 BKO393366:BKO393372 BUK393366:BUK393372 CEG393366:CEG393372 COC393366:COC393372 CXY393366:CXY393372 DHU393366:DHU393372 DRQ393366:DRQ393372 EBM393366:EBM393372 ELI393366:ELI393372 EVE393366:EVE393372 FFA393366:FFA393372 FOW393366:FOW393372 FYS393366:FYS393372 GIO393366:GIO393372 GSK393366:GSK393372 HCG393366:HCG393372 HMC393366:HMC393372 HVY393366:HVY393372 IFU393366:IFU393372 IPQ393366:IPQ393372 IZM393366:IZM393372 JJI393366:JJI393372 JTE393366:JTE393372 KDA393366:KDA393372 KMW393366:KMW393372 KWS393366:KWS393372 LGO393366:LGO393372 LQK393366:LQK393372 MAG393366:MAG393372 MKC393366:MKC393372 MTY393366:MTY393372 NDU393366:NDU393372 NNQ393366:NNQ393372 NXM393366:NXM393372 OHI393366:OHI393372 ORE393366:ORE393372 PBA393366:PBA393372 PKW393366:PKW393372 PUS393366:PUS393372 QEO393366:QEO393372 QOK393366:QOK393372 QYG393366:QYG393372 RIC393366:RIC393372 RRY393366:RRY393372 SBU393366:SBU393372 SLQ393366:SLQ393372 SVM393366:SVM393372 TFI393366:TFI393372 TPE393366:TPE393372 TZA393366:TZA393372 UIW393366:UIW393372 USS393366:USS393372 VCO393366:VCO393372 VMK393366:VMK393372 VWG393366:VWG393372 WGC393366:WGC393372 WPY393366:WPY393372 DM458902:DM458908 NI458902:NI458908 XE458902:XE458908 AHA458902:AHA458908 AQW458902:AQW458908 BAS458902:BAS458908 BKO458902:BKO458908 BUK458902:BUK458908 CEG458902:CEG458908 COC458902:COC458908 CXY458902:CXY458908 DHU458902:DHU458908 DRQ458902:DRQ458908 EBM458902:EBM458908 ELI458902:ELI458908 EVE458902:EVE458908 FFA458902:FFA458908 FOW458902:FOW458908 FYS458902:FYS458908 GIO458902:GIO458908 GSK458902:GSK458908 HCG458902:HCG458908 HMC458902:HMC458908 HVY458902:HVY458908 IFU458902:IFU458908 IPQ458902:IPQ458908 IZM458902:IZM458908 JJI458902:JJI458908 JTE458902:JTE458908 KDA458902:KDA458908 KMW458902:KMW458908 KWS458902:KWS458908 LGO458902:LGO458908 LQK458902:LQK458908 MAG458902:MAG458908 MKC458902:MKC458908 MTY458902:MTY458908 NDU458902:NDU458908 NNQ458902:NNQ458908 NXM458902:NXM458908 OHI458902:OHI458908 ORE458902:ORE458908 PBA458902:PBA458908 PKW458902:PKW458908 PUS458902:PUS458908 QEO458902:QEO458908 QOK458902:QOK458908 QYG458902:QYG458908 RIC458902:RIC458908 RRY458902:RRY458908 SBU458902:SBU458908 SLQ458902:SLQ458908 SVM458902:SVM458908 TFI458902:TFI458908 TPE458902:TPE458908 TZA458902:TZA458908 UIW458902:UIW458908 USS458902:USS458908 VCO458902:VCO458908 VMK458902:VMK458908 VWG458902:VWG458908 WGC458902:WGC458908 WPY458902:WPY458908 DM524438:DM524444 NI524438:NI524444 XE524438:XE524444 AHA524438:AHA524444 AQW524438:AQW524444 BAS524438:BAS524444 BKO524438:BKO524444 BUK524438:BUK524444 CEG524438:CEG524444 COC524438:COC524444 CXY524438:CXY524444 DHU524438:DHU524444 DRQ524438:DRQ524444 EBM524438:EBM524444 ELI524438:ELI524444 EVE524438:EVE524444 FFA524438:FFA524444 FOW524438:FOW524444 FYS524438:FYS524444 GIO524438:GIO524444 GSK524438:GSK524444 HCG524438:HCG524444 HMC524438:HMC524444 HVY524438:HVY524444 IFU524438:IFU524444 IPQ524438:IPQ524444 IZM524438:IZM524444 JJI524438:JJI524444 JTE524438:JTE524444 KDA524438:KDA524444 KMW524438:KMW524444 KWS524438:KWS524444 LGO524438:LGO524444 LQK524438:LQK524444 MAG524438:MAG524444 MKC524438:MKC524444 MTY524438:MTY524444 NDU524438:NDU524444 NNQ524438:NNQ524444 NXM524438:NXM524444 OHI524438:OHI524444 ORE524438:ORE524444 PBA524438:PBA524444 PKW524438:PKW524444 PUS524438:PUS524444 QEO524438:QEO524444 QOK524438:QOK524444 QYG524438:QYG524444 RIC524438:RIC524444 RRY524438:RRY524444 SBU524438:SBU524444 SLQ524438:SLQ524444 SVM524438:SVM524444 TFI524438:TFI524444 TPE524438:TPE524444 TZA524438:TZA524444 UIW524438:UIW524444 USS524438:USS524444 VCO524438:VCO524444 VMK524438:VMK524444 VWG524438:VWG524444 WGC524438:WGC524444 WPY524438:WPY524444 DM589974:DM589980 NI589974:NI589980 XE589974:XE589980 AHA589974:AHA589980 AQW589974:AQW589980 BAS589974:BAS589980 BKO589974:BKO589980 BUK589974:BUK589980 CEG589974:CEG589980 COC589974:COC589980 CXY589974:CXY589980 DHU589974:DHU589980 DRQ589974:DRQ589980 EBM589974:EBM589980 ELI589974:ELI589980 EVE589974:EVE589980 FFA589974:FFA589980 FOW589974:FOW589980 FYS589974:FYS589980 GIO589974:GIO589980 GSK589974:GSK589980 HCG589974:HCG589980 HMC589974:HMC589980 HVY589974:HVY589980 IFU589974:IFU589980 IPQ589974:IPQ589980 IZM589974:IZM589980 JJI589974:JJI589980 JTE589974:JTE589980 KDA589974:KDA589980 KMW589974:KMW589980 KWS589974:KWS589980 LGO589974:LGO589980 LQK589974:LQK589980 MAG589974:MAG589980 MKC589974:MKC589980 MTY589974:MTY589980 NDU589974:NDU589980 NNQ589974:NNQ589980 NXM589974:NXM589980 OHI589974:OHI589980 ORE589974:ORE589980 PBA589974:PBA589980 PKW589974:PKW589980 PUS589974:PUS589980 QEO589974:QEO589980 QOK589974:QOK589980 QYG589974:QYG589980 RIC589974:RIC589980 RRY589974:RRY589980 SBU589974:SBU589980 SLQ589974:SLQ589980 SVM589974:SVM589980 TFI589974:TFI589980 TPE589974:TPE589980 TZA589974:TZA589980 UIW589974:UIW589980 USS589974:USS589980 VCO589974:VCO589980 VMK589974:VMK589980 VWG589974:VWG589980 WGC589974:WGC589980 WPY589974:WPY589980 DM655510:DM655516 NI655510:NI655516 XE655510:XE655516 AHA655510:AHA655516 AQW655510:AQW655516 BAS655510:BAS655516 BKO655510:BKO655516 BUK655510:BUK655516 CEG655510:CEG655516 COC655510:COC655516 CXY655510:CXY655516 DHU655510:DHU655516 DRQ655510:DRQ655516 EBM655510:EBM655516 ELI655510:ELI655516 EVE655510:EVE655516 FFA655510:FFA655516 FOW655510:FOW655516 FYS655510:FYS655516 GIO655510:GIO655516 GSK655510:GSK655516 HCG655510:HCG655516 HMC655510:HMC655516 HVY655510:HVY655516 IFU655510:IFU655516 IPQ655510:IPQ655516 IZM655510:IZM655516 JJI655510:JJI655516 JTE655510:JTE655516 KDA655510:KDA655516 KMW655510:KMW655516 KWS655510:KWS655516 LGO655510:LGO655516 LQK655510:LQK655516 MAG655510:MAG655516 MKC655510:MKC655516 MTY655510:MTY655516 NDU655510:NDU655516 NNQ655510:NNQ655516 NXM655510:NXM655516 OHI655510:OHI655516 ORE655510:ORE655516 PBA655510:PBA655516 PKW655510:PKW655516 PUS655510:PUS655516 QEO655510:QEO655516 QOK655510:QOK655516 QYG655510:QYG655516 RIC655510:RIC655516 RRY655510:RRY655516 SBU655510:SBU655516 SLQ655510:SLQ655516 SVM655510:SVM655516 TFI655510:TFI655516 TPE655510:TPE655516 TZA655510:TZA655516 UIW655510:UIW655516 USS655510:USS655516 VCO655510:VCO655516 VMK655510:VMK655516 VWG655510:VWG655516 WGC655510:WGC655516 WPY655510:WPY655516 DM721046:DM721052 NI721046:NI721052 XE721046:XE721052 AHA721046:AHA721052 AQW721046:AQW721052 BAS721046:BAS721052 BKO721046:BKO721052 BUK721046:BUK721052 CEG721046:CEG721052 COC721046:COC721052 CXY721046:CXY721052 DHU721046:DHU721052 DRQ721046:DRQ721052 EBM721046:EBM721052 ELI721046:ELI721052 EVE721046:EVE721052 FFA721046:FFA721052 FOW721046:FOW721052 FYS721046:FYS721052 GIO721046:GIO721052 GSK721046:GSK721052 HCG721046:HCG721052 HMC721046:HMC721052 HVY721046:HVY721052 IFU721046:IFU721052 IPQ721046:IPQ721052 IZM721046:IZM721052 JJI721046:JJI721052 JTE721046:JTE721052 KDA721046:KDA721052 KMW721046:KMW721052 KWS721046:KWS721052 LGO721046:LGO721052 LQK721046:LQK721052 MAG721046:MAG721052 MKC721046:MKC721052 MTY721046:MTY721052 NDU721046:NDU721052 NNQ721046:NNQ721052 NXM721046:NXM721052 OHI721046:OHI721052 ORE721046:ORE721052 PBA721046:PBA721052 PKW721046:PKW721052 PUS721046:PUS721052 QEO721046:QEO721052 QOK721046:QOK721052 QYG721046:QYG721052 RIC721046:RIC721052 RRY721046:RRY721052 SBU721046:SBU721052 SLQ721046:SLQ721052 SVM721046:SVM721052 TFI721046:TFI721052 TPE721046:TPE721052 TZA721046:TZA721052 UIW721046:UIW721052 USS721046:USS721052 VCO721046:VCO721052 VMK721046:VMK721052 VWG721046:VWG721052 WGC721046:WGC721052 WPY721046:WPY721052 DM786582:DM786588 NI786582:NI786588 XE786582:XE786588 AHA786582:AHA786588 AQW786582:AQW786588 BAS786582:BAS786588 BKO786582:BKO786588 BUK786582:BUK786588 CEG786582:CEG786588 COC786582:COC786588 CXY786582:CXY786588 DHU786582:DHU786588 DRQ786582:DRQ786588 EBM786582:EBM786588 ELI786582:ELI786588 EVE786582:EVE786588 FFA786582:FFA786588 FOW786582:FOW786588 FYS786582:FYS786588 GIO786582:GIO786588 GSK786582:GSK786588 HCG786582:HCG786588 HMC786582:HMC786588 HVY786582:HVY786588 IFU786582:IFU786588 IPQ786582:IPQ786588 IZM786582:IZM786588 JJI786582:JJI786588 JTE786582:JTE786588 KDA786582:KDA786588 KMW786582:KMW786588 KWS786582:KWS786588 LGO786582:LGO786588 LQK786582:LQK786588 MAG786582:MAG786588 MKC786582:MKC786588 MTY786582:MTY786588 NDU786582:NDU786588 NNQ786582:NNQ786588 NXM786582:NXM786588 OHI786582:OHI786588 ORE786582:ORE786588 PBA786582:PBA786588 PKW786582:PKW786588 PUS786582:PUS786588 QEO786582:QEO786588 QOK786582:QOK786588 QYG786582:QYG786588 RIC786582:RIC786588 RRY786582:RRY786588 SBU786582:SBU786588 SLQ786582:SLQ786588 SVM786582:SVM786588 TFI786582:TFI786588 TPE786582:TPE786588 TZA786582:TZA786588 UIW786582:UIW786588 USS786582:USS786588 VCO786582:VCO786588 VMK786582:VMK786588 VWG786582:VWG786588 WGC786582:WGC786588 WPY786582:WPY786588 DM852118:DM852124 NI852118:NI852124 XE852118:XE852124 AHA852118:AHA852124 AQW852118:AQW852124 BAS852118:BAS852124 BKO852118:BKO852124 BUK852118:BUK852124 CEG852118:CEG852124 COC852118:COC852124 CXY852118:CXY852124 DHU852118:DHU852124 DRQ852118:DRQ852124 EBM852118:EBM852124 ELI852118:ELI852124 EVE852118:EVE852124 FFA852118:FFA852124 FOW852118:FOW852124 FYS852118:FYS852124 GIO852118:GIO852124 GSK852118:GSK852124 HCG852118:HCG852124 HMC852118:HMC852124 HVY852118:HVY852124 IFU852118:IFU852124 IPQ852118:IPQ852124 IZM852118:IZM852124 JJI852118:JJI852124 JTE852118:JTE852124 KDA852118:KDA852124 KMW852118:KMW852124 KWS852118:KWS852124 LGO852118:LGO852124 LQK852118:LQK852124 MAG852118:MAG852124 MKC852118:MKC852124 MTY852118:MTY852124 NDU852118:NDU852124 NNQ852118:NNQ852124 NXM852118:NXM852124 OHI852118:OHI852124 ORE852118:ORE852124 PBA852118:PBA852124 PKW852118:PKW852124 PUS852118:PUS852124 QEO852118:QEO852124 QOK852118:QOK852124 QYG852118:QYG852124 RIC852118:RIC852124 RRY852118:RRY852124 SBU852118:SBU852124 SLQ852118:SLQ852124 SVM852118:SVM852124 TFI852118:TFI852124 TPE852118:TPE852124 TZA852118:TZA852124 UIW852118:UIW852124 USS852118:USS852124 VCO852118:VCO852124 VMK852118:VMK852124 VWG852118:VWG852124 WGC852118:WGC852124 WPY852118:WPY852124 DM917654:DM917660 NI917654:NI917660 XE917654:XE917660 AHA917654:AHA917660 AQW917654:AQW917660 BAS917654:BAS917660 BKO917654:BKO917660 BUK917654:BUK917660 CEG917654:CEG917660 COC917654:COC917660 CXY917654:CXY917660 DHU917654:DHU917660 DRQ917654:DRQ917660 EBM917654:EBM917660 ELI917654:ELI917660 EVE917654:EVE917660 FFA917654:FFA917660 FOW917654:FOW917660 FYS917654:FYS917660 GIO917654:GIO917660 GSK917654:GSK917660 HCG917654:HCG917660 HMC917654:HMC917660 HVY917654:HVY917660 IFU917654:IFU917660 IPQ917654:IPQ917660 IZM917654:IZM917660 JJI917654:JJI917660 JTE917654:JTE917660 KDA917654:KDA917660 KMW917654:KMW917660 KWS917654:KWS917660 LGO917654:LGO917660 LQK917654:LQK917660 MAG917654:MAG917660 MKC917654:MKC917660 MTY917654:MTY917660 NDU917654:NDU917660 NNQ917654:NNQ917660 NXM917654:NXM917660 OHI917654:OHI917660 ORE917654:ORE917660 PBA917654:PBA917660 PKW917654:PKW917660 PUS917654:PUS917660 QEO917654:QEO917660 QOK917654:QOK917660 QYG917654:QYG917660 RIC917654:RIC917660 RRY917654:RRY917660 SBU917654:SBU917660 SLQ917654:SLQ917660 SVM917654:SVM917660 TFI917654:TFI917660 TPE917654:TPE917660 TZA917654:TZA917660 UIW917654:UIW917660 USS917654:USS917660 VCO917654:VCO917660 VMK917654:VMK917660 VWG917654:VWG917660 WGC917654:WGC917660 WPY917654:WPY917660 DM983190:DM983196 NI983190:NI983196 XE983190:XE983196 AHA983190:AHA983196 AQW983190:AQW983196 BAS983190:BAS983196 BKO983190:BKO983196 BUK983190:BUK983196 CEG983190:CEG983196 COC983190:COC983196 CXY983190:CXY983196 DHU983190:DHU983196 DRQ983190:DRQ983196 EBM983190:EBM983196 ELI983190:ELI983196 EVE983190:EVE983196 FFA983190:FFA983196 FOW983190:FOW983196 FYS983190:FYS983196 GIO983190:GIO983196 GSK983190:GSK983196 HCG983190:HCG983196 HMC983190:HMC983196 HVY983190:HVY983196 IFU983190:IFU983196 IPQ983190:IPQ983196 IZM983190:IZM983196 JJI983190:JJI983196 JTE983190:JTE983196 KDA983190:KDA983196 KMW983190:KMW983196 KWS983190:KWS983196 LGO983190:LGO983196 LQK983190:LQK983196 MAG983190:MAG983196 MKC983190:MKC983196 MTY983190:MTY983196 NDU983190:NDU983196 NNQ983190:NNQ983196 NXM983190:NXM983196 OHI983190:OHI983196 ORE983190:ORE983196 PBA983190:PBA983196 PKW983190:PKW983196 PUS983190:PUS983196 QEO983190:QEO983196 QOK983190:QOK983196 QYG983190:QYG983196 RIC983190:RIC983196 RRY983190:RRY983196 SBU983190:SBU983196 SLQ983190:SLQ983196 SVM983190:SVM983196 TFI983190:TFI983196 TPE983190:TPE983196 TZA983190:TZA983196 UIW983190:UIW983196 USS983190:USS983196 VCO983190:VCO983196 VMK983190:VMK983196 VWG983190:VWG983196 WGC983190:WGC983196 WPY983190:WPY983196 DM65715 NI65715 XE65715 AHA65715 AQW65715 BAS65715 BKO65715 BUK65715 CEG65715 COC65715 CXY65715 DHU65715 DRQ65715 EBM65715 ELI65715 EVE65715 FFA65715 FOW65715 FYS65715 GIO65715 GSK65715 HCG65715 HMC65715 HVY65715 IFU65715 IPQ65715 IZM65715 JJI65715 JTE65715 KDA65715 KMW65715 KWS65715 LGO65715 LQK65715 MAG65715 MKC65715 MTY65715 NDU65715 NNQ65715 NXM65715 OHI65715 ORE65715 PBA65715 PKW65715 PUS65715 QEO65715 QOK65715 QYG65715 RIC65715 RRY65715 SBU65715 SLQ65715 SVM65715 TFI65715 TPE65715 TZA65715 UIW65715 USS65715 VCO65715 VMK65715 VWG65715 WGC65715 WPY65715 DM131251 NI131251 XE131251 AHA131251 AQW131251 BAS131251 BKO131251 BUK131251 CEG131251 COC131251 CXY131251 DHU131251 DRQ131251 EBM131251 ELI131251 EVE131251 FFA131251 FOW131251 FYS131251 GIO131251 GSK131251 HCG131251 HMC131251 HVY131251 IFU131251 IPQ131251 IZM131251 JJI131251 JTE131251 KDA131251 KMW131251 KWS131251 LGO131251 LQK131251 MAG131251 MKC131251 MTY131251 NDU131251 NNQ131251 NXM131251 OHI131251 ORE131251 PBA131251 PKW131251 PUS131251 QEO131251 QOK131251 QYG131251 RIC131251 RRY131251 SBU131251 SLQ131251 SVM131251 TFI131251 TPE131251 TZA131251 UIW131251 USS131251 VCO131251 VMK131251 VWG131251 WGC131251 WPY131251 DM196787 NI196787 XE196787 AHA196787 AQW196787 BAS196787 BKO196787 BUK196787 CEG196787 COC196787 CXY196787 DHU196787 DRQ196787 EBM196787 ELI196787 EVE196787 FFA196787 FOW196787 FYS196787 GIO196787 GSK196787 HCG196787 HMC196787 HVY196787 IFU196787 IPQ196787 IZM196787 JJI196787 JTE196787 KDA196787 KMW196787 KWS196787 LGO196787 LQK196787 MAG196787 MKC196787 MTY196787 NDU196787 NNQ196787 NXM196787 OHI196787 ORE196787 PBA196787 PKW196787 PUS196787 QEO196787 QOK196787 QYG196787 RIC196787 RRY196787 SBU196787 SLQ196787 SVM196787 TFI196787 TPE196787 TZA196787 UIW196787 USS196787 VCO196787 VMK196787 VWG196787 WGC196787 WPY196787 DM262323 NI262323 XE262323 AHA262323 AQW262323 BAS262323 BKO262323 BUK262323 CEG262323 COC262323 CXY262323 DHU262323 DRQ262323 EBM262323 ELI262323 EVE262323 FFA262323 FOW262323 FYS262323 GIO262323 GSK262323 HCG262323 HMC262323 HVY262323 IFU262323 IPQ262323 IZM262323 JJI262323 JTE262323 KDA262323 KMW262323 KWS262323 LGO262323 LQK262323 MAG262323 MKC262323 MTY262323 NDU262323 NNQ262323 NXM262323 OHI262323 ORE262323 PBA262323 PKW262323 PUS262323 QEO262323 QOK262323 QYG262323 RIC262323 RRY262323 SBU262323 SLQ262323 SVM262323 TFI262323 TPE262323 TZA262323 UIW262323 USS262323 VCO262323 VMK262323 VWG262323 WGC262323 WPY262323 DM327859 NI327859 XE327859 AHA327859 AQW327859 BAS327859 BKO327859 BUK327859 CEG327859 COC327859 CXY327859 DHU327859 DRQ327859 EBM327859 ELI327859 EVE327859 FFA327859 FOW327859 FYS327859 GIO327859 GSK327859 HCG327859 HMC327859 HVY327859 IFU327859 IPQ327859 IZM327859 JJI327859 JTE327859 KDA327859 KMW327859 KWS327859 LGO327859 LQK327859 MAG327859 MKC327859 MTY327859 NDU327859 NNQ327859 NXM327859 OHI327859 ORE327859 PBA327859 PKW327859 PUS327859 QEO327859 QOK327859 QYG327859 RIC327859 RRY327859 SBU327859 SLQ327859 SVM327859 TFI327859 TPE327859 TZA327859 UIW327859 USS327859 VCO327859 VMK327859 VWG327859 WGC327859 WPY327859 DM393395 NI393395 XE393395 AHA393395 AQW393395 BAS393395 BKO393395 BUK393395 CEG393395 COC393395 CXY393395 DHU393395 DRQ393395 EBM393395 ELI393395 EVE393395 FFA393395 FOW393395 FYS393395 GIO393395 GSK393395 HCG393395 HMC393395 HVY393395 IFU393395 IPQ393395 IZM393395 JJI393395 JTE393395 KDA393395 KMW393395 KWS393395 LGO393395 LQK393395 MAG393395 MKC393395 MTY393395 NDU393395 NNQ393395 NXM393395 OHI393395 ORE393395 PBA393395 PKW393395 PUS393395 QEO393395 QOK393395 QYG393395 RIC393395 RRY393395 SBU393395 SLQ393395 SVM393395 TFI393395 TPE393395 TZA393395 UIW393395 USS393395 VCO393395 VMK393395 VWG393395 WGC393395 WPY393395 DM458931 NI458931 XE458931 AHA458931 AQW458931 BAS458931 BKO458931 BUK458931 CEG458931 COC458931 CXY458931 DHU458931 DRQ458931 EBM458931 ELI458931 EVE458931 FFA458931 FOW458931 FYS458931 GIO458931 GSK458931 HCG458931 HMC458931 HVY458931 IFU458931 IPQ458931 IZM458931 JJI458931 JTE458931 KDA458931 KMW458931 KWS458931 LGO458931 LQK458931 MAG458931 MKC458931 MTY458931 NDU458931 NNQ458931 NXM458931 OHI458931 ORE458931 PBA458931 PKW458931 PUS458931 QEO458931 QOK458931 QYG458931 RIC458931 RRY458931 SBU458931 SLQ458931 SVM458931 TFI458931 TPE458931 TZA458931 UIW458931 USS458931 VCO458931 VMK458931 VWG458931 WGC458931 WPY458931 DM524467 NI524467 XE524467 AHA524467 AQW524467 BAS524467 BKO524467 BUK524467 CEG524467 COC524467 CXY524467 DHU524467 DRQ524467 EBM524467 ELI524467 EVE524467 FFA524467 FOW524467 FYS524467 GIO524467 GSK524467 HCG524467 HMC524467 HVY524467 IFU524467 IPQ524467 IZM524467 JJI524467 JTE524467 KDA524467 KMW524467 KWS524467 LGO524467 LQK524467 MAG524467 MKC524467 MTY524467 NDU524467 NNQ524467 NXM524467 OHI524467 ORE524467 PBA524467 PKW524467 PUS524467 QEO524467 QOK524467 QYG524467 RIC524467 RRY524467 SBU524467 SLQ524467 SVM524467 TFI524467 TPE524467 TZA524467 UIW524467 USS524467 VCO524467 VMK524467 VWG524467 WGC524467 WPY524467 DM590003 NI590003 XE590003 AHA590003 AQW590003 BAS590003 BKO590003 BUK590003 CEG590003 COC590003 CXY590003 DHU590003 DRQ590003 EBM590003 ELI590003 EVE590003 FFA590003 FOW590003 FYS590003 GIO590003 GSK590003 HCG590003 HMC590003 HVY590003 IFU590003 IPQ590003 IZM590003 JJI590003 JTE590003 KDA590003 KMW590003 KWS590003 LGO590003 LQK590003 MAG590003 MKC590003 MTY590003 NDU590003 NNQ590003 NXM590003 OHI590003 ORE590003 PBA590003 PKW590003 PUS590003 QEO590003 QOK590003 QYG590003 RIC590003 RRY590003 SBU590003 SLQ590003 SVM590003 TFI590003 TPE590003 TZA590003 UIW590003 USS590003 VCO590003 VMK590003 VWG590003 WGC590003 WPY590003 DM655539 NI655539 XE655539 AHA655539 AQW655539 BAS655539 BKO655539 BUK655539 CEG655539 COC655539 CXY655539 DHU655539 DRQ655539 EBM655539 ELI655539 EVE655539 FFA655539 FOW655539 FYS655539 GIO655539 GSK655539 HCG655539 HMC655539 HVY655539 IFU655539 IPQ655539 IZM655539 JJI655539 JTE655539 KDA655539 KMW655539 KWS655539 LGO655539 LQK655539 MAG655539 MKC655539 MTY655539 NDU655539 NNQ655539 NXM655539 OHI655539 ORE655539 PBA655539 PKW655539 PUS655539 QEO655539 QOK655539 QYG655539 RIC655539 RRY655539 SBU655539 SLQ655539 SVM655539 TFI655539 TPE655539 TZA655539 UIW655539 USS655539 VCO655539 VMK655539 VWG655539 WGC655539 WPY655539 DM721075 NI721075 XE721075 AHA721075 AQW721075 BAS721075 BKO721075 BUK721075 CEG721075 COC721075 CXY721075 DHU721075 DRQ721075 EBM721075 ELI721075 EVE721075 FFA721075 FOW721075 FYS721075 GIO721075 GSK721075 HCG721075 HMC721075 HVY721075 IFU721075 IPQ721075 IZM721075 JJI721075 JTE721075 KDA721075 KMW721075 KWS721075 LGO721075 LQK721075 MAG721075 MKC721075 MTY721075 NDU721075 NNQ721075 NXM721075 OHI721075 ORE721075 PBA721075 PKW721075 PUS721075 QEO721075 QOK721075 QYG721075 RIC721075 RRY721075 SBU721075 SLQ721075 SVM721075 TFI721075 TPE721075 TZA721075 UIW721075 USS721075 VCO721075 VMK721075 VWG721075 WGC721075 WPY721075 DM786611 NI786611 XE786611 AHA786611 AQW786611 BAS786611 BKO786611 BUK786611 CEG786611 COC786611 CXY786611 DHU786611 DRQ786611 EBM786611 ELI786611 EVE786611 FFA786611 FOW786611 FYS786611 GIO786611 GSK786611 HCG786611 HMC786611 HVY786611 IFU786611 IPQ786611 IZM786611 JJI786611 JTE786611 KDA786611 KMW786611 KWS786611 LGO786611 LQK786611 MAG786611 MKC786611 MTY786611 NDU786611 NNQ786611 NXM786611 OHI786611 ORE786611 PBA786611 PKW786611 PUS786611 QEO786611 QOK786611 QYG786611 RIC786611 RRY786611 SBU786611 SLQ786611 SVM786611 TFI786611 TPE786611 TZA786611 UIW786611 USS786611 VCO786611 VMK786611 VWG786611 WGC786611 WPY786611 DM852147 NI852147 XE852147 AHA852147 AQW852147 BAS852147 BKO852147 BUK852147 CEG852147 COC852147 CXY852147 DHU852147 DRQ852147 EBM852147 ELI852147 EVE852147 FFA852147 FOW852147 FYS852147 GIO852147 GSK852147 HCG852147 HMC852147 HVY852147 IFU852147 IPQ852147 IZM852147 JJI852147 JTE852147 KDA852147 KMW852147 KWS852147 LGO852147 LQK852147 MAG852147 MKC852147 MTY852147 NDU852147 NNQ852147 NXM852147 OHI852147 ORE852147 PBA852147 PKW852147 PUS852147 QEO852147 QOK852147 QYG852147 RIC852147 RRY852147 SBU852147 SLQ852147 SVM852147 TFI852147 TPE852147 TZA852147 UIW852147 USS852147 VCO852147 VMK852147 VWG852147 WGC852147 WPY852147 DM917683 NI917683 XE917683 AHA917683 AQW917683 BAS917683 BKO917683 BUK917683 CEG917683 COC917683 CXY917683 DHU917683 DRQ917683 EBM917683 ELI917683 EVE917683 FFA917683 FOW917683 FYS917683 GIO917683 GSK917683 HCG917683 HMC917683 HVY917683 IFU917683 IPQ917683 IZM917683 JJI917683 JTE917683 KDA917683 KMW917683 KWS917683 LGO917683 LQK917683 MAG917683 MKC917683 MTY917683 NDU917683 NNQ917683 NXM917683 OHI917683 ORE917683 PBA917683 PKW917683 PUS917683 QEO917683 QOK917683 QYG917683 RIC917683 RRY917683 SBU917683 SLQ917683 SVM917683 TFI917683 TPE917683 TZA917683 UIW917683 USS917683 VCO917683 VMK917683 VWG917683 WGC917683 WPY917683 DM983219 NI983219 XE983219 AHA983219 AQW983219 BAS983219 BKO983219 BUK983219 CEG983219 COC983219 CXY983219 DHU983219 DRQ983219 EBM983219 ELI983219 EVE983219 FFA983219 FOW983219 FYS983219 GIO983219 GSK983219 HCG983219 HMC983219 HVY983219 IFU983219 IPQ983219 IZM983219 JJI983219 JTE983219 KDA983219 KMW983219 KWS983219 LGO983219 LQK983219 MAG983219 MKC983219 MTY983219 NDU983219 NNQ983219 NXM983219 OHI983219 ORE983219 PBA983219 PKW983219 PUS983219 QEO983219 QOK983219 QYG983219 RIC983219 RRY983219 SBU983219 SLQ983219 SVM983219 TFI983219 TPE983219 TZA983219 UIW983219 USS983219 VCO983219 VMK983219 VWG983219 WGC983219 WPY983219 DM65672 NI65672 XE65672 AHA65672 AQW65672 BAS65672 BKO65672 BUK65672 CEG65672 COC65672 CXY65672 DHU65672 DRQ65672 EBM65672 ELI65672 EVE65672 FFA65672 FOW65672 FYS65672 GIO65672 GSK65672 HCG65672 HMC65672 HVY65672 IFU65672 IPQ65672 IZM65672 JJI65672 JTE65672 KDA65672 KMW65672 KWS65672 LGO65672 LQK65672 MAG65672 MKC65672 MTY65672 NDU65672 NNQ65672 NXM65672 OHI65672 ORE65672 PBA65672 PKW65672 PUS65672 QEO65672 QOK65672 QYG65672 RIC65672 RRY65672 SBU65672 SLQ65672 SVM65672 TFI65672 TPE65672 TZA65672 UIW65672 USS65672 VCO65672 VMK65672 VWG65672 WGC65672 WPY65672 DM131208 NI131208 XE131208 AHA131208 AQW131208 BAS131208 BKO131208 BUK131208 CEG131208 COC131208 CXY131208 DHU131208 DRQ131208 EBM131208 ELI131208 EVE131208 FFA131208 FOW131208 FYS131208 GIO131208 GSK131208 HCG131208 HMC131208 HVY131208 IFU131208 IPQ131208 IZM131208 JJI131208 JTE131208 KDA131208 KMW131208 KWS131208 LGO131208 LQK131208 MAG131208 MKC131208 MTY131208 NDU131208 NNQ131208 NXM131208 OHI131208 ORE131208 PBA131208 PKW131208 PUS131208 QEO131208 QOK131208 QYG131208 RIC131208 RRY131208 SBU131208 SLQ131208 SVM131208 TFI131208 TPE131208 TZA131208 UIW131208 USS131208 VCO131208 VMK131208 VWG131208 WGC131208 WPY131208 DM196744 NI196744 XE196744 AHA196744 AQW196744 BAS196744 BKO196744 BUK196744 CEG196744 COC196744 CXY196744 DHU196744 DRQ196744 EBM196744 ELI196744 EVE196744 FFA196744 FOW196744 FYS196744 GIO196744 GSK196744 HCG196744 HMC196744 HVY196744 IFU196744 IPQ196744 IZM196744 JJI196744 JTE196744 KDA196744 KMW196744 KWS196744 LGO196744 LQK196744 MAG196744 MKC196744 MTY196744 NDU196744 NNQ196744 NXM196744 OHI196744 ORE196744 PBA196744 PKW196744 PUS196744 QEO196744 QOK196744 QYG196744 RIC196744 RRY196744 SBU196744 SLQ196744 SVM196744 TFI196744 TPE196744 TZA196744 UIW196744 USS196744 VCO196744 VMK196744 VWG196744 WGC196744 WPY196744 DM262280 NI262280 XE262280 AHA262280 AQW262280 BAS262280 BKO262280 BUK262280 CEG262280 COC262280 CXY262280 DHU262280 DRQ262280 EBM262280 ELI262280 EVE262280 FFA262280 FOW262280 FYS262280 GIO262280 GSK262280 HCG262280 HMC262280 HVY262280 IFU262280 IPQ262280 IZM262280 JJI262280 JTE262280 KDA262280 KMW262280 KWS262280 LGO262280 LQK262280 MAG262280 MKC262280 MTY262280 NDU262280 NNQ262280 NXM262280 OHI262280 ORE262280 PBA262280 PKW262280 PUS262280 QEO262280 QOK262280 QYG262280 RIC262280 RRY262280 SBU262280 SLQ262280 SVM262280 TFI262280 TPE262280 TZA262280 UIW262280 USS262280 VCO262280 VMK262280 VWG262280 WGC262280 WPY262280 DM327816 NI327816 XE327816 AHA327816 AQW327816 BAS327816 BKO327816 BUK327816 CEG327816 COC327816 CXY327816 DHU327816 DRQ327816 EBM327816 ELI327816 EVE327816 FFA327816 FOW327816 FYS327816 GIO327816 GSK327816 HCG327816 HMC327816 HVY327816 IFU327816 IPQ327816 IZM327816 JJI327816 JTE327816 KDA327816 KMW327816 KWS327816 LGO327816 LQK327816 MAG327816 MKC327816 MTY327816 NDU327816 NNQ327816 NXM327816 OHI327816 ORE327816 PBA327816 PKW327816 PUS327816 QEO327816 QOK327816 QYG327816 RIC327816 RRY327816 SBU327816 SLQ327816 SVM327816 TFI327816 TPE327816 TZA327816 UIW327816 USS327816 VCO327816 VMK327816 VWG327816 WGC327816 WPY327816 DM393352 NI393352 XE393352 AHA393352 AQW393352 BAS393352 BKO393352 BUK393352 CEG393352 COC393352 CXY393352 DHU393352 DRQ393352 EBM393352 ELI393352 EVE393352 FFA393352 FOW393352 FYS393352 GIO393352 GSK393352 HCG393352 HMC393352 HVY393352 IFU393352 IPQ393352 IZM393352 JJI393352 JTE393352 KDA393352 KMW393352 KWS393352 LGO393352 LQK393352 MAG393352 MKC393352 MTY393352 NDU393352 NNQ393352 NXM393352 OHI393352 ORE393352 PBA393352 PKW393352 PUS393352 QEO393352 QOK393352 QYG393352 RIC393352 RRY393352 SBU393352 SLQ393352 SVM393352 TFI393352 TPE393352 TZA393352 UIW393352 USS393352 VCO393352 VMK393352 VWG393352 WGC393352 WPY393352 DM458888 NI458888 XE458888 AHA458888 AQW458888 BAS458888 BKO458888 BUK458888 CEG458888 COC458888 CXY458888 DHU458888 DRQ458888 EBM458888 ELI458888 EVE458888 FFA458888 FOW458888 FYS458888 GIO458888 GSK458888 HCG458888 HMC458888 HVY458888 IFU458888 IPQ458888 IZM458888 JJI458888 JTE458888 KDA458888 KMW458888 KWS458888 LGO458888 LQK458888 MAG458888 MKC458888 MTY458888 NDU458888 NNQ458888 NXM458888 OHI458888 ORE458888 PBA458888 PKW458888 PUS458888 QEO458888 QOK458888 QYG458888 RIC458888 RRY458888 SBU458888 SLQ458888 SVM458888 TFI458888 TPE458888 TZA458888 UIW458888 USS458888 VCO458888 VMK458888 VWG458888 WGC458888 WPY458888 DM524424 NI524424 XE524424 AHA524424 AQW524424 BAS524424 BKO524424 BUK524424 CEG524424 COC524424 CXY524424 DHU524424 DRQ524424 EBM524424 ELI524424 EVE524424 FFA524424 FOW524424 FYS524424 GIO524424 GSK524424 HCG524424 HMC524424 HVY524424 IFU524424 IPQ524424 IZM524424 JJI524424 JTE524424 KDA524424 KMW524424 KWS524424 LGO524424 LQK524424 MAG524424 MKC524424 MTY524424 NDU524424 NNQ524424 NXM524424 OHI524424 ORE524424 PBA524424 PKW524424 PUS524424 QEO524424 QOK524424 QYG524424 RIC524424 RRY524424 SBU524424 SLQ524424 SVM524424 TFI524424 TPE524424 TZA524424 UIW524424 USS524424 VCO524424 VMK524424 VWG524424 WGC524424 WPY524424 DM589960 NI589960 XE589960 AHA589960 AQW589960 BAS589960 BKO589960 BUK589960 CEG589960 COC589960 CXY589960 DHU589960 DRQ589960 EBM589960 ELI589960 EVE589960 FFA589960 FOW589960 FYS589960 GIO589960 GSK589960 HCG589960 HMC589960 HVY589960 IFU589960 IPQ589960 IZM589960 JJI589960 JTE589960 KDA589960 KMW589960 KWS589960 LGO589960 LQK589960 MAG589960 MKC589960 MTY589960 NDU589960 NNQ589960 NXM589960 OHI589960 ORE589960 PBA589960 PKW589960 PUS589960 QEO589960 QOK589960 QYG589960 RIC589960 RRY589960 SBU589960 SLQ589960 SVM589960 TFI589960 TPE589960 TZA589960 UIW589960 USS589960 VCO589960 VMK589960 VWG589960 WGC589960 WPY589960 DM655496 NI655496 XE655496 AHA655496 AQW655496 BAS655496 BKO655496 BUK655496 CEG655496 COC655496 CXY655496 DHU655496 DRQ655496 EBM655496 ELI655496 EVE655496 FFA655496 FOW655496 FYS655496 GIO655496 GSK655496 HCG655496 HMC655496 HVY655496 IFU655496 IPQ655496 IZM655496 JJI655496 JTE655496 KDA655496 KMW655496 KWS655496 LGO655496 LQK655496 MAG655496 MKC655496 MTY655496 NDU655496 NNQ655496 NXM655496 OHI655496 ORE655496 PBA655496 PKW655496 PUS655496 QEO655496 QOK655496 QYG655496 RIC655496 RRY655496 SBU655496 SLQ655496 SVM655496 TFI655496 TPE655496 TZA655496 UIW655496 USS655496 VCO655496 VMK655496 VWG655496 WGC655496 WPY655496 DM721032 NI721032 XE721032 AHA721032 AQW721032 BAS721032 BKO721032 BUK721032 CEG721032 COC721032 CXY721032 DHU721032 DRQ721032 EBM721032 ELI721032 EVE721032 FFA721032 FOW721032 FYS721032 GIO721032 GSK721032 HCG721032 HMC721032 HVY721032 IFU721032 IPQ721032 IZM721032 JJI721032 JTE721032 KDA721032 KMW721032 KWS721032 LGO721032 LQK721032 MAG721032 MKC721032 MTY721032 NDU721032 NNQ721032 NXM721032 OHI721032 ORE721032 PBA721032 PKW721032 PUS721032 QEO721032 QOK721032 QYG721032 RIC721032 RRY721032 SBU721032 SLQ721032 SVM721032 TFI721032 TPE721032 TZA721032 UIW721032 USS721032 VCO721032 VMK721032 VWG721032 WGC721032 WPY721032 DM786568 NI786568 XE786568 AHA786568 AQW786568 BAS786568 BKO786568 BUK786568 CEG786568 COC786568 CXY786568 DHU786568 DRQ786568 EBM786568 ELI786568 EVE786568 FFA786568 FOW786568 FYS786568 GIO786568 GSK786568 HCG786568 HMC786568 HVY786568 IFU786568 IPQ786568 IZM786568 JJI786568 JTE786568 KDA786568 KMW786568 KWS786568 LGO786568 LQK786568 MAG786568 MKC786568 MTY786568 NDU786568 NNQ786568 NXM786568 OHI786568 ORE786568 PBA786568 PKW786568 PUS786568 QEO786568 QOK786568 QYG786568 RIC786568 RRY786568 SBU786568 SLQ786568 SVM786568 TFI786568 TPE786568 TZA786568 UIW786568 USS786568 VCO786568 VMK786568 VWG786568 WGC786568 WPY786568 DM852104 NI852104 XE852104 AHA852104 AQW852104 BAS852104 BKO852104 BUK852104 CEG852104 COC852104 CXY852104 DHU852104 DRQ852104 EBM852104 ELI852104 EVE852104 FFA852104 FOW852104 FYS852104 GIO852104 GSK852104 HCG852104 HMC852104 HVY852104 IFU852104 IPQ852104 IZM852104 JJI852104 JTE852104 KDA852104 KMW852104 KWS852104 LGO852104 LQK852104 MAG852104 MKC852104 MTY852104 NDU852104 NNQ852104 NXM852104 OHI852104 ORE852104 PBA852104 PKW852104 PUS852104 QEO852104 QOK852104 QYG852104 RIC852104 RRY852104 SBU852104 SLQ852104 SVM852104 TFI852104 TPE852104 TZA852104 UIW852104 USS852104 VCO852104 VMK852104 VWG852104 WGC852104 WPY852104 DM917640 NI917640 XE917640 AHA917640 AQW917640 BAS917640 BKO917640 BUK917640 CEG917640 COC917640 CXY917640 DHU917640 DRQ917640 EBM917640 ELI917640 EVE917640 FFA917640 FOW917640 FYS917640 GIO917640 GSK917640 HCG917640 HMC917640 HVY917640 IFU917640 IPQ917640 IZM917640 JJI917640 JTE917640 KDA917640 KMW917640 KWS917640 LGO917640 LQK917640 MAG917640 MKC917640 MTY917640 NDU917640 NNQ917640 NXM917640 OHI917640 ORE917640 PBA917640 PKW917640 PUS917640 QEO917640 QOK917640 QYG917640 RIC917640 RRY917640 SBU917640 SLQ917640 SVM917640 TFI917640 TPE917640 TZA917640 UIW917640 USS917640 VCO917640 VMK917640 VWG917640 WGC917640 WPY917640 DM983176 NI983176 XE983176 AHA983176 AQW983176 BAS983176 BKO983176 BUK983176 CEG983176 COC983176 CXY983176 DHU983176 DRQ983176 EBM983176 ELI983176 EVE983176 FFA983176 FOW983176 FYS983176 GIO983176 GSK983176 HCG983176 HMC983176 HVY983176 IFU983176 IPQ983176 IZM983176 JJI983176 JTE983176 KDA983176 KMW983176 KWS983176 LGO983176 LQK983176 MAG983176 MKC983176 MTY983176 NDU983176 NNQ983176 NXM983176 OHI983176 ORE983176 PBA983176 PKW983176 PUS983176 QEO983176 QOK983176 QYG983176 RIC983176 RRY983176 SBU983176 SLQ983176 SVM983176 TFI983176 TPE983176 TZA983176 UIW983176 USS983176 VCO983176 VMK983176 VWG983176 WGC983176 WPY983176 DM65694 NI65694 XE65694 AHA65694 AQW65694 BAS65694 BKO65694 BUK65694 CEG65694 COC65694 CXY65694 DHU65694 DRQ65694 EBM65694 ELI65694 EVE65694 FFA65694 FOW65694 FYS65694 GIO65694 GSK65694 HCG65694 HMC65694 HVY65694 IFU65694 IPQ65694 IZM65694 JJI65694 JTE65694 KDA65694 KMW65694 KWS65694 LGO65694 LQK65694 MAG65694 MKC65694 MTY65694 NDU65694 NNQ65694 NXM65694 OHI65694 ORE65694 PBA65694 PKW65694 PUS65694 QEO65694 QOK65694 QYG65694 RIC65694 RRY65694 SBU65694 SLQ65694 SVM65694 TFI65694 TPE65694 TZA65694 UIW65694 USS65694 VCO65694 VMK65694 VWG65694 WGC65694 WPY65694 DM131230 NI131230 XE131230 AHA131230 AQW131230 BAS131230 BKO131230 BUK131230 CEG131230 COC131230 CXY131230 DHU131230 DRQ131230 EBM131230 ELI131230 EVE131230 FFA131230 FOW131230 FYS131230 GIO131230 GSK131230 HCG131230 HMC131230 HVY131230 IFU131230 IPQ131230 IZM131230 JJI131230 JTE131230 KDA131230 KMW131230 KWS131230 LGO131230 LQK131230 MAG131230 MKC131230 MTY131230 NDU131230 NNQ131230 NXM131230 OHI131230 ORE131230 PBA131230 PKW131230 PUS131230 QEO131230 QOK131230 QYG131230 RIC131230 RRY131230 SBU131230 SLQ131230 SVM131230 TFI131230 TPE131230 TZA131230 UIW131230 USS131230 VCO131230 VMK131230 VWG131230 WGC131230 WPY131230 DM196766 NI196766 XE196766 AHA196766 AQW196766 BAS196766 BKO196766 BUK196766 CEG196766 COC196766 CXY196766 DHU196766 DRQ196766 EBM196766 ELI196766 EVE196766 FFA196766 FOW196766 FYS196766 GIO196766 GSK196766 HCG196766 HMC196766 HVY196766 IFU196766 IPQ196766 IZM196766 JJI196766 JTE196766 KDA196766 KMW196766 KWS196766 LGO196766 LQK196766 MAG196766 MKC196766 MTY196766 NDU196766 NNQ196766 NXM196766 OHI196766 ORE196766 PBA196766 PKW196766 PUS196766 QEO196766 QOK196766 QYG196766 RIC196766 RRY196766 SBU196766 SLQ196766 SVM196766 TFI196766 TPE196766 TZA196766 UIW196766 USS196766 VCO196766 VMK196766 VWG196766 WGC196766 WPY196766 DM262302 NI262302 XE262302 AHA262302 AQW262302 BAS262302 BKO262302 BUK262302 CEG262302 COC262302 CXY262302 DHU262302 DRQ262302 EBM262302 ELI262302 EVE262302 FFA262302 FOW262302 FYS262302 GIO262302 GSK262302 HCG262302 HMC262302 HVY262302 IFU262302 IPQ262302 IZM262302 JJI262302 JTE262302 KDA262302 KMW262302 KWS262302 LGO262302 LQK262302 MAG262302 MKC262302 MTY262302 NDU262302 NNQ262302 NXM262302 OHI262302 ORE262302 PBA262302 PKW262302 PUS262302 QEO262302 QOK262302 QYG262302 RIC262302 RRY262302 SBU262302 SLQ262302 SVM262302 TFI262302 TPE262302 TZA262302 UIW262302 USS262302 VCO262302 VMK262302 VWG262302 WGC262302 WPY262302 DM327838 NI327838 XE327838 AHA327838 AQW327838 BAS327838 BKO327838 BUK327838 CEG327838 COC327838 CXY327838 DHU327838 DRQ327838 EBM327838 ELI327838 EVE327838 FFA327838 FOW327838 FYS327838 GIO327838 GSK327838 HCG327838 HMC327838 HVY327838 IFU327838 IPQ327838 IZM327838 JJI327838 JTE327838 KDA327838 KMW327838 KWS327838 LGO327838 LQK327838 MAG327838 MKC327838 MTY327838 NDU327838 NNQ327838 NXM327838 OHI327838 ORE327838 PBA327838 PKW327838 PUS327838 QEO327838 QOK327838 QYG327838 RIC327838 RRY327838 SBU327838 SLQ327838 SVM327838 TFI327838 TPE327838 TZA327838 UIW327838 USS327838 VCO327838 VMK327838 VWG327838 WGC327838 WPY327838 DM393374 NI393374 XE393374 AHA393374 AQW393374 BAS393374 BKO393374 BUK393374 CEG393374 COC393374 CXY393374 DHU393374 DRQ393374 EBM393374 ELI393374 EVE393374 FFA393374 FOW393374 FYS393374 GIO393374 GSK393374 HCG393374 HMC393374 HVY393374 IFU393374 IPQ393374 IZM393374 JJI393374 JTE393374 KDA393374 KMW393374 KWS393374 LGO393374 LQK393374 MAG393374 MKC393374 MTY393374 NDU393374 NNQ393374 NXM393374 OHI393374 ORE393374 PBA393374 PKW393374 PUS393374 QEO393374 QOK393374 QYG393374 RIC393374 RRY393374 SBU393374 SLQ393374 SVM393374 TFI393374 TPE393374 TZA393374 UIW393374 USS393374 VCO393374 VMK393374 VWG393374 WGC393374 WPY393374 DM458910 NI458910 XE458910 AHA458910 AQW458910 BAS458910 BKO458910 BUK458910 CEG458910 COC458910 CXY458910 DHU458910 DRQ458910 EBM458910 ELI458910 EVE458910 FFA458910 FOW458910 FYS458910 GIO458910 GSK458910 HCG458910 HMC458910 HVY458910 IFU458910 IPQ458910 IZM458910 JJI458910 JTE458910 KDA458910 KMW458910 KWS458910 LGO458910 LQK458910 MAG458910 MKC458910 MTY458910 NDU458910 NNQ458910 NXM458910 OHI458910 ORE458910 PBA458910 PKW458910 PUS458910 QEO458910 QOK458910 QYG458910 RIC458910 RRY458910 SBU458910 SLQ458910 SVM458910 TFI458910 TPE458910 TZA458910 UIW458910 USS458910 VCO458910 VMK458910 VWG458910 WGC458910 WPY458910 DM524446 NI524446 XE524446 AHA524446 AQW524446 BAS524446 BKO524446 BUK524446 CEG524446 COC524446 CXY524446 DHU524446 DRQ524446 EBM524446 ELI524446 EVE524446 FFA524446 FOW524446 FYS524446 GIO524446 GSK524446 HCG524446 HMC524446 HVY524446 IFU524446 IPQ524446 IZM524446 JJI524446 JTE524446 KDA524446 KMW524446 KWS524446 LGO524446 LQK524446 MAG524446 MKC524446 MTY524446 NDU524446 NNQ524446 NXM524446 OHI524446 ORE524446 PBA524446 PKW524446 PUS524446 QEO524446 QOK524446 QYG524446 RIC524446 RRY524446 SBU524446 SLQ524446 SVM524446 TFI524446 TPE524446 TZA524446 UIW524446 USS524446 VCO524446 VMK524446 VWG524446 WGC524446 WPY524446 DM589982 NI589982 XE589982 AHA589982 AQW589982 BAS589982 BKO589982 BUK589982 CEG589982 COC589982 CXY589982 DHU589982 DRQ589982 EBM589982 ELI589982 EVE589982 FFA589982 FOW589982 FYS589982 GIO589982 GSK589982 HCG589982 HMC589982 HVY589982 IFU589982 IPQ589982 IZM589982 JJI589982 JTE589982 KDA589982 KMW589982 KWS589982 LGO589982 LQK589982 MAG589982 MKC589982 MTY589982 NDU589982 NNQ589982 NXM589982 OHI589982 ORE589982 PBA589982 PKW589982 PUS589982 QEO589982 QOK589982 QYG589982 RIC589982 RRY589982 SBU589982 SLQ589982 SVM589982 TFI589982 TPE589982 TZA589982 UIW589982 USS589982 VCO589982 VMK589982 VWG589982 WGC589982 WPY589982 DM655518 NI655518 XE655518 AHA655518 AQW655518 BAS655518 BKO655518 BUK655518 CEG655518 COC655518 CXY655518 DHU655518 DRQ655518 EBM655518 ELI655518 EVE655518 FFA655518 FOW655518 FYS655518 GIO655518 GSK655518 HCG655518 HMC655518 HVY655518 IFU655518 IPQ655518 IZM655518 JJI655518 JTE655518 KDA655518 KMW655518 KWS655518 LGO655518 LQK655518 MAG655518 MKC655518 MTY655518 NDU655518 NNQ655518 NXM655518 OHI655518 ORE655518 PBA655518 PKW655518 PUS655518 QEO655518 QOK655518 QYG655518 RIC655518 RRY655518 SBU655518 SLQ655518 SVM655518 TFI655518 TPE655518 TZA655518 UIW655518 USS655518 VCO655518 VMK655518 VWG655518 WGC655518 WPY655518 DM721054 NI721054 XE721054 AHA721054 AQW721054 BAS721054 BKO721054 BUK721054 CEG721054 COC721054 CXY721054 DHU721054 DRQ721054 EBM721054 ELI721054 EVE721054 FFA721054 FOW721054 FYS721054 GIO721054 GSK721054 HCG721054 HMC721054 HVY721054 IFU721054 IPQ721054 IZM721054 JJI721054 JTE721054 KDA721054 KMW721054 KWS721054 LGO721054 LQK721054 MAG721054 MKC721054 MTY721054 NDU721054 NNQ721054 NXM721054 OHI721054 ORE721054 PBA721054 PKW721054 PUS721054 QEO721054 QOK721054 QYG721054 RIC721054 RRY721054 SBU721054 SLQ721054 SVM721054 TFI721054 TPE721054 TZA721054 UIW721054 USS721054 VCO721054 VMK721054 VWG721054 WGC721054 WPY721054 DM786590 NI786590 XE786590 AHA786590 AQW786590 BAS786590 BKO786590 BUK786590 CEG786590 COC786590 CXY786590 DHU786590 DRQ786590 EBM786590 ELI786590 EVE786590 FFA786590 FOW786590 FYS786590 GIO786590 GSK786590 HCG786590 HMC786590 HVY786590 IFU786590 IPQ786590 IZM786590 JJI786590 JTE786590 KDA786590 KMW786590 KWS786590 LGO786590 LQK786590 MAG786590 MKC786590 MTY786590 NDU786590 NNQ786590 NXM786590 OHI786590 ORE786590 PBA786590 PKW786590 PUS786590 QEO786590 QOK786590 QYG786590 RIC786590 RRY786590 SBU786590 SLQ786590 SVM786590 TFI786590 TPE786590 TZA786590 UIW786590 USS786590 VCO786590 VMK786590 VWG786590 WGC786590 WPY786590 DM852126 NI852126 XE852126 AHA852126 AQW852126 BAS852126 BKO852126 BUK852126 CEG852126 COC852126 CXY852126 DHU852126 DRQ852126 EBM852126 ELI852126 EVE852126 FFA852126 FOW852126 FYS852126 GIO852126 GSK852126 HCG852126 HMC852126 HVY852126 IFU852126 IPQ852126 IZM852126 JJI852126 JTE852126 KDA852126 KMW852126 KWS852126 LGO852126 LQK852126 MAG852126 MKC852126 MTY852126 NDU852126 NNQ852126 NXM852126 OHI852126 ORE852126 PBA852126 PKW852126 PUS852126 QEO852126 QOK852126 QYG852126 RIC852126 RRY852126 SBU852126 SLQ852126 SVM852126 TFI852126 TPE852126 TZA852126 UIW852126 USS852126 VCO852126 VMK852126 VWG852126 WGC852126 WPY852126 DM917662 NI917662 XE917662 AHA917662 AQW917662 BAS917662 BKO917662 BUK917662 CEG917662 COC917662 CXY917662 DHU917662 DRQ917662 EBM917662 ELI917662 EVE917662 FFA917662 FOW917662 FYS917662 GIO917662 GSK917662 HCG917662 HMC917662 HVY917662 IFU917662 IPQ917662 IZM917662 JJI917662 JTE917662 KDA917662 KMW917662 KWS917662 LGO917662 LQK917662 MAG917662 MKC917662 MTY917662 NDU917662 NNQ917662 NXM917662 OHI917662 ORE917662 PBA917662 PKW917662 PUS917662 QEO917662 QOK917662 QYG917662 RIC917662 RRY917662 SBU917662 SLQ917662 SVM917662 TFI917662 TPE917662 TZA917662 UIW917662 USS917662 VCO917662 VMK917662 VWG917662 WGC917662 WPY917662 DM983198 NI983198 XE983198 AHA983198 AQW983198 BAS983198 BKO983198 BUK983198 CEG983198 COC983198 CXY983198 DHU983198 DRQ983198 EBM983198 ELI983198 EVE983198 FFA983198 FOW983198 FYS983198 GIO983198 GSK983198 HCG983198 HMC983198 HVY983198 IFU983198 IPQ983198 IZM983198 JJI983198 JTE983198 KDA983198 KMW983198 KWS983198 LGO983198 LQK983198 MAG983198 MKC983198 MTY983198 NDU983198 NNQ983198 NXM983198 OHI983198 ORE983198 PBA983198 PKW983198 PUS983198 QEO983198 QOK983198 QYG983198 RIC983198 RRY983198 SBU983198 SLQ983198 SVM983198 TFI983198 TPE983198 TZA983198 UIW983198 USS983198 VCO983198 VMK983198 VWG983198 WGC983198 WPY983198 DM65705:DM65713 NI65705:NI65713 XE65705:XE65713 AHA65705:AHA65713 AQW65705:AQW65713 BAS65705:BAS65713 BKO65705:BKO65713 BUK65705:BUK65713 CEG65705:CEG65713 COC65705:COC65713 CXY65705:CXY65713 DHU65705:DHU65713 DRQ65705:DRQ65713 EBM65705:EBM65713 ELI65705:ELI65713 EVE65705:EVE65713 FFA65705:FFA65713 FOW65705:FOW65713 FYS65705:FYS65713 GIO65705:GIO65713 GSK65705:GSK65713 HCG65705:HCG65713 HMC65705:HMC65713 HVY65705:HVY65713 IFU65705:IFU65713 IPQ65705:IPQ65713 IZM65705:IZM65713 JJI65705:JJI65713 JTE65705:JTE65713 KDA65705:KDA65713 KMW65705:KMW65713 KWS65705:KWS65713 LGO65705:LGO65713 LQK65705:LQK65713 MAG65705:MAG65713 MKC65705:MKC65713 MTY65705:MTY65713 NDU65705:NDU65713 NNQ65705:NNQ65713 NXM65705:NXM65713 OHI65705:OHI65713 ORE65705:ORE65713 PBA65705:PBA65713 PKW65705:PKW65713 PUS65705:PUS65713 QEO65705:QEO65713 QOK65705:QOK65713 QYG65705:QYG65713 RIC65705:RIC65713 RRY65705:RRY65713 SBU65705:SBU65713 SLQ65705:SLQ65713 SVM65705:SVM65713 TFI65705:TFI65713 TPE65705:TPE65713 TZA65705:TZA65713 UIW65705:UIW65713 USS65705:USS65713 VCO65705:VCO65713 VMK65705:VMK65713 VWG65705:VWG65713 WGC65705:WGC65713 WPY65705:WPY65713 DM131241:DM131249 NI131241:NI131249 XE131241:XE131249 AHA131241:AHA131249 AQW131241:AQW131249 BAS131241:BAS131249 BKO131241:BKO131249 BUK131241:BUK131249 CEG131241:CEG131249 COC131241:COC131249 CXY131241:CXY131249 DHU131241:DHU131249 DRQ131241:DRQ131249 EBM131241:EBM131249 ELI131241:ELI131249 EVE131241:EVE131249 FFA131241:FFA131249 FOW131241:FOW131249 FYS131241:FYS131249 GIO131241:GIO131249 GSK131241:GSK131249 HCG131241:HCG131249 HMC131241:HMC131249 HVY131241:HVY131249 IFU131241:IFU131249 IPQ131241:IPQ131249 IZM131241:IZM131249 JJI131241:JJI131249 JTE131241:JTE131249 KDA131241:KDA131249 KMW131241:KMW131249 KWS131241:KWS131249 LGO131241:LGO131249 LQK131241:LQK131249 MAG131241:MAG131249 MKC131241:MKC131249 MTY131241:MTY131249 NDU131241:NDU131249 NNQ131241:NNQ131249 NXM131241:NXM131249 OHI131241:OHI131249 ORE131241:ORE131249 PBA131241:PBA131249 PKW131241:PKW131249 PUS131241:PUS131249 QEO131241:QEO131249 QOK131241:QOK131249 QYG131241:QYG131249 RIC131241:RIC131249 RRY131241:RRY131249 SBU131241:SBU131249 SLQ131241:SLQ131249 SVM131241:SVM131249 TFI131241:TFI131249 TPE131241:TPE131249 TZA131241:TZA131249 UIW131241:UIW131249 USS131241:USS131249 VCO131241:VCO131249 VMK131241:VMK131249 VWG131241:VWG131249 WGC131241:WGC131249 WPY131241:WPY131249 DM196777:DM196785 NI196777:NI196785 XE196777:XE196785 AHA196777:AHA196785 AQW196777:AQW196785 BAS196777:BAS196785 BKO196777:BKO196785 BUK196777:BUK196785 CEG196777:CEG196785 COC196777:COC196785 CXY196777:CXY196785 DHU196777:DHU196785 DRQ196777:DRQ196785 EBM196777:EBM196785 ELI196777:ELI196785 EVE196777:EVE196785 FFA196777:FFA196785 FOW196777:FOW196785 FYS196777:FYS196785 GIO196777:GIO196785 GSK196777:GSK196785 HCG196777:HCG196785 HMC196777:HMC196785 HVY196777:HVY196785 IFU196777:IFU196785 IPQ196777:IPQ196785 IZM196777:IZM196785 JJI196777:JJI196785 JTE196777:JTE196785 KDA196777:KDA196785 KMW196777:KMW196785 KWS196777:KWS196785 LGO196777:LGO196785 LQK196777:LQK196785 MAG196777:MAG196785 MKC196777:MKC196785 MTY196777:MTY196785 NDU196777:NDU196785 NNQ196777:NNQ196785 NXM196777:NXM196785 OHI196777:OHI196785 ORE196777:ORE196785 PBA196777:PBA196785 PKW196777:PKW196785 PUS196777:PUS196785 QEO196777:QEO196785 QOK196777:QOK196785 QYG196777:QYG196785 RIC196777:RIC196785 RRY196777:RRY196785 SBU196777:SBU196785 SLQ196777:SLQ196785 SVM196777:SVM196785 TFI196777:TFI196785 TPE196777:TPE196785 TZA196777:TZA196785 UIW196777:UIW196785 USS196777:USS196785 VCO196777:VCO196785 VMK196777:VMK196785 VWG196777:VWG196785 WGC196777:WGC196785 WPY196777:WPY196785 DM262313:DM262321 NI262313:NI262321 XE262313:XE262321 AHA262313:AHA262321 AQW262313:AQW262321 BAS262313:BAS262321 BKO262313:BKO262321 BUK262313:BUK262321 CEG262313:CEG262321 COC262313:COC262321 CXY262313:CXY262321 DHU262313:DHU262321 DRQ262313:DRQ262321 EBM262313:EBM262321 ELI262313:ELI262321 EVE262313:EVE262321 FFA262313:FFA262321 FOW262313:FOW262321 FYS262313:FYS262321 GIO262313:GIO262321 GSK262313:GSK262321 HCG262313:HCG262321 HMC262313:HMC262321 HVY262313:HVY262321 IFU262313:IFU262321 IPQ262313:IPQ262321 IZM262313:IZM262321 JJI262313:JJI262321 JTE262313:JTE262321 KDA262313:KDA262321 KMW262313:KMW262321 KWS262313:KWS262321 LGO262313:LGO262321 LQK262313:LQK262321 MAG262313:MAG262321 MKC262313:MKC262321 MTY262313:MTY262321 NDU262313:NDU262321 NNQ262313:NNQ262321 NXM262313:NXM262321 OHI262313:OHI262321 ORE262313:ORE262321 PBA262313:PBA262321 PKW262313:PKW262321 PUS262313:PUS262321 QEO262313:QEO262321 QOK262313:QOK262321 QYG262313:QYG262321 RIC262313:RIC262321 RRY262313:RRY262321 SBU262313:SBU262321 SLQ262313:SLQ262321 SVM262313:SVM262321 TFI262313:TFI262321 TPE262313:TPE262321 TZA262313:TZA262321 UIW262313:UIW262321 USS262313:USS262321 VCO262313:VCO262321 VMK262313:VMK262321 VWG262313:VWG262321 WGC262313:WGC262321 WPY262313:WPY262321 DM327849:DM327857 NI327849:NI327857 XE327849:XE327857 AHA327849:AHA327857 AQW327849:AQW327857 BAS327849:BAS327857 BKO327849:BKO327857 BUK327849:BUK327857 CEG327849:CEG327857 COC327849:COC327857 CXY327849:CXY327857 DHU327849:DHU327857 DRQ327849:DRQ327857 EBM327849:EBM327857 ELI327849:ELI327857 EVE327849:EVE327857 FFA327849:FFA327857 FOW327849:FOW327857 FYS327849:FYS327857 GIO327849:GIO327857 GSK327849:GSK327857 HCG327849:HCG327857 HMC327849:HMC327857 HVY327849:HVY327857 IFU327849:IFU327857 IPQ327849:IPQ327857 IZM327849:IZM327857 JJI327849:JJI327857 JTE327849:JTE327857 KDA327849:KDA327857 KMW327849:KMW327857 KWS327849:KWS327857 LGO327849:LGO327857 LQK327849:LQK327857 MAG327849:MAG327857 MKC327849:MKC327857 MTY327849:MTY327857 NDU327849:NDU327857 NNQ327849:NNQ327857 NXM327849:NXM327857 OHI327849:OHI327857 ORE327849:ORE327857 PBA327849:PBA327857 PKW327849:PKW327857 PUS327849:PUS327857 QEO327849:QEO327857 QOK327849:QOK327857 QYG327849:QYG327857 RIC327849:RIC327857 RRY327849:RRY327857 SBU327849:SBU327857 SLQ327849:SLQ327857 SVM327849:SVM327857 TFI327849:TFI327857 TPE327849:TPE327857 TZA327849:TZA327857 UIW327849:UIW327857 USS327849:USS327857 VCO327849:VCO327857 VMK327849:VMK327857 VWG327849:VWG327857 WGC327849:WGC327857 WPY327849:WPY327857 DM393385:DM393393 NI393385:NI393393 XE393385:XE393393 AHA393385:AHA393393 AQW393385:AQW393393 BAS393385:BAS393393 BKO393385:BKO393393 BUK393385:BUK393393 CEG393385:CEG393393 COC393385:COC393393 CXY393385:CXY393393 DHU393385:DHU393393 DRQ393385:DRQ393393 EBM393385:EBM393393 ELI393385:ELI393393 EVE393385:EVE393393 FFA393385:FFA393393 FOW393385:FOW393393 FYS393385:FYS393393 GIO393385:GIO393393 GSK393385:GSK393393 HCG393385:HCG393393 HMC393385:HMC393393 HVY393385:HVY393393 IFU393385:IFU393393 IPQ393385:IPQ393393 IZM393385:IZM393393 JJI393385:JJI393393 JTE393385:JTE393393 KDA393385:KDA393393 KMW393385:KMW393393 KWS393385:KWS393393 LGO393385:LGO393393 LQK393385:LQK393393 MAG393385:MAG393393 MKC393385:MKC393393 MTY393385:MTY393393 NDU393385:NDU393393 NNQ393385:NNQ393393 NXM393385:NXM393393 OHI393385:OHI393393 ORE393385:ORE393393 PBA393385:PBA393393 PKW393385:PKW393393 PUS393385:PUS393393 QEO393385:QEO393393 QOK393385:QOK393393 QYG393385:QYG393393 RIC393385:RIC393393 RRY393385:RRY393393 SBU393385:SBU393393 SLQ393385:SLQ393393 SVM393385:SVM393393 TFI393385:TFI393393 TPE393385:TPE393393 TZA393385:TZA393393 UIW393385:UIW393393 USS393385:USS393393 VCO393385:VCO393393 VMK393385:VMK393393 VWG393385:VWG393393 WGC393385:WGC393393 WPY393385:WPY393393 DM458921:DM458929 NI458921:NI458929 XE458921:XE458929 AHA458921:AHA458929 AQW458921:AQW458929 BAS458921:BAS458929 BKO458921:BKO458929 BUK458921:BUK458929 CEG458921:CEG458929 COC458921:COC458929 CXY458921:CXY458929 DHU458921:DHU458929 DRQ458921:DRQ458929 EBM458921:EBM458929 ELI458921:ELI458929 EVE458921:EVE458929 FFA458921:FFA458929 FOW458921:FOW458929 FYS458921:FYS458929 GIO458921:GIO458929 GSK458921:GSK458929 HCG458921:HCG458929 HMC458921:HMC458929 HVY458921:HVY458929 IFU458921:IFU458929 IPQ458921:IPQ458929 IZM458921:IZM458929 JJI458921:JJI458929 JTE458921:JTE458929 KDA458921:KDA458929 KMW458921:KMW458929 KWS458921:KWS458929 LGO458921:LGO458929 LQK458921:LQK458929 MAG458921:MAG458929 MKC458921:MKC458929 MTY458921:MTY458929 NDU458921:NDU458929 NNQ458921:NNQ458929 NXM458921:NXM458929 OHI458921:OHI458929 ORE458921:ORE458929 PBA458921:PBA458929 PKW458921:PKW458929 PUS458921:PUS458929 QEO458921:QEO458929 QOK458921:QOK458929 QYG458921:QYG458929 RIC458921:RIC458929 RRY458921:RRY458929 SBU458921:SBU458929 SLQ458921:SLQ458929 SVM458921:SVM458929 TFI458921:TFI458929 TPE458921:TPE458929 TZA458921:TZA458929 UIW458921:UIW458929 USS458921:USS458929 VCO458921:VCO458929 VMK458921:VMK458929 VWG458921:VWG458929 WGC458921:WGC458929 WPY458921:WPY458929 DM524457:DM524465 NI524457:NI524465 XE524457:XE524465 AHA524457:AHA524465 AQW524457:AQW524465 BAS524457:BAS524465 BKO524457:BKO524465 BUK524457:BUK524465 CEG524457:CEG524465 COC524457:COC524465 CXY524457:CXY524465 DHU524457:DHU524465 DRQ524457:DRQ524465 EBM524457:EBM524465 ELI524457:ELI524465 EVE524457:EVE524465 FFA524457:FFA524465 FOW524457:FOW524465 FYS524457:FYS524465 GIO524457:GIO524465 GSK524457:GSK524465 HCG524457:HCG524465 HMC524457:HMC524465 HVY524457:HVY524465 IFU524457:IFU524465 IPQ524457:IPQ524465 IZM524457:IZM524465 JJI524457:JJI524465 JTE524457:JTE524465 KDA524457:KDA524465 KMW524457:KMW524465 KWS524457:KWS524465 LGO524457:LGO524465 LQK524457:LQK524465 MAG524457:MAG524465 MKC524457:MKC524465 MTY524457:MTY524465 NDU524457:NDU524465 NNQ524457:NNQ524465 NXM524457:NXM524465 OHI524457:OHI524465 ORE524457:ORE524465 PBA524457:PBA524465 PKW524457:PKW524465 PUS524457:PUS524465 QEO524457:QEO524465 QOK524457:QOK524465 QYG524457:QYG524465 RIC524457:RIC524465 RRY524457:RRY524465 SBU524457:SBU524465 SLQ524457:SLQ524465 SVM524457:SVM524465 TFI524457:TFI524465 TPE524457:TPE524465 TZA524457:TZA524465 UIW524457:UIW524465 USS524457:USS524465 VCO524457:VCO524465 VMK524457:VMK524465 VWG524457:VWG524465 WGC524457:WGC524465 WPY524457:WPY524465 DM589993:DM590001 NI589993:NI590001 XE589993:XE590001 AHA589993:AHA590001 AQW589993:AQW590001 BAS589993:BAS590001 BKO589993:BKO590001 BUK589993:BUK590001 CEG589993:CEG590001 COC589993:COC590001 CXY589993:CXY590001 DHU589993:DHU590001 DRQ589993:DRQ590001 EBM589993:EBM590001 ELI589993:ELI590001 EVE589993:EVE590001 FFA589993:FFA590001 FOW589993:FOW590001 FYS589993:FYS590001 GIO589993:GIO590001 GSK589993:GSK590001 HCG589993:HCG590001 HMC589993:HMC590001 HVY589993:HVY590001 IFU589993:IFU590001 IPQ589993:IPQ590001 IZM589993:IZM590001 JJI589993:JJI590001 JTE589993:JTE590001 KDA589993:KDA590001 KMW589993:KMW590001 KWS589993:KWS590001 LGO589993:LGO590001 LQK589993:LQK590001 MAG589993:MAG590001 MKC589993:MKC590001 MTY589993:MTY590001 NDU589993:NDU590001 NNQ589993:NNQ590001 NXM589993:NXM590001 OHI589993:OHI590001 ORE589993:ORE590001 PBA589993:PBA590001 PKW589993:PKW590001 PUS589993:PUS590001 QEO589993:QEO590001 QOK589993:QOK590001 QYG589993:QYG590001 RIC589993:RIC590001 RRY589993:RRY590001 SBU589993:SBU590001 SLQ589993:SLQ590001 SVM589993:SVM590001 TFI589993:TFI590001 TPE589993:TPE590001 TZA589993:TZA590001 UIW589993:UIW590001 USS589993:USS590001 VCO589993:VCO590001 VMK589993:VMK590001 VWG589993:VWG590001 WGC589993:WGC590001 WPY589993:WPY590001 DM655529:DM655537 NI655529:NI655537 XE655529:XE655537 AHA655529:AHA655537 AQW655529:AQW655537 BAS655529:BAS655537 BKO655529:BKO655537 BUK655529:BUK655537 CEG655529:CEG655537 COC655529:COC655537 CXY655529:CXY655537 DHU655529:DHU655537 DRQ655529:DRQ655537 EBM655529:EBM655537 ELI655529:ELI655537 EVE655529:EVE655537 FFA655529:FFA655537 FOW655529:FOW655537 FYS655529:FYS655537 GIO655529:GIO655537 GSK655529:GSK655537 HCG655529:HCG655537 HMC655529:HMC655537 HVY655529:HVY655537 IFU655529:IFU655537 IPQ655529:IPQ655537 IZM655529:IZM655537 JJI655529:JJI655537 JTE655529:JTE655537 KDA655529:KDA655537 KMW655529:KMW655537 KWS655529:KWS655537 LGO655529:LGO655537 LQK655529:LQK655537 MAG655529:MAG655537 MKC655529:MKC655537 MTY655529:MTY655537 NDU655529:NDU655537 NNQ655529:NNQ655537 NXM655529:NXM655537 OHI655529:OHI655537 ORE655529:ORE655537 PBA655529:PBA655537 PKW655529:PKW655537 PUS655529:PUS655537 QEO655529:QEO655537 QOK655529:QOK655537 QYG655529:QYG655537 RIC655529:RIC655537 RRY655529:RRY655537 SBU655529:SBU655537 SLQ655529:SLQ655537 SVM655529:SVM655537 TFI655529:TFI655537 TPE655529:TPE655537 TZA655529:TZA655537 UIW655529:UIW655537 USS655529:USS655537 VCO655529:VCO655537 VMK655529:VMK655537 VWG655529:VWG655537 WGC655529:WGC655537 WPY655529:WPY655537 DM721065:DM721073 NI721065:NI721073 XE721065:XE721073 AHA721065:AHA721073 AQW721065:AQW721073 BAS721065:BAS721073 BKO721065:BKO721073 BUK721065:BUK721073 CEG721065:CEG721073 COC721065:COC721073 CXY721065:CXY721073 DHU721065:DHU721073 DRQ721065:DRQ721073 EBM721065:EBM721073 ELI721065:ELI721073 EVE721065:EVE721073 FFA721065:FFA721073 FOW721065:FOW721073 FYS721065:FYS721073 GIO721065:GIO721073 GSK721065:GSK721073 HCG721065:HCG721073 HMC721065:HMC721073 HVY721065:HVY721073 IFU721065:IFU721073 IPQ721065:IPQ721073 IZM721065:IZM721073 JJI721065:JJI721073 JTE721065:JTE721073 KDA721065:KDA721073 KMW721065:KMW721073 KWS721065:KWS721073 LGO721065:LGO721073 LQK721065:LQK721073 MAG721065:MAG721073 MKC721065:MKC721073 MTY721065:MTY721073 NDU721065:NDU721073 NNQ721065:NNQ721073 NXM721065:NXM721073 OHI721065:OHI721073 ORE721065:ORE721073 PBA721065:PBA721073 PKW721065:PKW721073 PUS721065:PUS721073 QEO721065:QEO721073 QOK721065:QOK721073 QYG721065:QYG721073 RIC721065:RIC721073 RRY721065:RRY721073 SBU721065:SBU721073 SLQ721065:SLQ721073 SVM721065:SVM721073 TFI721065:TFI721073 TPE721065:TPE721073 TZA721065:TZA721073 UIW721065:UIW721073 USS721065:USS721073 VCO721065:VCO721073 VMK721065:VMK721073 VWG721065:VWG721073 WGC721065:WGC721073 WPY721065:WPY721073 DM786601:DM786609 NI786601:NI786609 XE786601:XE786609 AHA786601:AHA786609 AQW786601:AQW786609 BAS786601:BAS786609 BKO786601:BKO786609 BUK786601:BUK786609 CEG786601:CEG786609 COC786601:COC786609 CXY786601:CXY786609 DHU786601:DHU786609 DRQ786601:DRQ786609 EBM786601:EBM786609 ELI786601:ELI786609 EVE786601:EVE786609 FFA786601:FFA786609 FOW786601:FOW786609 FYS786601:FYS786609 GIO786601:GIO786609 GSK786601:GSK786609 HCG786601:HCG786609 HMC786601:HMC786609 HVY786601:HVY786609 IFU786601:IFU786609 IPQ786601:IPQ786609 IZM786601:IZM786609 JJI786601:JJI786609 JTE786601:JTE786609 KDA786601:KDA786609 KMW786601:KMW786609 KWS786601:KWS786609 LGO786601:LGO786609 LQK786601:LQK786609 MAG786601:MAG786609 MKC786601:MKC786609 MTY786601:MTY786609 NDU786601:NDU786609 NNQ786601:NNQ786609 NXM786601:NXM786609 OHI786601:OHI786609 ORE786601:ORE786609 PBA786601:PBA786609 PKW786601:PKW786609 PUS786601:PUS786609 QEO786601:QEO786609 QOK786601:QOK786609 QYG786601:QYG786609 RIC786601:RIC786609 RRY786601:RRY786609 SBU786601:SBU786609 SLQ786601:SLQ786609 SVM786601:SVM786609 TFI786601:TFI786609 TPE786601:TPE786609 TZA786601:TZA786609 UIW786601:UIW786609 USS786601:USS786609 VCO786601:VCO786609 VMK786601:VMK786609 VWG786601:VWG786609 WGC786601:WGC786609 WPY786601:WPY786609 DM852137:DM852145 NI852137:NI852145 XE852137:XE852145 AHA852137:AHA852145 AQW852137:AQW852145 BAS852137:BAS852145 BKO852137:BKO852145 BUK852137:BUK852145 CEG852137:CEG852145 COC852137:COC852145 CXY852137:CXY852145 DHU852137:DHU852145 DRQ852137:DRQ852145 EBM852137:EBM852145 ELI852137:ELI852145 EVE852137:EVE852145 FFA852137:FFA852145 FOW852137:FOW852145 FYS852137:FYS852145 GIO852137:GIO852145 GSK852137:GSK852145 HCG852137:HCG852145 HMC852137:HMC852145 HVY852137:HVY852145 IFU852137:IFU852145 IPQ852137:IPQ852145 IZM852137:IZM852145 JJI852137:JJI852145 JTE852137:JTE852145 KDA852137:KDA852145 KMW852137:KMW852145 KWS852137:KWS852145 LGO852137:LGO852145 LQK852137:LQK852145 MAG852137:MAG852145 MKC852137:MKC852145 MTY852137:MTY852145 NDU852137:NDU852145 NNQ852137:NNQ852145 NXM852137:NXM852145 OHI852137:OHI852145 ORE852137:ORE852145 PBA852137:PBA852145 PKW852137:PKW852145 PUS852137:PUS852145 QEO852137:QEO852145 QOK852137:QOK852145 QYG852137:QYG852145 RIC852137:RIC852145 RRY852137:RRY852145 SBU852137:SBU852145 SLQ852137:SLQ852145 SVM852137:SVM852145 TFI852137:TFI852145 TPE852137:TPE852145 TZA852137:TZA852145 UIW852137:UIW852145 USS852137:USS852145 VCO852137:VCO852145 VMK852137:VMK852145 VWG852137:VWG852145 WGC852137:WGC852145 WPY852137:WPY852145 DM917673:DM917681 NI917673:NI917681 XE917673:XE917681 AHA917673:AHA917681 AQW917673:AQW917681 BAS917673:BAS917681 BKO917673:BKO917681 BUK917673:BUK917681 CEG917673:CEG917681 COC917673:COC917681 CXY917673:CXY917681 DHU917673:DHU917681 DRQ917673:DRQ917681 EBM917673:EBM917681 ELI917673:ELI917681 EVE917673:EVE917681 FFA917673:FFA917681 FOW917673:FOW917681 FYS917673:FYS917681 GIO917673:GIO917681 GSK917673:GSK917681 HCG917673:HCG917681 HMC917673:HMC917681 HVY917673:HVY917681 IFU917673:IFU917681 IPQ917673:IPQ917681 IZM917673:IZM917681 JJI917673:JJI917681 JTE917673:JTE917681 KDA917673:KDA917681 KMW917673:KMW917681 KWS917673:KWS917681 LGO917673:LGO917681 LQK917673:LQK917681 MAG917673:MAG917681 MKC917673:MKC917681 MTY917673:MTY917681 NDU917673:NDU917681 NNQ917673:NNQ917681 NXM917673:NXM917681 OHI917673:OHI917681 ORE917673:ORE917681 PBA917673:PBA917681 PKW917673:PKW917681 PUS917673:PUS917681 QEO917673:QEO917681 QOK917673:QOK917681 QYG917673:QYG917681 RIC917673:RIC917681 RRY917673:RRY917681 SBU917673:SBU917681 SLQ917673:SLQ917681 SVM917673:SVM917681 TFI917673:TFI917681 TPE917673:TPE917681 TZA917673:TZA917681 UIW917673:UIW917681 USS917673:USS917681 VCO917673:VCO917681 VMK917673:VMK917681 VWG917673:VWG917681 WGC917673:WGC917681 WPY917673:WPY917681 DM983209:DM983217 NI983209:NI983217 XE983209:XE983217 AHA983209:AHA983217 AQW983209:AQW983217 BAS983209:BAS983217 BKO983209:BKO983217 BUK983209:BUK983217 CEG983209:CEG983217 COC983209:COC983217 CXY983209:CXY983217 DHU983209:DHU983217 DRQ983209:DRQ983217 EBM983209:EBM983217 ELI983209:ELI983217 EVE983209:EVE983217 FFA983209:FFA983217 FOW983209:FOW983217 FYS983209:FYS983217 GIO983209:GIO983217 GSK983209:GSK983217 HCG983209:HCG983217 HMC983209:HMC983217 HVY983209:HVY983217 IFU983209:IFU983217 IPQ983209:IPQ983217 IZM983209:IZM983217 JJI983209:JJI983217 JTE983209:JTE983217 KDA983209:KDA983217 KMW983209:KMW983217 KWS983209:KWS983217 LGO983209:LGO983217 LQK983209:LQK983217 MAG983209:MAG983217 MKC983209:MKC983217 MTY983209:MTY983217 NDU983209:NDU983217 NNQ983209:NNQ983217 NXM983209:NXM983217 OHI983209:OHI983217 ORE983209:ORE983217 PBA983209:PBA983217 PKW983209:PKW983217 PUS983209:PUS983217 QEO983209:QEO983217 QOK983209:QOK983217 QYG983209:QYG983217 RIC983209:RIC983217 RRY983209:RRY983217 SBU983209:SBU983217 SLQ983209:SLQ983217 SVM983209:SVM983217 TFI983209:TFI983217 TPE983209:TPE983217 TZA983209:TZA983217 UIW983209:UIW983217 USS983209:USS983217 VCO983209:VCO983217 VMK983209:VMK983217 VWG983209:VWG983217 WGC983209:WGC983217 WPY983209:WPY983217 DM65696:DM65703 NI65696:NI65703 XE65696:XE65703 AHA65696:AHA65703 AQW65696:AQW65703 BAS65696:BAS65703 BKO65696:BKO65703 BUK65696:BUK65703 CEG65696:CEG65703 COC65696:COC65703 CXY65696:CXY65703 DHU65696:DHU65703 DRQ65696:DRQ65703 EBM65696:EBM65703 ELI65696:ELI65703 EVE65696:EVE65703 FFA65696:FFA65703 FOW65696:FOW65703 FYS65696:FYS65703 GIO65696:GIO65703 GSK65696:GSK65703 HCG65696:HCG65703 HMC65696:HMC65703 HVY65696:HVY65703 IFU65696:IFU65703 IPQ65696:IPQ65703 IZM65696:IZM65703 JJI65696:JJI65703 JTE65696:JTE65703 KDA65696:KDA65703 KMW65696:KMW65703 KWS65696:KWS65703 LGO65696:LGO65703 LQK65696:LQK65703 MAG65696:MAG65703 MKC65696:MKC65703 MTY65696:MTY65703 NDU65696:NDU65703 NNQ65696:NNQ65703 NXM65696:NXM65703 OHI65696:OHI65703 ORE65696:ORE65703 PBA65696:PBA65703 PKW65696:PKW65703 PUS65696:PUS65703 QEO65696:QEO65703 QOK65696:QOK65703 QYG65696:QYG65703 RIC65696:RIC65703 RRY65696:RRY65703 SBU65696:SBU65703 SLQ65696:SLQ65703 SVM65696:SVM65703 TFI65696:TFI65703 TPE65696:TPE65703 TZA65696:TZA65703 UIW65696:UIW65703 USS65696:USS65703 VCO65696:VCO65703 VMK65696:VMK65703 VWG65696:VWG65703 WGC65696:WGC65703 WPY65696:WPY65703 DM131232:DM131239 NI131232:NI131239 XE131232:XE131239 AHA131232:AHA131239 AQW131232:AQW131239 BAS131232:BAS131239 BKO131232:BKO131239 BUK131232:BUK131239 CEG131232:CEG131239 COC131232:COC131239 CXY131232:CXY131239 DHU131232:DHU131239 DRQ131232:DRQ131239 EBM131232:EBM131239 ELI131232:ELI131239 EVE131232:EVE131239 FFA131232:FFA131239 FOW131232:FOW131239 FYS131232:FYS131239 GIO131232:GIO131239 GSK131232:GSK131239 HCG131232:HCG131239 HMC131232:HMC131239 HVY131232:HVY131239 IFU131232:IFU131239 IPQ131232:IPQ131239 IZM131232:IZM131239 JJI131232:JJI131239 JTE131232:JTE131239 KDA131232:KDA131239 KMW131232:KMW131239 KWS131232:KWS131239 LGO131232:LGO131239 LQK131232:LQK131239 MAG131232:MAG131239 MKC131232:MKC131239 MTY131232:MTY131239 NDU131232:NDU131239 NNQ131232:NNQ131239 NXM131232:NXM131239 OHI131232:OHI131239 ORE131232:ORE131239 PBA131232:PBA131239 PKW131232:PKW131239 PUS131232:PUS131239 QEO131232:QEO131239 QOK131232:QOK131239 QYG131232:QYG131239 RIC131232:RIC131239 RRY131232:RRY131239 SBU131232:SBU131239 SLQ131232:SLQ131239 SVM131232:SVM131239 TFI131232:TFI131239 TPE131232:TPE131239 TZA131232:TZA131239 UIW131232:UIW131239 USS131232:USS131239 VCO131232:VCO131239 VMK131232:VMK131239 VWG131232:VWG131239 WGC131232:WGC131239 WPY131232:WPY131239 DM196768:DM196775 NI196768:NI196775 XE196768:XE196775 AHA196768:AHA196775 AQW196768:AQW196775 BAS196768:BAS196775 BKO196768:BKO196775 BUK196768:BUK196775 CEG196768:CEG196775 COC196768:COC196775 CXY196768:CXY196775 DHU196768:DHU196775 DRQ196768:DRQ196775 EBM196768:EBM196775 ELI196768:ELI196775 EVE196768:EVE196775 FFA196768:FFA196775 FOW196768:FOW196775 FYS196768:FYS196775 GIO196768:GIO196775 GSK196768:GSK196775 HCG196768:HCG196775 HMC196768:HMC196775 HVY196768:HVY196775 IFU196768:IFU196775 IPQ196768:IPQ196775 IZM196768:IZM196775 JJI196768:JJI196775 JTE196768:JTE196775 KDA196768:KDA196775 KMW196768:KMW196775 KWS196768:KWS196775 LGO196768:LGO196775 LQK196768:LQK196775 MAG196768:MAG196775 MKC196768:MKC196775 MTY196768:MTY196775 NDU196768:NDU196775 NNQ196768:NNQ196775 NXM196768:NXM196775 OHI196768:OHI196775 ORE196768:ORE196775 PBA196768:PBA196775 PKW196768:PKW196775 PUS196768:PUS196775 QEO196768:QEO196775 QOK196768:QOK196775 QYG196768:QYG196775 RIC196768:RIC196775 RRY196768:RRY196775 SBU196768:SBU196775 SLQ196768:SLQ196775 SVM196768:SVM196775 TFI196768:TFI196775 TPE196768:TPE196775 TZA196768:TZA196775 UIW196768:UIW196775 USS196768:USS196775 VCO196768:VCO196775 VMK196768:VMK196775 VWG196768:VWG196775 WGC196768:WGC196775 WPY196768:WPY196775 DM262304:DM262311 NI262304:NI262311 XE262304:XE262311 AHA262304:AHA262311 AQW262304:AQW262311 BAS262304:BAS262311 BKO262304:BKO262311 BUK262304:BUK262311 CEG262304:CEG262311 COC262304:COC262311 CXY262304:CXY262311 DHU262304:DHU262311 DRQ262304:DRQ262311 EBM262304:EBM262311 ELI262304:ELI262311 EVE262304:EVE262311 FFA262304:FFA262311 FOW262304:FOW262311 FYS262304:FYS262311 GIO262304:GIO262311 GSK262304:GSK262311 HCG262304:HCG262311 HMC262304:HMC262311 HVY262304:HVY262311 IFU262304:IFU262311 IPQ262304:IPQ262311 IZM262304:IZM262311 JJI262304:JJI262311 JTE262304:JTE262311 KDA262304:KDA262311 KMW262304:KMW262311 KWS262304:KWS262311 LGO262304:LGO262311 LQK262304:LQK262311 MAG262304:MAG262311 MKC262304:MKC262311 MTY262304:MTY262311 NDU262304:NDU262311 NNQ262304:NNQ262311 NXM262304:NXM262311 OHI262304:OHI262311 ORE262304:ORE262311 PBA262304:PBA262311 PKW262304:PKW262311 PUS262304:PUS262311 QEO262304:QEO262311 QOK262304:QOK262311 QYG262304:QYG262311 RIC262304:RIC262311 RRY262304:RRY262311 SBU262304:SBU262311 SLQ262304:SLQ262311 SVM262304:SVM262311 TFI262304:TFI262311 TPE262304:TPE262311 TZA262304:TZA262311 UIW262304:UIW262311 USS262304:USS262311 VCO262304:VCO262311 VMK262304:VMK262311 VWG262304:VWG262311 WGC262304:WGC262311 WPY262304:WPY262311 DM327840:DM327847 NI327840:NI327847 XE327840:XE327847 AHA327840:AHA327847 AQW327840:AQW327847 BAS327840:BAS327847 BKO327840:BKO327847 BUK327840:BUK327847 CEG327840:CEG327847 COC327840:COC327847 CXY327840:CXY327847 DHU327840:DHU327847 DRQ327840:DRQ327847 EBM327840:EBM327847 ELI327840:ELI327847 EVE327840:EVE327847 FFA327840:FFA327847 FOW327840:FOW327847 FYS327840:FYS327847 GIO327840:GIO327847 GSK327840:GSK327847 HCG327840:HCG327847 HMC327840:HMC327847 HVY327840:HVY327847 IFU327840:IFU327847 IPQ327840:IPQ327847 IZM327840:IZM327847 JJI327840:JJI327847 JTE327840:JTE327847 KDA327840:KDA327847 KMW327840:KMW327847 KWS327840:KWS327847 LGO327840:LGO327847 LQK327840:LQK327847 MAG327840:MAG327847 MKC327840:MKC327847 MTY327840:MTY327847 NDU327840:NDU327847 NNQ327840:NNQ327847 NXM327840:NXM327847 OHI327840:OHI327847 ORE327840:ORE327847 PBA327840:PBA327847 PKW327840:PKW327847 PUS327840:PUS327847 QEO327840:QEO327847 QOK327840:QOK327847 QYG327840:QYG327847 RIC327840:RIC327847 RRY327840:RRY327847 SBU327840:SBU327847 SLQ327840:SLQ327847 SVM327840:SVM327847 TFI327840:TFI327847 TPE327840:TPE327847 TZA327840:TZA327847 UIW327840:UIW327847 USS327840:USS327847 VCO327840:VCO327847 VMK327840:VMK327847 VWG327840:VWG327847 WGC327840:WGC327847 WPY327840:WPY327847 DM393376:DM393383 NI393376:NI393383 XE393376:XE393383 AHA393376:AHA393383 AQW393376:AQW393383 BAS393376:BAS393383 BKO393376:BKO393383 BUK393376:BUK393383 CEG393376:CEG393383 COC393376:COC393383 CXY393376:CXY393383 DHU393376:DHU393383 DRQ393376:DRQ393383 EBM393376:EBM393383 ELI393376:ELI393383 EVE393376:EVE393383 FFA393376:FFA393383 FOW393376:FOW393383 FYS393376:FYS393383 GIO393376:GIO393383 GSK393376:GSK393383 HCG393376:HCG393383 HMC393376:HMC393383 HVY393376:HVY393383 IFU393376:IFU393383 IPQ393376:IPQ393383 IZM393376:IZM393383 JJI393376:JJI393383 JTE393376:JTE393383 KDA393376:KDA393383 KMW393376:KMW393383 KWS393376:KWS393383 LGO393376:LGO393383 LQK393376:LQK393383 MAG393376:MAG393383 MKC393376:MKC393383 MTY393376:MTY393383 NDU393376:NDU393383 NNQ393376:NNQ393383 NXM393376:NXM393383 OHI393376:OHI393383 ORE393376:ORE393383 PBA393376:PBA393383 PKW393376:PKW393383 PUS393376:PUS393383 QEO393376:QEO393383 QOK393376:QOK393383 QYG393376:QYG393383 RIC393376:RIC393383 RRY393376:RRY393383 SBU393376:SBU393383 SLQ393376:SLQ393383 SVM393376:SVM393383 TFI393376:TFI393383 TPE393376:TPE393383 TZA393376:TZA393383 UIW393376:UIW393383 USS393376:USS393383 VCO393376:VCO393383 VMK393376:VMK393383 VWG393376:VWG393383 WGC393376:WGC393383 WPY393376:WPY393383 DM458912:DM458919 NI458912:NI458919 XE458912:XE458919 AHA458912:AHA458919 AQW458912:AQW458919 BAS458912:BAS458919 BKO458912:BKO458919 BUK458912:BUK458919 CEG458912:CEG458919 COC458912:COC458919 CXY458912:CXY458919 DHU458912:DHU458919 DRQ458912:DRQ458919 EBM458912:EBM458919 ELI458912:ELI458919 EVE458912:EVE458919 FFA458912:FFA458919 FOW458912:FOW458919 FYS458912:FYS458919 GIO458912:GIO458919 GSK458912:GSK458919 HCG458912:HCG458919 HMC458912:HMC458919 HVY458912:HVY458919 IFU458912:IFU458919 IPQ458912:IPQ458919 IZM458912:IZM458919 JJI458912:JJI458919 JTE458912:JTE458919 KDA458912:KDA458919 KMW458912:KMW458919 KWS458912:KWS458919 LGO458912:LGO458919 LQK458912:LQK458919 MAG458912:MAG458919 MKC458912:MKC458919 MTY458912:MTY458919 NDU458912:NDU458919 NNQ458912:NNQ458919 NXM458912:NXM458919 OHI458912:OHI458919 ORE458912:ORE458919 PBA458912:PBA458919 PKW458912:PKW458919 PUS458912:PUS458919 QEO458912:QEO458919 QOK458912:QOK458919 QYG458912:QYG458919 RIC458912:RIC458919 RRY458912:RRY458919 SBU458912:SBU458919 SLQ458912:SLQ458919 SVM458912:SVM458919 TFI458912:TFI458919 TPE458912:TPE458919 TZA458912:TZA458919 UIW458912:UIW458919 USS458912:USS458919 VCO458912:VCO458919 VMK458912:VMK458919 VWG458912:VWG458919 WGC458912:WGC458919 WPY458912:WPY458919 DM524448:DM524455 NI524448:NI524455 XE524448:XE524455 AHA524448:AHA524455 AQW524448:AQW524455 BAS524448:BAS524455 BKO524448:BKO524455 BUK524448:BUK524455 CEG524448:CEG524455 COC524448:COC524455 CXY524448:CXY524455 DHU524448:DHU524455 DRQ524448:DRQ524455 EBM524448:EBM524455 ELI524448:ELI524455 EVE524448:EVE524455 FFA524448:FFA524455 FOW524448:FOW524455 FYS524448:FYS524455 GIO524448:GIO524455 GSK524448:GSK524455 HCG524448:HCG524455 HMC524448:HMC524455 HVY524448:HVY524455 IFU524448:IFU524455 IPQ524448:IPQ524455 IZM524448:IZM524455 JJI524448:JJI524455 JTE524448:JTE524455 KDA524448:KDA524455 KMW524448:KMW524455 KWS524448:KWS524455 LGO524448:LGO524455 LQK524448:LQK524455 MAG524448:MAG524455 MKC524448:MKC524455 MTY524448:MTY524455 NDU524448:NDU524455 NNQ524448:NNQ524455 NXM524448:NXM524455 OHI524448:OHI524455 ORE524448:ORE524455 PBA524448:PBA524455 PKW524448:PKW524455 PUS524448:PUS524455 QEO524448:QEO524455 QOK524448:QOK524455 QYG524448:QYG524455 RIC524448:RIC524455 RRY524448:RRY524455 SBU524448:SBU524455 SLQ524448:SLQ524455 SVM524448:SVM524455 TFI524448:TFI524455 TPE524448:TPE524455 TZA524448:TZA524455 UIW524448:UIW524455 USS524448:USS524455 VCO524448:VCO524455 VMK524448:VMK524455 VWG524448:VWG524455 WGC524448:WGC524455 WPY524448:WPY524455 DM589984:DM589991 NI589984:NI589991 XE589984:XE589991 AHA589984:AHA589991 AQW589984:AQW589991 BAS589984:BAS589991 BKO589984:BKO589991 BUK589984:BUK589991 CEG589984:CEG589991 COC589984:COC589991 CXY589984:CXY589991 DHU589984:DHU589991 DRQ589984:DRQ589991 EBM589984:EBM589991 ELI589984:ELI589991 EVE589984:EVE589991 FFA589984:FFA589991 FOW589984:FOW589991 FYS589984:FYS589991 GIO589984:GIO589991 GSK589984:GSK589991 HCG589984:HCG589991 HMC589984:HMC589991 HVY589984:HVY589991 IFU589984:IFU589991 IPQ589984:IPQ589991 IZM589984:IZM589991 JJI589984:JJI589991 JTE589984:JTE589991 KDA589984:KDA589991 KMW589984:KMW589991 KWS589984:KWS589991 LGO589984:LGO589991 LQK589984:LQK589991 MAG589984:MAG589991 MKC589984:MKC589991 MTY589984:MTY589991 NDU589984:NDU589991 NNQ589984:NNQ589991 NXM589984:NXM589991 OHI589984:OHI589991 ORE589984:ORE589991 PBA589984:PBA589991 PKW589984:PKW589991 PUS589984:PUS589991 QEO589984:QEO589991 QOK589984:QOK589991 QYG589984:QYG589991 RIC589984:RIC589991 RRY589984:RRY589991 SBU589984:SBU589991 SLQ589984:SLQ589991 SVM589984:SVM589991 TFI589984:TFI589991 TPE589984:TPE589991 TZA589984:TZA589991 UIW589984:UIW589991 USS589984:USS589991 VCO589984:VCO589991 VMK589984:VMK589991 VWG589984:VWG589991 WGC589984:WGC589991 WPY589984:WPY589991 DM655520:DM655527 NI655520:NI655527 XE655520:XE655527 AHA655520:AHA655527 AQW655520:AQW655527 BAS655520:BAS655527 BKO655520:BKO655527 BUK655520:BUK655527 CEG655520:CEG655527 COC655520:COC655527 CXY655520:CXY655527 DHU655520:DHU655527 DRQ655520:DRQ655527 EBM655520:EBM655527 ELI655520:ELI655527 EVE655520:EVE655527 FFA655520:FFA655527 FOW655520:FOW655527 FYS655520:FYS655527 GIO655520:GIO655527 GSK655520:GSK655527 HCG655520:HCG655527 HMC655520:HMC655527 HVY655520:HVY655527 IFU655520:IFU655527 IPQ655520:IPQ655527 IZM655520:IZM655527 JJI655520:JJI655527 JTE655520:JTE655527 KDA655520:KDA655527 KMW655520:KMW655527 KWS655520:KWS655527 LGO655520:LGO655527 LQK655520:LQK655527 MAG655520:MAG655527 MKC655520:MKC655527 MTY655520:MTY655527 NDU655520:NDU655527 NNQ655520:NNQ655527 NXM655520:NXM655527 OHI655520:OHI655527 ORE655520:ORE655527 PBA655520:PBA655527 PKW655520:PKW655527 PUS655520:PUS655527 QEO655520:QEO655527 QOK655520:QOK655527 QYG655520:QYG655527 RIC655520:RIC655527 RRY655520:RRY655527 SBU655520:SBU655527 SLQ655520:SLQ655527 SVM655520:SVM655527 TFI655520:TFI655527 TPE655520:TPE655527 TZA655520:TZA655527 UIW655520:UIW655527 USS655520:USS655527 VCO655520:VCO655527 VMK655520:VMK655527 VWG655520:VWG655527 WGC655520:WGC655527 WPY655520:WPY655527 DM721056:DM721063 NI721056:NI721063 XE721056:XE721063 AHA721056:AHA721063 AQW721056:AQW721063 BAS721056:BAS721063 BKO721056:BKO721063 BUK721056:BUK721063 CEG721056:CEG721063 COC721056:COC721063 CXY721056:CXY721063 DHU721056:DHU721063 DRQ721056:DRQ721063 EBM721056:EBM721063 ELI721056:ELI721063 EVE721056:EVE721063 FFA721056:FFA721063 FOW721056:FOW721063 FYS721056:FYS721063 GIO721056:GIO721063 GSK721056:GSK721063 HCG721056:HCG721063 HMC721056:HMC721063 HVY721056:HVY721063 IFU721056:IFU721063 IPQ721056:IPQ721063 IZM721056:IZM721063 JJI721056:JJI721063 JTE721056:JTE721063 KDA721056:KDA721063 KMW721056:KMW721063 KWS721056:KWS721063 LGO721056:LGO721063 LQK721056:LQK721063 MAG721056:MAG721063 MKC721056:MKC721063 MTY721056:MTY721063 NDU721056:NDU721063 NNQ721056:NNQ721063 NXM721056:NXM721063 OHI721056:OHI721063 ORE721056:ORE721063 PBA721056:PBA721063 PKW721056:PKW721063 PUS721056:PUS721063 QEO721056:QEO721063 QOK721056:QOK721063 QYG721056:QYG721063 RIC721056:RIC721063 RRY721056:RRY721063 SBU721056:SBU721063 SLQ721056:SLQ721063 SVM721056:SVM721063 TFI721056:TFI721063 TPE721056:TPE721063 TZA721056:TZA721063 UIW721056:UIW721063 USS721056:USS721063 VCO721056:VCO721063 VMK721056:VMK721063 VWG721056:VWG721063 WGC721056:WGC721063 WPY721056:WPY721063 DM786592:DM786599 NI786592:NI786599 XE786592:XE786599 AHA786592:AHA786599 AQW786592:AQW786599 BAS786592:BAS786599 BKO786592:BKO786599 BUK786592:BUK786599 CEG786592:CEG786599 COC786592:COC786599 CXY786592:CXY786599 DHU786592:DHU786599 DRQ786592:DRQ786599 EBM786592:EBM786599 ELI786592:ELI786599 EVE786592:EVE786599 FFA786592:FFA786599 FOW786592:FOW786599 FYS786592:FYS786599 GIO786592:GIO786599 GSK786592:GSK786599 HCG786592:HCG786599 HMC786592:HMC786599 HVY786592:HVY786599 IFU786592:IFU786599 IPQ786592:IPQ786599 IZM786592:IZM786599 JJI786592:JJI786599 JTE786592:JTE786599 KDA786592:KDA786599 KMW786592:KMW786599 KWS786592:KWS786599 LGO786592:LGO786599 LQK786592:LQK786599 MAG786592:MAG786599 MKC786592:MKC786599 MTY786592:MTY786599 NDU786592:NDU786599 NNQ786592:NNQ786599 NXM786592:NXM786599 OHI786592:OHI786599 ORE786592:ORE786599 PBA786592:PBA786599 PKW786592:PKW786599 PUS786592:PUS786599 QEO786592:QEO786599 QOK786592:QOK786599 QYG786592:QYG786599 RIC786592:RIC786599 RRY786592:RRY786599 SBU786592:SBU786599 SLQ786592:SLQ786599 SVM786592:SVM786599 TFI786592:TFI786599 TPE786592:TPE786599 TZA786592:TZA786599 UIW786592:UIW786599 USS786592:USS786599 VCO786592:VCO786599 VMK786592:VMK786599 VWG786592:VWG786599 WGC786592:WGC786599 WPY786592:WPY786599 DM852128:DM852135 NI852128:NI852135 XE852128:XE852135 AHA852128:AHA852135 AQW852128:AQW852135 BAS852128:BAS852135 BKO852128:BKO852135 BUK852128:BUK852135 CEG852128:CEG852135 COC852128:COC852135 CXY852128:CXY852135 DHU852128:DHU852135 DRQ852128:DRQ852135 EBM852128:EBM852135 ELI852128:ELI852135 EVE852128:EVE852135 FFA852128:FFA852135 FOW852128:FOW852135 FYS852128:FYS852135 GIO852128:GIO852135 GSK852128:GSK852135 HCG852128:HCG852135 HMC852128:HMC852135 HVY852128:HVY852135 IFU852128:IFU852135 IPQ852128:IPQ852135 IZM852128:IZM852135 JJI852128:JJI852135 JTE852128:JTE852135 KDA852128:KDA852135 KMW852128:KMW852135 KWS852128:KWS852135 LGO852128:LGO852135 LQK852128:LQK852135 MAG852128:MAG852135 MKC852128:MKC852135 MTY852128:MTY852135 NDU852128:NDU852135 NNQ852128:NNQ852135 NXM852128:NXM852135 OHI852128:OHI852135 ORE852128:ORE852135 PBA852128:PBA852135 PKW852128:PKW852135 PUS852128:PUS852135 QEO852128:QEO852135 QOK852128:QOK852135 QYG852128:QYG852135 RIC852128:RIC852135 RRY852128:RRY852135 SBU852128:SBU852135 SLQ852128:SLQ852135 SVM852128:SVM852135 TFI852128:TFI852135 TPE852128:TPE852135 TZA852128:TZA852135 UIW852128:UIW852135 USS852128:USS852135 VCO852128:VCO852135 VMK852128:VMK852135 VWG852128:VWG852135 WGC852128:WGC852135 WPY852128:WPY852135 DM917664:DM917671 NI917664:NI917671 XE917664:XE917671 AHA917664:AHA917671 AQW917664:AQW917671 BAS917664:BAS917671 BKO917664:BKO917671 BUK917664:BUK917671 CEG917664:CEG917671 COC917664:COC917671 CXY917664:CXY917671 DHU917664:DHU917671 DRQ917664:DRQ917671 EBM917664:EBM917671 ELI917664:ELI917671 EVE917664:EVE917671 FFA917664:FFA917671 FOW917664:FOW917671 FYS917664:FYS917671 GIO917664:GIO917671 GSK917664:GSK917671 HCG917664:HCG917671 HMC917664:HMC917671 HVY917664:HVY917671 IFU917664:IFU917671 IPQ917664:IPQ917671 IZM917664:IZM917671 JJI917664:JJI917671 JTE917664:JTE917671 KDA917664:KDA917671 KMW917664:KMW917671 KWS917664:KWS917671 LGO917664:LGO917671 LQK917664:LQK917671 MAG917664:MAG917671 MKC917664:MKC917671 MTY917664:MTY917671 NDU917664:NDU917671 NNQ917664:NNQ917671 NXM917664:NXM917671 OHI917664:OHI917671 ORE917664:ORE917671 PBA917664:PBA917671 PKW917664:PKW917671 PUS917664:PUS917671 QEO917664:QEO917671 QOK917664:QOK917671 QYG917664:QYG917671 RIC917664:RIC917671 RRY917664:RRY917671 SBU917664:SBU917671 SLQ917664:SLQ917671 SVM917664:SVM917671 TFI917664:TFI917671 TPE917664:TPE917671 TZA917664:TZA917671 UIW917664:UIW917671 USS917664:USS917671 VCO917664:VCO917671 VMK917664:VMK917671 VWG917664:VWG917671 WGC917664:WGC917671 WPY917664:WPY917671 DM983200:DM983207 NI983200:NI983207 XE983200:XE983207 AHA983200:AHA983207 AQW983200:AQW983207 BAS983200:BAS983207 BKO983200:BKO983207 BUK983200:BUK983207 CEG983200:CEG983207 COC983200:COC983207 CXY983200:CXY983207 DHU983200:DHU983207 DRQ983200:DRQ983207 EBM983200:EBM983207 ELI983200:ELI983207 EVE983200:EVE983207 FFA983200:FFA983207 FOW983200:FOW983207 FYS983200:FYS983207 GIO983200:GIO983207 GSK983200:GSK983207 HCG983200:HCG983207 HMC983200:HMC983207 HVY983200:HVY983207 IFU983200:IFU983207 IPQ983200:IPQ983207 IZM983200:IZM983207 JJI983200:JJI983207 JTE983200:JTE983207 KDA983200:KDA983207 KMW983200:KMW983207 KWS983200:KWS983207 LGO983200:LGO983207 LQK983200:LQK983207 MAG983200:MAG983207 MKC983200:MKC983207 MTY983200:MTY983207 NDU983200:NDU983207 NNQ983200:NNQ983207 NXM983200:NXM983207 OHI983200:OHI983207 ORE983200:ORE983207 PBA983200:PBA983207 PKW983200:PKW983207 PUS983200:PUS983207 QEO983200:QEO983207 QOK983200:QOK983207 QYG983200:QYG983207 RIC983200:RIC983207 RRY983200:RRY983207 SBU983200:SBU983207 SLQ983200:SLQ983207 SVM983200:SVM983207 TFI983200:TFI983207 TPE983200:TPE983207 TZA983200:TZA983207 UIW983200:UIW983207 USS983200:USS983207 VCO983200:VCO983207 VMK983200:VMK983207 VWG983200:VWG983207 WGC983200:WGC983207 WPY983200:WPY983207 DM65643:DM65645 NI65643:NI65645 XE65643:XE65645 AHA65643:AHA65645 AQW65643:AQW65645 BAS65643:BAS65645 BKO65643:BKO65645 BUK65643:BUK65645 CEG65643:CEG65645 COC65643:COC65645 CXY65643:CXY65645 DHU65643:DHU65645 DRQ65643:DRQ65645 EBM65643:EBM65645 ELI65643:ELI65645 EVE65643:EVE65645 FFA65643:FFA65645 FOW65643:FOW65645 FYS65643:FYS65645 GIO65643:GIO65645 GSK65643:GSK65645 HCG65643:HCG65645 HMC65643:HMC65645 HVY65643:HVY65645 IFU65643:IFU65645 IPQ65643:IPQ65645 IZM65643:IZM65645 JJI65643:JJI65645 JTE65643:JTE65645 KDA65643:KDA65645 KMW65643:KMW65645 KWS65643:KWS65645 LGO65643:LGO65645 LQK65643:LQK65645 MAG65643:MAG65645 MKC65643:MKC65645 MTY65643:MTY65645 NDU65643:NDU65645 NNQ65643:NNQ65645 NXM65643:NXM65645 OHI65643:OHI65645 ORE65643:ORE65645 PBA65643:PBA65645 PKW65643:PKW65645 PUS65643:PUS65645 QEO65643:QEO65645 QOK65643:QOK65645 QYG65643:QYG65645 RIC65643:RIC65645 RRY65643:RRY65645 SBU65643:SBU65645 SLQ65643:SLQ65645 SVM65643:SVM65645 TFI65643:TFI65645 TPE65643:TPE65645 TZA65643:TZA65645 UIW65643:UIW65645 USS65643:USS65645 VCO65643:VCO65645 VMK65643:VMK65645 VWG65643:VWG65645 WGC65643:WGC65645 WPY65643:WPY65645 DM131179:DM131181 NI131179:NI131181 XE131179:XE131181 AHA131179:AHA131181 AQW131179:AQW131181 BAS131179:BAS131181 BKO131179:BKO131181 BUK131179:BUK131181 CEG131179:CEG131181 COC131179:COC131181 CXY131179:CXY131181 DHU131179:DHU131181 DRQ131179:DRQ131181 EBM131179:EBM131181 ELI131179:ELI131181 EVE131179:EVE131181 FFA131179:FFA131181 FOW131179:FOW131181 FYS131179:FYS131181 GIO131179:GIO131181 GSK131179:GSK131181 HCG131179:HCG131181 HMC131179:HMC131181 HVY131179:HVY131181 IFU131179:IFU131181 IPQ131179:IPQ131181 IZM131179:IZM131181 JJI131179:JJI131181 JTE131179:JTE131181 KDA131179:KDA131181 KMW131179:KMW131181 KWS131179:KWS131181 LGO131179:LGO131181 LQK131179:LQK131181 MAG131179:MAG131181 MKC131179:MKC131181 MTY131179:MTY131181 NDU131179:NDU131181 NNQ131179:NNQ131181 NXM131179:NXM131181 OHI131179:OHI131181 ORE131179:ORE131181 PBA131179:PBA131181 PKW131179:PKW131181 PUS131179:PUS131181 QEO131179:QEO131181 QOK131179:QOK131181 QYG131179:QYG131181 RIC131179:RIC131181 RRY131179:RRY131181 SBU131179:SBU131181 SLQ131179:SLQ131181 SVM131179:SVM131181 TFI131179:TFI131181 TPE131179:TPE131181 TZA131179:TZA131181 UIW131179:UIW131181 USS131179:USS131181 VCO131179:VCO131181 VMK131179:VMK131181 VWG131179:VWG131181 WGC131179:WGC131181 WPY131179:WPY131181 DM196715:DM196717 NI196715:NI196717 XE196715:XE196717 AHA196715:AHA196717 AQW196715:AQW196717 BAS196715:BAS196717 BKO196715:BKO196717 BUK196715:BUK196717 CEG196715:CEG196717 COC196715:COC196717 CXY196715:CXY196717 DHU196715:DHU196717 DRQ196715:DRQ196717 EBM196715:EBM196717 ELI196715:ELI196717 EVE196715:EVE196717 FFA196715:FFA196717 FOW196715:FOW196717 FYS196715:FYS196717 GIO196715:GIO196717 GSK196715:GSK196717 HCG196715:HCG196717 HMC196715:HMC196717 HVY196715:HVY196717 IFU196715:IFU196717 IPQ196715:IPQ196717 IZM196715:IZM196717 JJI196715:JJI196717 JTE196715:JTE196717 KDA196715:KDA196717 KMW196715:KMW196717 KWS196715:KWS196717 LGO196715:LGO196717 LQK196715:LQK196717 MAG196715:MAG196717 MKC196715:MKC196717 MTY196715:MTY196717 NDU196715:NDU196717 NNQ196715:NNQ196717 NXM196715:NXM196717 OHI196715:OHI196717 ORE196715:ORE196717 PBA196715:PBA196717 PKW196715:PKW196717 PUS196715:PUS196717 QEO196715:QEO196717 QOK196715:QOK196717 QYG196715:QYG196717 RIC196715:RIC196717 RRY196715:RRY196717 SBU196715:SBU196717 SLQ196715:SLQ196717 SVM196715:SVM196717 TFI196715:TFI196717 TPE196715:TPE196717 TZA196715:TZA196717 UIW196715:UIW196717 USS196715:USS196717 VCO196715:VCO196717 VMK196715:VMK196717 VWG196715:VWG196717 WGC196715:WGC196717 WPY196715:WPY196717 DM262251:DM262253 NI262251:NI262253 XE262251:XE262253 AHA262251:AHA262253 AQW262251:AQW262253 BAS262251:BAS262253 BKO262251:BKO262253 BUK262251:BUK262253 CEG262251:CEG262253 COC262251:COC262253 CXY262251:CXY262253 DHU262251:DHU262253 DRQ262251:DRQ262253 EBM262251:EBM262253 ELI262251:ELI262253 EVE262251:EVE262253 FFA262251:FFA262253 FOW262251:FOW262253 FYS262251:FYS262253 GIO262251:GIO262253 GSK262251:GSK262253 HCG262251:HCG262253 HMC262251:HMC262253 HVY262251:HVY262253 IFU262251:IFU262253 IPQ262251:IPQ262253 IZM262251:IZM262253 JJI262251:JJI262253 JTE262251:JTE262253 KDA262251:KDA262253 KMW262251:KMW262253 KWS262251:KWS262253 LGO262251:LGO262253 LQK262251:LQK262253 MAG262251:MAG262253 MKC262251:MKC262253 MTY262251:MTY262253 NDU262251:NDU262253 NNQ262251:NNQ262253 NXM262251:NXM262253 OHI262251:OHI262253 ORE262251:ORE262253 PBA262251:PBA262253 PKW262251:PKW262253 PUS262251:PUS262253 QEO262251:QEO262253 QOK262251:QOK262253 QYG262251:QYG262253 RIC262251:RIC262253 RRY262251:RRY262253 SBU262251:SBU262253 SLQ262251:SLQ262253 SVM262251:SVM262253 TFI262251:TFI262253 TPE262251:TPE262253 TZA262251:TZA262253 UIW262251:UIW262253 USS262251:USS262253 VCO262251:VCO262253 VMK262251:VMK262253 VWG262251:VWG262253 WGC262251:WGC262253 WPY262251:WPY262253 DM327787:DM327789 NI327787:NI327789 XE327787:XE327789 AHA327787:AHA327789 AQW327787:AQW327789 BAS327787:BAS327789 BKO327787:BKO327789 BUK327787:BUK327789 CEG327787:CEG327789 COC327787:COC327789 CXY327787:CXY327789 DHU327787:DHU327789 DRQ327787:DRQ327789 EBM327787:EBM327789 ELI327787:ELI327789 EVE327787:EVE327789 FFA327787:FFA327789 FOW327787:FOW327789 FYS327787:FYS327789 GIO327787:GIO327789 GSK327787:GSK327789 HCG327787:HCG327789 HMC327787:HMC327789 HVY327787:HVY327789 IFU327787:IFU327789 IPQ327787:IPQ327789 IZM327787:IZM327789 JJI327787:JJI327789 JTE327787:JTE327789 KDA327787:KDA327789 KMW327787:KMW327789 KWS327787:KWS327789 LGO327787:LGO327789 LQK327787:LQK327789 MAG327787:MAG327789 MKC327787:MKC327789 MTY327787:MTY327789 NDU327787:NDU327789 NNQ327787:NNQ327789 NXM327787:NXM327789 OHI327787:OHI327789 ORE327787:ORE327789 PBA327787:PBA327789 PKW327787:PKW327789 PUS327787:PUS327789 QEO327787:QEO327789 QOK327787:QOK327789 QYG327787:QYG327789 RIC327787:RIC327789 RRY327787:RRY327789 SBU327787:SBU327789 SLQ327787:SLQ327789 SVM327787:SVM327789 TFI327787:TFI327789 TPE327787:TPE327789 TZA327787:TZA327789 UIW327787:UIW327789 USS327787:USS327789 VCO327787:VCO327789 VMK327787:VMK327789 VWG327787:VWG327789 WGC327787:WGC327789 WPY327787:WPY327789 DM393323:DM393325 NI393323:NI393325 XE393323:XE393325 AHA393323:AHA393325 AQW393323:AQW393325 BAS393323:BAS393325 BKO393323:BKO393325 BUK393323:BUK393325 CEG393323:CEG393325 COC393323:COC393325 CXY393323:CXY393325 DHU393323:DHU393325 DRQ393323:DRQ393325 EBM393323:EBM393325 ELI393323:ELI393325 EVE393323:EVE393325 FFA393323:FFA393325 FOW393323:FOW393325 FYS393323:FYS393325 GIO393323:GIO393325 GSK393323:GSK393325 HCG393323:HCG393325 HMC393323:HMC393325 HVY393323:HVY393325 IFU393323:IFU393325 IPQ393323:IPQ393325 IZM393323:IZM393325 JJI393323:JJI393325 JTE393323:JTE393325 KDA393323:KDA393325 KMW393323:KMW393325 KWS393323:KWS393325 LGO393323:LGO393325 LQK393323:LQK393325 MAG393323:MAG393325 MKC393323:MKC393325 MTY393323:MTY393325 NDU393323:NDU393325 NNQ393323:NNQ393325 NXM393323:NXM393325 OHI393323:OHI393325 ORE393323:ORE393325 PBA393323:PBA393325 PKW393323:PKW393325 PUS393323:PUS393325 QEO393323:QEO393325 QOK393323:QOK393325 QYG393323:QYG393325 RIC393323:RIC393325 RRY393323:RRY393325 SBU393323:SBU393325 SLQ393323:SLQ393325 SVM393323:SVM393325 TFI393323:TFI393325 TPE393323:TPE393325 TZA393323:TZA393325 UIW393323:UIW393325 USS393323:USS393325 VCO393323:VCO393325 VMK393323:VMK393325 VWG393323:VWG393325 WGC393323:WGC393325 WPY393323:WPY393325 DM458859:DM458861 NI458859:NI458861 XE458859:XE458861 AHA458859:AHA458861 AQW458859:AQW458861 BAS458859:BAS458861 BKO458859:BKO458861 BUK458859:BUK458861 CEG458859:CEG458861 COC458859:COC458861 CXY458859:CXY458861 DHU458859:DHU458861 DRQ458859:DRQ458861 EBM458859:EBM458861 ELI458859:ELI458861 EVE458859:EVE458861 FFA458859:FFA458861 FOW458859:FOW458861 FYS458859:FYS458861 GIO458859:GIO458861 GSK458859:GSK458861 HCG458859:HCG458861 HMC458859:HMC458861 HVY458859:HVY458861 IFU458859:IFU458861 IPQ458859:IPQ458861 IZM458859:IZM458861 JJI458859:JJI458861 JTE458859:JTE458861 KDA458859:KDA458861 KMW458859:KMW458861 KWS458859:KWS458861 LGO458859:LGO458861 LQK458859:LQK458861 MAG458859:MAG458861 MKC458859:MKC458861 MTY458859:MTY458861 NDU458859:NDU458861 NNQ458859:NNQ458861 NXM458859:NXM458861 OHI458859:OHI458861 ORE458859:ORE458861 PBA458859:PBA458861 PKW458859:PKW458861 PUS458859:PUS458861 QEO458859:QEO458861 QOK458859:QOK458861 QYG458859:QYG458861 RIC458859:RIC458861 RRY458859:RRY458861 SBU458859:SBU458861 SLQ458859:SLQ458861 SVM458859:SVM458861 TFI458859:TFI458861 TPE458859:TPE458861 TZA458859:TZA458861 UIW458859:UIW458861 USS458859:USS458861 VCO458859:VCO458861 VMK458859:VMK458861 VWG458859:VWG458861 WGC458859:WGC458861 WPY458859:WPY458861 DM524395:DM524397 NI524395:NI524397 XE524395:XE524397 AHA524395:AHA524397 AQW524395:AQW524397 BAS524395:BAS524397 BKO524395:BKO524397 BUK524395:BUK524397 CEG524395:CEG524397 COC524395:COC524397 CXY524395:CXY524397 DHU524395:DHU524397 DRQ524395:DRQ524397 EBM524395:EBM524397 ELI524395:ELI524397 EVE524395:EVE524397 FFA524395:FFA524397 FOW524395:FOW524397 FYS524395:FYS524397 GIO524395:GIO524397 GSK524395:GSK524397 HCG524395:HCG524397 HMC524395:HMC524397 HVY524395:HVY524397 IFU524395:IFU524397 IPQ524395:IPQ524397 IZM524395:IZM524397 JJI524395:JJI524397 JTE524395:JTE524397 KDA524395:KDA524397 KMW524395:KMW524397 KWS524395:KWS524397 LGO524395:LGO524397 LQK524395:LQK524397 MAG524395:MAG524397 MKC524395:MKC524397 MTY524395:MTY524397 NDU524395:NDU524397 NNQ524395:NNQ524397 NXM524395:NXM524397 OHI524395:OHI524397 ORE524395:ORE524397 PBA524395:PBA524397 PKW524395:PKW524397 PUS524395:PUS524397 QEO524395:QEO524397 QOK524395:QOK524397 QYG524395:QYG524397 RIC524395:RIC524397 RRY524395:RRY524397 SBU524395:SBU524397 SLQ524395:SLQ524397 SVM524395:SVM524397 TFI524395:TFI524397 TPE524395:TPE524397 TZA524395:TZA524397 UIW524395:UIW524397 USS524395:USS524397 VCO524395:VCO524397 VMK524395:VMK524397 VWG524395:VWG524397 WGC524395:WGC524397 WPY524395:WPY524397 DM589931:DM589933 NI589931:NI589933 XE589931:XE589933 AHA589931:AHA589933 AQW589931:AQW589933 BAS589931:BAS589933 BKO589931:BKO589933 BUK589931:BUK589933 CEG589931:CEG589933 COC589931:COC589933 CXY589931:CXY589933 DHU589931:DHU589933 DRQ589931:DRQ589933 EBM589931:EBM589933 ELI589931:ELI589933 EVE589931:EVE589933 FFA589931:FFA589933 FOW589931:FOW589933 FYS589931:FYS589933 GIO589931:GIO589933 GSK589931:GSK589933 HCG589931:HCG589933 HMC589931:HMC589933 HVY589931:HVY589933 IFU589931:IFU589933 IPQ589931:IPQ589933 IZM589931:IZM589933 JJI589931:JJI589933 JTE589931:JTE589933 KDA589931:KDA589933 KMW589931:KMW589933 KWS589931:KWS589933 LGO589931:LGO589933 LQK589931:LQK589933 MAG589931:MAG589933 MKC589931:MKC589933 MTY589931:MTY589933 NDU589931:NDU589933 NNQ589931:NNQ589933 NXM589931:NXM589933 OHI589931:OHI589933 ORE589931:ORE589933 PBA589931:PBA589933 PKW589931:PKW589933 PUS589931:PUS589933 QEO589931:QEO589933 QOK589931:QOK589933 QYG589931:QYG589933 RIC589931:RIC589933 RRY589931:RRY589933 SBU589931:SBU589933 SLQ589931:SLQ589933 SVM589931:SVM589933 TFI589931:TFI589933 TPE589931:TPE589933 TZA589931:TZA589933 UIW589931:UIW589933 USS589931:USS589933 VCO589931:VCO589933 VMK589931:VMK589933 VWG589931:VWG589933 WGC589931:WGC589933 WPY589931:WPY589933 DM655467:DM655469 NI655467:NI655469 XE655467:XE655469 AHA655467:AHA655469 AQW655467:AQW655469 BAS655467:BAS655469 BKO655467:BKO655469 BUK655467:BUK655469 CEG655467:CEG655469 COC655467:COC655469 CXY655467:CXY655469 DHU655467:DHU655469 DRQ655467:DRQ655469 EBM655467:EBM655469 ELI655467:ELI655469 EVE655467:EVE655469 FFA655467:FFA655469 FOW655467:FOW655469 FYS655467:FYS655469 GIO655467:GIO655469 GSK655467:GSK655469 HCG655467:HCG655469 HMC655467:HMC655469 HVY655467:HVY655469 IFU655467:IFU655469 IPQ655467:IPQ655469 IZM655467:IZM655469 JJI655467:JJI655469 JTE655467:JTE655469 KDA655467:KDA655469 KMW655467:KMW655469 KWS655467:KWS655469 LGO655467:LGO655469 LQK655467:LQK655469 MAG655467:MAG655469 MKC655467:MKC655469 MTY655467:MTY655469 NDU655467:NDU655469 NNQ655467:NNQ655469 NXM655467:NXM655469 OHI655467:OHI655469 ORE655467:ORE655469 PBA655467:PBA655469 PKW655467:PKW655469 PUS655467:PUS655469 QEO655467:QEO655469 QOK655467:QOK655469 QYG655467:QYG655469 RIC655467:RIC655469 RRY655467:RRY655469 SBU655467:SBU655469 SLQ655467:SLQ655469 SVM655467:SVM655469 TFI655467:TFI655469 TPE655467:TPE655469 TZA655467:TZA655469 UIW655467:UIW655469 USS655467:USS655469 VCO655467:VCO655469 VMK655467:VMK655469 VWG655467:VWG655469 WGC655467:WGC655469 WPY655467:WPY655469 DM721003:DM721005 NI721003:NI721005 XE721003:XE721005 AHA721003:AHA721005 AQW721003:AQW721005 BAS721003:BAS721005 BKO721003:BKO721005 BUK721003:BUK721005 CEG721003:CEG721005 COC721003:COC721005 CXY721003:CXY721005 DHU721003:DHU721005 DRQ721003:DRQ721005 EBM721003:EBM721005 ELI721003:ELI721005 EVE721003:EVE721005 FFA721003:FFA721005 FOW721003:FOW721005 FYS721003:FYS721005 GIO721003:GIO721005 GSK721003:GSK721005 HCG721003:HCG721005 HMC721003:HMC721005 HVY721003:HVY721005 IFU721003:IFU721005 IPQ721003:IPQ721005 IZM721003:IZM721005 JJI721003:JJI721005 JTE721003:JTE721005 KDA721003:KDA721005 KMW721003:KMW721005 KWS721003:KWS721005 LGO721003:LGO721005 LQK721003:LQK721005 MAG721003:MAG721005 MKC721003:MKC721005 MTY721003:MTY721005 NDU721003:NDU721005 NNQ721003:NNQ721005 NXM721003:NXM721005 OHI721003:OHI721005 ORE721003:ORE721005 PBA721003:PBA721005 PKW721003:PKW721005 PUS721003:PUS721005 QEO721003:QEO721005 QOK721003:QOK721005 QYG721003:QYG721005 RIC721003:RIC721005 RRY721003:RRY721005 SBU721003:SBU721005 SLQ721003:SLQ721005 SVM721003:SVM721005 TFI721003:TFI721005 TPE721003:TPE721005 TZA721003:TZA721005 UIW721003:UIW721005 USS721003:USS721005 VCO721003:VCO721005 VMK721003:VMK721005 VWG721003:VWG721005 WGC721003:WGC721005 WPY721003:WPY721005 DM786539:DM786541 NI786539:NI786541 XE786539:XE786541 AHA786539:AHA786541 AQW786539:AQW786541 BAS786539:BAS786541 BKO786539:BKO786541 BUK786539:BUK786541 CEG786539:CEG786541 COC786539:COC786541 CXY786539:CXY786541 DHU786539:DHU786541 DRQ786539:DRQ786541 EBM786539:EBM786541 ELI786539:ELI786541 EVE786539:EVE786541 FFA786539:FFA786541 FOW786539:FOW786541 FYS786539:FYS786541 GIO786539:GIO786541 GSK786539:GSK786541 HCG786539:HCG786541 HMC786539:HMC786541 HVY786539:HVY786541 IFU786539:IFU786541 IPQ786539:IPQ786541 IZM786539:IZM786541 JJI786539:JJI786541 JTE786539:JTE786541 KDA786539:KDA786541 KMW786539:KMW786541 KWS786539:KWS786541 LGO786539:LGO786541 LQK786539:LQK786541 MAG786539:MAG786541 MKC786539:MKC786541 MTY786539:MTY786541 NDU786539:NDU786541 NNQ786539:NNQ786541 NXM786539:NXM786541 OHI786539:OHI786541 ORE786539:ORE786541 PBA786539:PBA786541 PKW786539:PKW786541 PUS786539:PUS786541 QEO786539:QEO786541 QOK786539:QOK786541 QYG786539:QYG786541 RIC786539:RIC786541 RRY786539:RRY786541 SBU786539:SBU786541 SLQ786539:SLQ786541 SVM786539:SVM786541 TFI786539:TFI786541 TPE786539:TPE786541 TZA786539:TZA786541 UIW786539:UIW786541 USS786539:USS786541 VCO786539:VCO786541 VMK786539:VMK786541 VWG786539:VWG786541 WGC786539:WGC786541 WPY786539:WPY786541 DM852075:DM852077 NI852075:NI852077 XE852075:XE852077 AHA852075:AHA852077 AQW852075:AQW852077 BAS852075:BAS852077 BKO852075:BKO852077 BUK852075:BUK852077 CEG852075:CEG852077 COC852075:COC852077 CXY852075:CXY852077 DHU852075:DHU852077 DRQ852075:DRQ852077 EBM852075:EBM852077 ELI852075:ELI852077 EVE852075:EVE852077 FFA852075:FFA852077 FOW852075:FOW852077 FYS852075:FYS852077 GIO852075:GIO852077 GSK852075:GSK852077 HCG852075:HCG852077 HMC852075:HMC852077 HVY852075:HVY852077 IFU852075:IFU852077 IPQ852075:IPQ852077 IZM852075:IZM852077 JJI852075:JJI852077 JTE852075:JTE852077 KDA852075:KDA852077 KMW852075:KMW852077 KWS852075:KWS852077 LGO852075:LGO852077 LQK852075:LQK852077 MAG852075:MAG852077 MKC852075:MKC852077 MTY852075:MTY852077 NDU852075:NDU852077 NNQ852075:NNQ852077 NXM852075:NXM852077 OHI852075:OHI852077 ORE852075:ORE852077 PBA852075:PBA852077 PKW852075:PKW852077 PUS852075:PUS852077 QEO852075:QEO852077 QOK852075:QOK852077 QYG852075:QYG852077 RIC852075:RIC852077 RRY852075:RRY852077 SBU852075:SBU852077 SLQ852075:SLQ852077 SVM852075:SVM852077 TFI852075:TFI852077 TPE852075:TPE852077 TZA852075:TZA852077 UIW852075:UIW852077 USS852075:USS852077 VCO852075:VCO852077 VMK852075:VMK852077 VWG852075:VWG852077 WGC852075:WGC852077 WPY852075:WPY852077 DM917611:DM917613 NI917611:NI917613 XE917611:XE917613 AHA917611:AHA917613 AQW917611:AQW917613 BAS917611:BAS917613 BKO917611:BKO917613 BUK917611:BUK917613 CEG917611:CEG917613 COC917611:COC917613 CXY917611:CXY917613 DHU917611:DHU917613 DRQ917611:DRQ917613 EBM917611:EBM917613 ELI917611:ELI917613 EVE917611:EVE917613 FFA917611:FFA917613 FOW917611:FOW917613 FYS917611:FYS917613 GIO917611:GIO917613 GSK917611:GSK917613 HCG917611:HCG917613 HMC917611:HMC917613 HVY917611:HVY917613 IFU917611:IFU917613 IPQ917611:IPQ917613 IZM917611:IZM917613 JJI917611:JJI917613 JTE917611:JTE917613 KDA917611:KDA917613 KMW917611:KMW917613 KWS917611:KWS917613 LGO917611:LGO917613 LQK917611:LQK917613 MAG917611:MAG917613 MKC917611:MKC917613 MTY917611:MTY917613 NDU917611:NDU917613 NNQ917611:NNQ917613 NXM917611:NXM917613 OHI917611:OHI917613 ORE917611:ORE917613 PBA917611:PBA917613 PKW917611:PKW917613 PUS917611:PUS917613 QEO917611:QEO917613 QOK917611:QOK917613 QYG917611:QYG917613 RIC917611:RIC917613 RRY917611:RRY917613 SBU917611:SBU917613 SLQ917611:SLQ917613 SVM917611:SVM917613 TFI917611:TFI917613 TPE917611:TPE917613 TZA917611:TZA917613 UIW917611:UIW917613 USS917611:USS917613 VCO917611:VCO917613 VMK917611:VMK917613 VWG917611:VWG917613 WGC917611:WGC917613 WPY917611:WPY917613 DM983147:DM983149 NI983147:NI983149 XE983147:XE983149 AHA983147:AHA983149 AQW983147:AQW983149 BAS983147:BAS983149 BKO983147:BKO983149 BUK983147:BUK983149 CEG983147:CEG983149 COC983147:COC983149 CXY983147:CXY983149 DHU983147:DHU983149 DRQ983147:DRQ983149 EBM983147:EBM983149 ELI983147:ELI983149 EVE983147:EVE983149 FFA983147:FFA983149 FOW983147:FOW983149 FYS983147:FYS983149 GIO983147:GIO983149 GSK983147:GSK983149 HCG983147:HCG983149 HMC983147:HMC983149 HVY983147:HVY983149 IFU983147:IFU983149 IPQ983147:IPQ983149 IZM983147:IZM983149 JJI983147:JJI983149 JTE983147:JTE983149 KDA983147:KDA983149 KMW983147:KMW983149 KWS983147:KWS983149 LGO983147:LGO983149 LQK983147:LQK983149 MAG983147:MAG983149 MKC983147:MKC983149 MTY983147:MTY983149 NDU983147:NDU983149 NNQ983147:NNQ983149 NXM983147:NXM983149 OHI983147:OHI983149 ORE983147:ORE983149 PBA983147:PBA983149 PKW983147:PKW983149 PUS983147:PUS983149 QEO983147:QEO983149 QOK983147:QOK983149 QYG983147:QYG983149 RIC983147:RIC983149 RRY983147:RRY983149 SBU983147:SBU983149 SLQ983147:SLQ983149 SVM983147:SVM983149 TFI983147:TFI983149 TPE983147:TPE983149 TZA983147:TZA983149 UIW983147:UIW983149 USS983147:USS983149 VCO983147:VCO983149 VMK983147:VMK983149 VWG983147:VWG983149 WGC983147:WGC983149 WPY983147:WPY983149 DM65647:DM65661 NI65647:NI65661 XE65647:XE65661 AHA65647:AHA65661 AQW65647:AQW65661 BAS65647:BAS65661 BKO65647:BKO65661 BUK65647:BUK65661 CEG65647:CEG65661 COC65647:COC65661 CXY65647:CXY65661 DHU65647:DHU65661 DRQ65647:DRQ65661 EBM65647:EBM65661 ELI65647:ELI65661 EVE65647:EVE65661 FFA65647:FFA65661 FOW65647:FOW65661 FYS65647:FYS65661 GIO65647:GIO65661 GSK65647:GSK65661 HCG65647:HCG65661 HMC65647:HMC65661 HVY65647:HVY65661 IFU65647:IFU65661 IPQ65647:IPQ65661 IZM65647:IZM65661 JJI65647:JJI65661 JTE65647:JTE65661 KDA65647:KDA65661 KMW65647:KMW65661 KWS65647:KWS65661 LGO65647:LGO65661 LQK65647:LQK65661 MAG65647:MAG65661 MKC65647:MKC65661 MTY65647:MTY65661 NDU65647:NDU65661 NNQ65647:NNQ65661 NXM65647:NXM65661 OHI65647:OHI65661 ORE65647:ORE65661 PBA65647:PBA65661 PKW65647:PKW65661 PUS65647:PUS65661 QEO65647:QEO65661 QOK65647:QOK65661 QYG65647:QYG65661 RIC65647:RIC65661 RRY65647:RRY65661 SBU65647:SBU65661 SLQ65647:SLQ65661 SVM65647:SVM65661 TFI65647:TFI65661 TPE65647:TPE65661 TZA65647:TZA65661 UIW65647:UIW65661 USS65647:USS65661 VCO65647:VCO65661 VMK65647:VMK65661 VWG65647:VWG65661 WGC65647:WGC65661 WPY65647:WPY65661 DM131183:DM131197 NI131183:NI131197 XE131183:XE131197 AHA131183:AHA131197 AQW131183:AQW131197 BAS131183:BAS131197 BKO131183:BKO131197 BUK131183:BUK131197 CEG131183:CEG131197 COC131183:COC131197 CXY131183:CXY131197 DHU131183:DHU131197 DRQ131183:DRQ131197 EBM131183:EBM131197 ELI131183:ELI131197 EVE131183:EVE131197 FFA131183:FFA131197 FOW131183:FOW131197 FYS131183:FYS131197 GIO131183:GIO131197 GSK131183:GSK131197 HCG131183:HCG131197 HMC131183:HMC131197 HVY131183:HVY131197 IFU131183:IFU131197 IPQ131183:IPQ131197 IZM131183:IZM131197 JJI131183:JJI131197 JTE131183:JTE131197 KDA131183:KDA131197 KMW131183:KMW131197 KWS131183:KWS131197 LGO131183:LGO131197 LQK131183:LQK131197 MAG131183:MAG131197 MKC131183:MKC131197 MTY131183:MTY131197 NDU131183:NDU131197 NNQ131183:NNQ131197 NXM131183:NXM131197 OHI131183:OHI131197 ORE131183:ORE131197 PBA131183:PBA131197 PKW131183:PKW131197 PUS131183:PUS131197 QEO131183:QEO131197 QOK131183:QOK131197 QYG131183:QYG131197 RIC131183:RIC131197 RRY131183:RRY131197 SBU131183:SBU131197 SLQ131183:SLQ131197 SVM131183:SVM131197 TFI131183:TFI131197 TPE131183:TPE131197 TZA131183:TZA131197 UIW131183:UIW131197 USS131183:USS131197 VCO131183:VCO131197 VMK131183:VMK131197 VWG131183:VWG131197 WGC131183:WGC131197 WPY131183:WPY131197 DM196719:DM196733 NI196719:NI196733 XE196719:XE196733 AHA196719:AHA196733 AQW196719:AQW196733 BAS196719:BAS196733 BKO196719:BKO196733 BUK196719:BUK196733 CEG196719:CEG196733 COC196719:COC196733 CXY196719:CXY196733 DHU196719:DHU196733 DRQ196719:DRQ196733 EBM196719:EBM196733 ELI196719:ELI196733 EVE196719:EVE196733 FFA196719:FFA196733 FOW196719:FOW196733 FYS196719:FYS196733 GIO196719:GIO196733 GSK196719:GSK196733 HCG196719:HCG196733 HMC196719:HMC196733 HVY196719:HVY196733 IFU196719:IFU196733 IPQ196719:IPQ196733 IZM196719:IZM196733 JJI196719:JJI196733 JTE196719:JTE196733 KDA196719:KDA196733 KMW196719:KMW196733 KWS196719:KWS196733 LGO196719:LGO196733 LQK196719:LQK196733 MAG196719:MAG196733 MKC196719:MKC196733 MTY196719:MTY196733 NDU196719:NDU196733 NNQ196719:NNQ196733 NXM196719:NXM196733 OHI196719:OHI196733 ORE196719:ORE196733 PBA196719:PBA196733 PKW196719:PKW196733 PUS196719:PUS196733 QEO196719:QEO196733 QOK196719:QOK196733 QYG196719:QYG196733 RIC196719:RIC196733 RRY196719:RRY196733 SBU196719:SBU196733 SLQ196719:SLQ196733 SVM196719:SVM196733 TFI196719:TFI196733 TPE196719:TPE196733 TZA196719:TZA196733 UIW196719:UIW196733 USS196719:USS196733 VCO196719:VCO196733 VMK196719:VMK196733 VWG196719:VWG196733 WGC196719:WGC196733 WPY196719:WPY196733 DM262255:DM262269 NI262255:NI262269 XE262255:XE262269 AHA262255:AHA262269 AQW262255:AQW262269 BAS262255:BAS262269 BKO262255:BKO262269 BUK262255:BUK262269 CEG262255:CEG262269 COC262255:COC262269 CXY262255:CXY262269 DHU262255:DHU262269 DRQ262255:DRQ262269 EBM262255:EBM262269 ELI262255:ELI262269 EVE262255:EVE262269 FFA262255:FFA262269 FOW262255:FOW262269 FYS262255:FYS262269 GIO262255:GIO262269 GSK262255:GSK262269 HCG262255:HCG262269 HMC262255:HMC262269 HVY262255:HVY262269 IFU262255:IFU262269 IPQ262255:IPQ262269 IZM262255:IZM262269 JJI262255:JJI262269 JTE262255:JTE262269 KDA262255:KDA262269 KMW262255:KMW262269 KWS262255:KWS262269 LGO262255:LGO262269 LQK262255:LQK262269 MAG262255:MAG262269 MKC262255:MKC262269 MTY262255:MTY262269 NDU262255:NDU262269 NNQ262255:NNQ262269 NXM262255:NXM262269 OHI262255:OHI262269 ORE262255:ORE262269 PBA262255:PBA262269 PKW262255:PKW262269 PUS262255:PUS262269 QEO262255:QEO262269 QOK262255:QOK262269 QYG262255:QYG262269 RIC262255:RIC262269 RRY262255:RRY262269 SBU262255:SBU262269 SLQ262255:SLQ262269 SVM262255:SVM262269 TFI262255:TFI262269 TPE262255:TPE262269 TZA262255:TZA262269 UIW262255:UIW262269 USS262255:USS262269 VCO262255:VCO262269 VMK262255:VMK262269 VWG262255:VWG262269 WGC262255:WGC262269 WPY262255:WPY262269 DM327791:DM327805 NI327791:NI327805 XE327791:XE327805 AHA327791:AHA327805 AQW327791:AQW327805 BAS327791:BAS327805 BKO327791:BKO327805 BUK327791:BUK327805 CEG327791:CEG327805 COC327791:COC327805 CXY327791:CXY327805 DHU327791:DHU327805 DRQ327791:DRQ327805 EBM327791:EBM327805 ELI327791:ELI327805 EVE327791:EVE327805 FFA327791:FFA327805 FOW327791:FOW327805 FYS327791:FYS327805 GIO327791:GIO327805 GSK327791:GSK327805 HCG327791:HCG327805 HMC327791:HMC327805 HVY327791:HVY327805 IFU327791:IFU327805 IPQ327791:IPQ327805 IZM327791:IZM327805 JJI327791:JJI327805 JTE327791:JTE327805 KDA327791:KDA327805 KMW327791:KMW327805 KWS327791:KWS327805 LGO327791:LGO327805 LQK327791:LQK327805 MAG327791:MAG327805 MKC327791:MKC327805 MTY327791:MTY327805 NDU327791:NDU327805 NNQ327791:NNQ327805 NXM327791:NXM327805 OHI327791:OHI327805 ORE327791:ORE327805 PBA327791:PBA327805 PKW327791:PKW327805 PUS327791:PUS327805 QEO327791:QEO327805 QOK327791:QOK327805 QYG327791:QYG327805 RIC327791:RIC327805 RRY327791:RRY327805 SBU327791:SBU327805 SLQ327791:SLQ327805 SVM327791:SVM327805 TFI327791:TFI327805 TPE327791:TPE327805 TZA327791:TZA327805 UIW327791:UIW327805 USS327791:USS327805 VCO327791:VCO327805 VMK327791:VMK327805 VWG327791:VWG327805 WGC327791:WGC327805 WPY327791:WPY327805 DM393327:DM393341 NI393327:NI393341 XE393327:XE393341 AHA393327:AHA393341 AQW393327:AQW393341 BAS393327:BAS393341 BKO393327:BKO393341 BUK393327:BUK393341 CEG393327:CEG393341 COC393327:COC393341 CXY393327:CXY393341 DHU393327:DHU393341 DRQ393327:DRQ393341 EBM393327:EBM393341 ELI393327:ELI393341 EVE393327:EVE393341 FFA393327:FFA393341 FOW393327:FOW393341 FYS393327:FYS393341 GIO393327:GIO393341 GSK393327:GSK393341 HCG393327:HCG393341 HMC393327:HMC393341 HVY393327:HVY393341 IFU393327:IFU393341 IPQ393327:IPQ393341 IZM393327:IZM393341 JJI393327:JJI393341 JTE393327:JTE393341 KDA393327:KDA393341 KMW393327:KMW393341 KWS393327:KWS393341 LGO393327:LGO393341 LQK393327:LQK393341 MAG393327:MAG393341 MKC393327:MKC393341 MTY393327:MTY393341 NDU393327:NDU393341 NNQ393327:NNQ393341 NXM393327:NXM393341 OHI393327:OHI393341 ORE393327:ORE393341 PBA393327:PBA393341 PKW393327:PKW393341 PUS393327:PUS393341 QEO393327:QEO393341 QOK393327:QOK393341 QYG393327:QYG393341 RIC393327:RIC393341 RRY393327:RRY393341 SBU393327:SBU393341 SLQ393327:SLQ393341 SVM393327:SVM393341 TFI393327:TFI393341 TPE393327:TPE393341 TZA393327:TZA393341 UIW393327:UIW393341 USS393327:USS393341 VCO393327:VCO393341 VMK393327:VMK393341 VWG393327:VWG393341 WGC393327:WGC393341 WPY393327:WPY393341 DM458863:DM458877 NI458863:NI458877 XE458863:XE458877 AHA458863:AHA458877 AQW458863:AQW458877 BAS458863:BAS458877 BKO458863:BKO458877 BUK458863:BUK458877 CEG458863:CEG458877 COC458863:COC458877 CXY458863:CXY458877 DHU458863:DHU458877 DRQ458863:DRQ458877 EBM458863:EBM458877 ELI458863:ELI458877 EVE458863:EVE458877 FFA458863:FFA458877 FOW458863:FOW458877 FYS458863:FYS458877 GIO458863:GIO458877 GSK458863:GSK458877 HCG458863:HCG458877 HMC458863:HMC458877 HVY458863:HVY458877 IFU458863:IFU458877 IPQ458863:IPQ458877 IZM458863:IZM458877 JJI458863:JJI458877 JTE458863:JTE458877 KDA458863:KDA458877 KMW458863:KMW458877 KWS458863:KWS458877 LGO458863:LGO458877 LQK458863:LQK458877 MAG458863:MAG458877 MKC458863:MKC458877 MTY458863:MTY458877 NDU458863:NDU458877 NNQ458863:NNQ458877 NXM458863:NXM458877 OHI458863:OHI458877 ORE458863:ORE458877 PBA458863:PBA458877 PKW458863:PKW458877 PUS458863:PUS458877 QEO458863:QEO458877 QOK458863:QOK458877 QYG458863:QYG458877 RIC458863:RIC458877 RRY458863:RRY458877 SBU458863:SBU458877 SLQ458863:SLQ458877 SVM458863:SVM458877 TFI458863:TFI458877 TPE458863:TPE458877 TZA458863:TZA458877 UIW458863:UIW458877 USS458863:USS458877 VCO458863:VCO458877 VMK458863:VMK458877 VWG458863:VWG458877 WGC458863:WGC458877 WPY458863:WPY458877 DM524399:DM524413 NI524399:NI524413 XE524399:XE524413 AHA524399:AHA524413 AQW524399:AQW524413 BAS524399:BAS524413 BKO524399:BKO524413 BUK524399:BUK524413 CEG524399:CEG524413 COC524399:COC524413 CXY524399:CXY524413 DHU524399:DHU524413 DRQ524399:DRQ524413 EBM524399:EBM524413 ELI524399:ELI524413 EVE524399:EVE524413 FFA524399:FFA524413 FOW524399:FOW524413 FYS524399:FYS524413 GIO524399:GIO524413 GSK524399:GSK524413 HCG524399:HCG524413 HMC524399:HMC524413 HVY524399:HVY524413 IFU524399:IFU524413 IPQ524399:IPQ524413 IZM524399:IZM524413 JJI524399:JJI524413 JTE524399:JTE524413 KDA524399:KDA524413 KMW524399:KMW524413 KWS524399:KWS524413 LGO524399:LGO524413 LQK524399:LQK524413 MAG524399:MAG524413 MKC524399:MKC524413 MTY524399:MTY524413 NDU524399:NDU524413 NNQ524399:NNQ524413 NXM524399:NXM524413 OHI524399:OHI524413 ORE524399:ORE524413 PBA524399:PBA524413 PKW524399:PKW524413 PUS524399:PUS524413 QEO524399:QEO524413 QOK524399:QOK524413 QYG524399:QYG524413 RIC524399:RIC524413 RRY524399:RRY524413 SBU524399:SBU524413 SLQ524399:SLQ524413 SVM524399:SVM524413 TFI524399:TFI524413 TPE524399:TPE524413 TZA524399:TZA524413 UIW524399:UIW524413 USS524399:USS524413 VCO524399:VCO524413 VMK524399:VMK524413 VWG524399:VWG524413 WGC524399:WGC524413 WPY524399:WPY524413 DM589935:DM589949 NI589935:NI589949 XE589935:XE589949 AHA589935:AHA589949 AQW589935:AQW589949 BAS589935:BAS589949 BKO589935:BKO589949 BUK589935:BUK589949 CEG589935:CEG589949 COC589935:COC589949 CXY589935:CXY589949 DHU589935:DHU589949 DRQ589935:DRQ589949 EBM589935:EBM589949 ELI589935:ELI589949 EVE589935:EVE589949 FFA589935:FFA589949 FOW589935:FOW589949 FYS589935:FYS589949 GIO589935:GIO589949 GSK589935:GSK589949 HCG589935:HCG589949 HMC589935:HMC589949 HVY589935:HVY589949 IFU589935:IFU589949 IPQ589935:IPQ589949 IZM589935:IZM589949 JJI589935:JJI589949 JTE589935:JTE589949 KDA589935:KDA589949 KMW589935:KMW589949 KWS589935:KWS589949 LGO589935:LGO589949 LQK589935:LQK589949 MAG589935:MAG589949 MKC589935:MKC589949 MTY589935:MTY589949 NDU589935:NDU589949 NNQ589935:NNQ589949 NXM589935:NXM589949 OHI589935:OHI589949 ORE589935:ORE589949 PBA589935:PBA589949 PKW589935:PKW589949 PUS589935:PUS589949 QEO589935:QEO589949 QOK589935:QOK589949 QYG589935:QYG589949 RIC589935:RIC589949 RRY589935:RRY589949 SBU589935:SBU589949 SLQ589935:SLQ589949 SVM589935:SVM589949 TFI589935:TFI589949 TPE589935:TPE589949 TZA589935:TZA589949 UIW589935:UIW589949 USS589935:USS589949 VCO589935:VCO589949 VMK589935:VMK589949 VWG589935:VWG589949 WGC589935:WGC589949 WPY589935:WPY589949 DM655471:DM655485 NI655471:NI655485 XE655471:XE655485 AHA655471:AHA655485 AQW655471:AQW655485 BAS655471:BAS655485 BKO655471:BKO655485 BUK655471:BUK655485 CEG655471:CEG655485 COC655471:COC655485 CXY655471:CXY655485 DHU655471:DHU655485 DRQ655471:DRQ655485 EBM655471:EBM655485 ELI655471:ELI655485 EVE655471:EVE655485 FFA655471:FFA655485 FOW655471:FOW655485 FYS655471:FYS655485 GIO655471:GIO655485 GSK655471:GSK655485 HCG655471:HCG655485 HMC655471:HMC655485 HVY655471:HVY655485 IFU655471:IFU655485 IPQ655471:IPQ655485 IZM655471:IZM655485 JJI655471:JJI655485 JTE655471:JTE655485 KDA655471:KDA655485 KMW655471:KMW655485 KWS655471:KWS655485 LGO655471:LGO655485 LQK655471:LQK655485 MAG655471:MAG655485 MKC655471:MKC655485 MTY655471:MTY655485 NDU655471:NDU655485 NNQ655471:NNQ655485 NXM655471:NXM655485 OHI655471:OHI655485 ORE655471:ORE655485 PBA655471:PBA655485 PKW655471:PKW655485 PUS655471:PUS655485 QEO655471:QEO655485 QOK655471:QOK655485 QYG655471:QYG655485 RIC655471:RIC655485 RRY655471:RRY655485 SBU655471:SBU655485 SLQ655471:SLQ655485 SVM655471:SVM655485 TFI655471:TFI655485 TPE655471:TPE655485 TZA655471:TZA655485 UIW655471:UIW655485 USS655471:USS655485 VCO655471:VCO655485 VMK655471:VMK655485 VWG655471:VWG655485 WGC655471:WGC655485 WPY655471:WPY655485 DM721007:DM721021 NI721007:NI721021 XE721007:XE721021 AHA721007:AHA721021 AQW721007:AQW721021 BAS721007:BAS721021 BKO721007:BKO721021 BUK721007:BUK721021 CEG721007:CEG721021 COC721007:COC721021 CXY721007:CXY721021 DHU721007:DHU721021 DRQ721007:DRQ721021 EBM721007:EBM721021 ELI721007:ELI721021 EVE721007:EVE721021 FFA721007:FFA721021 FOW721007:FOW721021 FYS721007:FYS721021 GIO721007:GIO721021 GSK721007:GSK721021 HCG721007:HCG721021 HMC721007:HMC721021 HVY721007:HVY721021 IFU721007:IFU721021 IPQ721007:IPQ721021 IZM721007:IZM721021 JJI721007:JJI721021 JTE721007:JTE721021 KDA721007:KDA721021 KMW721007:KMW721021 KWS721007:KWS721021 LGO721007:LGO721021 LQK721007:LQK721021 MAG721007:MAG721021 MKC721007:MKC721021 MTY721007:MTY721021 NDU721007:NDU721021 NNQ721007:NNQ721021 NXM721007:NXM721021 OHI721007:OHI721021 ORE721007:ORE721021 PBA721007:PBA721021 PKW721007:PKW721021 PUS721007:PUS721021 QEO721007:QEO721021 QOK721007:QOK721021 QYG721007:QYG721021 RIC721007:RIC721021 RRY721007:RRY721021 SBU721007:SBU721021 SLQ721007:SLQ721021 SVM721007:SVM721021 TFI721007:TFI721021 TPE721007:TPE721021 TZA721007:TZA721021 UIW721007:UIW721021 USS721007:USS721021 VCO721007:VCO721021 VMK721007:VMK721021 VWG721007:VWG721021 WGC721007:WGC721021 WPY721007:WPY721021 DM786543:DM786557 NI786543:NI786557 XE786543:XE786557 AHA786543:AHA786557 AQW786543:AQW786557 BAS786543:BAS786557 BKO786543:BKO786557 BUK786543:BUK786557 CEG786543:CEG786557 COC786543:COC786557 CXY786543:CXY786557 DHU786543:DHU786557 DRQ786543:DRQ786557 EBM786543:EBM786557 ELI786543:ELI786557 EVE786543:EVE786557 FFA786543:FFA786557 FOW786543:FOW786557 FYS786543:FYS786557 GIO786543:GIO786557 GSK786543:GSK786557 HCG786543:HCG786557 HMC786543:HMC786557 HVY786543:HVY786557 IFU786543:IFU786557 IPQ786543:IPQ786557 IZM786543:IZM786557 JJI786543:JJI786557 JTE786543:JTE786557 KDA786543:KDA786557 KMW786543:KMW786557 KWS786543:KWS786557 LGO786543:LGO786557 LQK786543:LQK786557 MAG786543:MAG786557 MKC786543:MKC786557 MTY786543:MTY786557 NDU786543:NDU786557 NNQ786543:NNQ786557 NXM786543:NXM786557 OHI786543:OHI786557 ORE786543:ORE786557 PBA786543:PBA786557 PKW786543:PKW786557 PUS786543:PUS786557 QEO786543:QEO786557 QOK786543:QOK786557 QYG786543:QYG786557 RIC786543:RIC786557 RRY786543:RRY786557 SBU786543:SBU786557 SLQ786543:SLQ786557 SVM786543:SVM786557 TFI786543:TFI786557 TPE786543:TPE786557 TZA786543:TZA786557 UIW786543:UIW786557 USS786543:USS786557 VCO786543:VCO786557 VMK786543:VMK786557 VWG786543:VWG786557 WGC786543:WGC786557 WPY786543:WPY786557 DM852079:DM852093 NI852079:NI852093 XE852079:XE852093 AHA852079:AHA852093 AQW852079:AQW852093 BAS852079:BAS852093 BKO852079:BKO852093 BUK852079:BUK852093 CEG852079:CEG852093 COC852079:COC852093 CXY852079:CXY852093 DHU852079:DHU852093 DRQ852079:DRQ852093 EBM852079:EBM852093 ELI852079:ELI852093 EVE852079:EVE852093 FFA852079:FFA852093 FOW852079:FOW852093 FYS852079:FYS852093 GIO852079:GIO852093 GSK852079:GSK852093 HCG852079:HCG852093 HMC852079:HMC852093 HVY852079:HVY852093 IFU852079:IFU852093 IPQ852079:IPQ852093 IZM852079:IZM852093 JJI852079:JJI852093 JTE852079:JTE852093 KDA852079:KDA852093 KMW852079:KMW852093 KWS852079:KWS852093 LGO852079:LGO852093 LQK852079:LQK852093 MAG852079:MAG852093 MKC852079:MKC852093 MTY852079:MTY852093 NDU852079:NDU852093 NNQ852079:NNQ852093 NXM852079:NXM852093 OHI852079:OHI852093 ORE852079:ORE852093 PBA852079:PBA852093 PKW852079:PKW852093 PUS852079:PUS852093 QEO852079:QEO852093 QOK852079:QOK852093 QYG852079:QYG852093 RIC852079:RIC852093 RRY852079:RRY852093 SBU852079:SBU852093 SLQ852079:SLQ852093 SVM852079:SVM852093 TFI852079:TFI852093 TPE852079:TPE852093 TZA852079:TZA852093 UIW852079:UIW852093 USS852079:USS852093 VCO852079:VCO852093 VMK852079:VMK852093 VWG852079:VWG852093 WGC852079:WGC852093 WPY852079:WPY852093 DM917615:DM917629 NI917615:NI917629 XE917615:XE917629 AHA917615:AHA917629 AQW917615:AQW917629 BAS917615:BAS917629 BKO917615:BKO917629 BUK917615:BUK917629 CEG917615:CEG917629 COC917615:COC917629 CXY917615:CXY917629 DHU917615:DHU917629 DRQ917615:DRQ917629 EBM917615:EBM917629 ELI917615:ELI917629 EVE917615:EVE917629 FFA917615:FFA917629 FOW917615:FOW917629 FYS917615:FYS917629 GIO917615:GIO917629 GSK917615:GSK917629 HCG917615:HCG917629 HMC917615:HMC917629 HVY917615:HVY917629 IFU917615:IFU917629 IPQ917615:IPQ917629 IZM917615:IZM917629 JJI917615:JJI917629 JTE917615:JTE917629 KDA917615:KDA917629 KMW917615:KMW917629 KWS917615:KWS917629 LGO917615:LGO917629 LQK917615:LQK917629 MAG917615:MAG917629 MKC917615:MKC917629 MTY917615:MTY917629 NDU917615:NDU917629 NNQ917615:NNQ917629 NXM917615:NXM917629 OHI917615:OHI917629 ORE917615:ORE917629 PBA917615:PBA917629 PKW917615:PKW917629 PUS917615:PUS917629 QEO917615:QEO917629 QOK917615:QOK917629 QYG917615:QYG917629 RIC917615:RIC917629 RRY917615:RRY917629 SBU917615:SBU917629 SLQ917615:SLQ917629 SVM917615:SVM917629 TFI917615:TFI917629 TPE917615:TPE917629 TZA917615:TZA917629 UIW917615:UIW917629 USS917615:USS917629 VCO917615:VCO917629 VMK917615:VMK917629 VWG917615:VWG917629 WGC917615:WGC917629 WPY917615:WPY917629 DM983151:DM983165 NI983151:NI983165 XE983151:XE983165 AHA983151:AHA983165 AQW983151:AQW983165 BAS983151:BAS983165 BKO983151:BKO983165 BUK983151:BUK983165 CEG983151:CEG983165 COC983151:COC983165 CXY983151:CXY983165 DHU983151:DHU983165 DRQ983151:DRQ983165 EBM983151:EBM983165 ELI983151:ELI983165 EVE983151:EVE983165 FFA983151:FFA983165 FOW983151:FOW983165 FYS983151:FYS983165 GIO983151:GIO983165 GSK983151:GSK983165 HCG983151:HCG983165 HMC983151:HMC983165 HVY983151:HVY983165 IFU983151:IFU983165 IPQ983151:IPQ983165 IZM983151:IZM983165 JJI983151:JJI983165 JTE983151:JTE983165 KDA983151:KDA983165 KMW983151:KMW983165 KWS983151:KWS983165 LGO983151:LGO983165 LQK983151:LQK983165 MAG983151:MAG983165 MKC983151:MKC983165 MTY983151:MTY983165 NDU983151:NDU983165 NNQ983151:NNQ983165 NXM983151:NXM983165 OHI983151:OHI983165 ORE983151:ORE983165 PBA983151:PBA983165 PKW983151:PKW983165 PUS983151:PUS983165 QEO983151:QEO983165 QOK983151:QOK983165 QYG983151:QYG983165 RIC983151:RIC983165 RRY983151:RRY983165 SBU983151:SBU983165 SLQ983151:SLQ983165 SVM983151:SVM983165 TFI983151:TFI983165 TPE983151:TPE983165 TZA983151:TZA983165 UIW983151:UIW983165 USS983151:USS983165 VCO983151:VCO983165 VMK983151:VMK983165 VWG983151:VWG983165 WGC983151:WGC983165 WPY983151:WPY983165 DM65634:DM65635 NI65634:NI65635 XE65634:XE65635 AHA65634:AHA65635 AQW65634:AQW65635 BAS65634:BAS65635 BKO65634:BKO65635 BUK65634:BUK65635 CEG65634:CEG65635 COC65634:COC65635 CXY65634:CXY65635 DHU65634:DHU65635 DRQ65634:DRQ65635 EBM65634:EBM65635 ELI65634:ELI65635 EVE65634:EVE65635 FFA65634:FFA65635 FOW65634:FOW65635 FYS65634:FYS65635 GIO65634:GIO65635 GSK65634:GSK65635 HCG65634:HCG65635 HMC65634:HMC65635 HVY65634:HVY65635 IFU65634:IFU65635 IPQ65634:IPQ65635 IZM65634:IZM65635 JJI65634:JJI65635 JTE65634:JTE65635 KDA65634:KDA65635 KMW65634:KMW65635 KWS65634:KWS65635 LGO65634:LGO65635 LQK65634:LQK65635 MAG65634:MAG65635 MKC65634:MKC65635 MTY65634:MTY65635 NDU65634:NDU65635 NNQ65634:NNQ65635 NXM65634:NXM65635 OHI65634:OHI65635 ORE65634:ORE65635 PBA65634:PBA65635 PKW65634:PKW65635 PUS65634:PUS65635 QEO65634:QEO65635 QOK65634:QOK65635 QYG65634:QYG65635 RIC65634:RIC65635 RRY65634:RRY65635 SBU65634:SBU65635 SLQ65634:SLQ65635 SVM65634:SVM65635 TFI65634:TFI65635 TPE65634:TPE65635 TZA65634:TZA65635 UIW65634:UIW65635 USS65634:USS65635 VCO65634:VCO65635 VMK65634:VMK65635 VWG65634:VWG65635 WGC65634:WGC65635 WPY65634:WPY65635 DM131170:DM131171 NI131170:NI131171 XE131170:XE131171 AHA131170:AHA131171 AQW131170:AQW131171 BAS131170:BAS131171 BKO131170:BKO131171 BUK131170:BUK131171 CEG131170:CEG131171 COC131170:COC131171 CXY131170:CXY131171 DHU131170:DHU131171 DRQ131170:DRQ131171 EBM131170:EBM131171 ELI131170:ELI131171 EVE131170:EVE131171 FFA131170:FFA131171 FOW131170:FOW131171 FYS131170:FYS131171 GIO131170:GIO131171 GSK131170:GSK131171 HCG131170:HCG131171 HMC131170:HMC131171 HVY131170:HVY131171 IFU131170:IFU131171 IPQ131170:IPQ131171 IZM131170:IZM131171 JJI131170:JJI131171 JTE131170:JTE131171 KDA131170:KDA131171 KMW131170:KMW131171 KWS131170:KWS131171 LGO131170:LGO131171 LQK131170:LQK131171 MAG131170:MAG131171 MKC131170:MKC131171 MTY131170:MTY131171 NDU131170:NDU131171 NNQ131170:NNQ131171 NXM131170:NXM131171 OHI131170:OHI131171 ORE131170:ORE131171 PBA131170:PBA131171 PKW131170:PKW131171 PUS131170:PUS131171 QEO131170:QEO131171 QOK131170:QOK131171 QYG131170:QYG131171 RIC131170:RIC131171 RRY131170:RRY131171 SBU131170:SBU131171 SLQ131170:SLQ131171 SVM131170:SVM131171 TFI131170:TFI131171 TPE131170:TPE131171 TZA131170:TZA131171 UIW131170:UIW131171 USS131170:USS131171 VCO131170:VCO131171 VMK131170:VMK131171 VWG131170:VWG131171 WGC131170:WGC131171 WPY131170:WPY131171 DM196706:DM196707 NI196706:NI196707 XE196706:XE196707 AHA196706:AHA196707 AQW196706:AQW196707 BAS196706:BAS196707 BKO196706:BKO196707 BUK196706:BUK196707 CEG196706:CEG196707 COC196706:COC196707 CXY196706:CXY196707 DHU196706:DHU196707 DRQ196706:DRQ196707 EBM196706:EBM196707 ELI196706:ELI196707 EVE196706:EVE196707 FFA196706:FFA196707 FOW196706:FOW196707 FYS196706:FYS196707 GIO196706:GIO196707 GSK196706:GSK196707 HCG196706:HCG196707 HMC196706:HMC196707 HVY196706:HVY196707 IFU196706:IFU196707 IPQ196706:IPQ196707 IZM196706:IZM196707 JJI196706:JJI196707 JTE196706:JTE196707 KDA196706:KDA196707 KMW196706:KMW196707 KWS196706:KWS196707 LGO196706:LGO196707 LQK196706:LQK196707 MAG196706:MAG196707 MKC196706:MKC196707 MTY196706:MTY196707 NDU196706:NDU196707 NNQ196706:NNQ196707 NXM196706:NXM196707 OHI196706:OHI196707 ORE196706:ORE196707 PBA196706:PBA196707 PKW196706:PKW196707 PUS196706:PUS196707 QEO196706:QEO196707 QOK196706:QOK196707 QYG196706:QYG196707 RIC196706:RIC196707 RRY196706:RRY196707 SBU196706:SBU196707 SLQ196706:SLQ196707 SVM196706:SVM196707 TFI196706:TFI196707 TPE196706:TPE196707 TZA196706:TZA196707 UIW196706:UIW196707 USS196706:USS196707 VCO196706:VCO196707 VMK196706:VMK196707 VWG196706:VWG196707 WGC196706:WGC196707 WPY196706:WPY196707 DM262242:DM262243 NI262242:NI262243 XE262242:XE262243 AHA262242:AHA262243 AQW262242:AQW262243 BAS262242:BAS262243 BKO262242:BKO262243 BUK262242:BUK262243 CEG262242:CEG262243 COC262242:COC262243 CXY262242:CXY262243 DHU262242:DHU262243 DRQ262242:DRQ262243 EBM262242:EBM262243 ELI262242:ELI262243 EVE262242:EVE262243 FFA262242:FFA262243 FOW262242:FOW262243 FYS262242:FYS262243 GIO262242:GIO262243 GSK262242:GSK262243 HCG262242:HCG262243 HMC262242:HMC262243 HVY262242:HVY262243 IFU262242:IFU262243 IPQ262242:IPQ262243 IZM262242:IZM262243 JJI262242:JJI262243 JTE262242:JTE262243 KDA262242:KDA262243 KMW262242:KMW262243 KWS262242:KWS262243 LGO262242:LGO262243 LQK262242:LQK262243 MAG262242:MAG262243 MKC262242:MKC262243 MTY262242:MTY262243 NDU262242:NDU262243 NNQ262242:NNQ262243 NXM262242:NXM262243 OHI262242:OHI262243 ORE262242:ORE262243 PBA262242:PBA262243 PKW262242:PKW262243 PUS262242:PUS262243 QEO262242:QEO262243 QOK262242:QOK262243 QYG262242:QYG262243 RIC262242:RIC262243 RRY262242:RRY262243 SBU262242:SBU262243 SLQ262242:SLQ262243 SVM262242:SVM262243 TFI262242:TFI262243 TPE262242:TPE262243 TZA262242:TZA262243 UIW262242:UIW262243 USS262242:USS262243 VCO262242:VCO262243 VMK262242:VMK262243 VWG262242:VWG262243 WGC262242:WGC262243 WPY262242:WPY262243 DM327778:DM327779 NI327778:NI327779 XE327778:XE327779 AHA327778:AHA327779 AQW327778:AQW327779 BAS327778:BAS327779 BKO327778:BKO327779 BUK327778:BUK327779 CEG327778:CEG327779 COC327778:COC327779 CXY327778:CXY327779 DHU327778:DHU327779 DRQ327778:DRQ327779 EBM327778:EBM327779 ELI327778:ELI327779 EVE327778:EVE327779 FFA327778:FFA327779 FOW327778:FOW327779 FYS327778:FYS327779 GIO327778:GIO327779 GSK327778:GSK327779 HCG327778:HCG327779 HMC327778:HMC327779 HVY327778:HVY327779 IFU327778:IFU327779 IPQ327778:IPQ327779 IZM327778:IZM327779 JJI327778:JJI327779 JTE327778:JTE327779 KDA327778:KDA327779 KMW327778:KMW327779 KWS327778:KWS327779 LGO327778:LGO327779 LQK327778:LQK327779 MAG327778:MAG327779 MKC327778:MKC327779 MTY327778:MTY327779 NDU327778:NDU327779 NNQ327778:NNQ327779 NXM327778:NXM327779 OHI327778:OHI327779 ORE327778:ORE327779 PBA327778:PBA327779 PKW327778:PKW327779 PUS327778:PUS327779 QEO327778:QEO327779 QOK327778:QOK327779 QYG327778:QYG327779 RIC327778:RIC327779 RRY327778:RRY327779 SBU327778:SBU327779 SLQ327778:SLQ327779 SVM327778:SVM327779 TFI327778:TFI327779 TPE327778:TPE327779 TZA327778:TZA327779 UIW327778:UIW327779 USS327778:USS327779 VCO327778:VCO327779 VMK327778:VMK327779 VWG327778:VWG327779 WGC327778:WGC327779 WPY327778:WPY327779 DM393314:DM393315 NI393314:NI393315 XE393314:XE393315 AHA393314:AHA393315 AQW393314:AQW393315 BAS393314:BAS393315 BKO393314:BKO393315 BUK393314:BUK393315 CEG393314:CEG393315 COC393314:COC393315 CXY393314:CXY393315 DHU393314:DHU393315 DRQ393314:DRQ393315 EBM393314:EBM393315 ELI393314:ELI393315 EVE393314:EVE393315 FFA393314:FFA393315 FOW393314:FOW393315 FYS393314:FYS393315 GIO393314:GIO393315 GSK393314:GSK393315 HCG393314:HCG393315 HMC393314:HMC393315 HVY393314:HVY393315 IFU393314:IFU393315 IPQ393314:IPQ393315 IZM393314:IZM393315 JJI393314:JJI393315 JTE393314:JTE393315 KDA393314:KDA393315 KMW393314:KMW393315 KWS393314:KWS393315 LGO393314:LGO393315 LQK393314:LQK393315 MAG393314:MAG393315 MKC393314:MKC393315 MTY393314:MTY393315 NDU393314:NDU393315 NNQ393314:NNQ393315 NXM393314:NXM393315 OHI393314:OHI393315 ORE393314:ORE393315 PBA393314:PBA393315 PKW393314:PKW393315 PUS393314:PUS393315 QEO393314:QEO393315 QOK393314:QOK393315 QYG393314:QYG393315 RIC393314:RIC393315 RRY393314:RRY393315 SBU393314:SBU393315 SLQ393314:SLQ393315 SVM393314:SVM393315 TFI393314:TFI393315 TPE393314:TPE393315 TZA393314:TZA393315 UIW393314:UIW393315 USS393314:USS393315 VCO393314:VCO393315 VMK393314:VMK393315 VWG393314:VWG393315 WGC393314:WGC393315 WPY393314:WPY393315 DM458850:DM458851 NI458850:NI458851 XE458850:XE458851 AHA458850:AHA458851 AQW458850:AQW458851 BAS458850:BAS458851 BKO458850:BKO458851 BUK458850:BUK458851 CEG458850:CEG458851 COC458850:COC458851 CXY458850:CXY458851 DHU458850:DHU458851 DRQ458850:DRQ458851 EBM458850:EBM458851 ELI458850:ELI458851 EVE458850:EVE458851 FFA458850:FFA458851 FOW458850:FOW458851 FYS458850:FYS458851 GIO458850:GIO458851 GSK458850:GSK458851 HCG458850:HCG458851 HMC458850:HMC458851 HVY458850:HVY458851 IFU458850:IFU458851 IPQ458850:IPQ458851 IZM458850:IZM458851 JJI458850:JJI458851 JTE458850:JTE458851 KDA458850:KDA458851 KMW458850:KMW458851 KWS458850:KWS458851 LGO458850:LGO458851 LQK458850:LQK458851 MAG458850:MAG458851 MKC458850:MKC458851 MTY458850:MTY458851 NDU458850:NDU458851 NNQ458850:NNQ458851 NXM458850:NXM458851 OHI458850:OHI458851 ORE458850:ORE458851 PBA458850:PBA458851 PKW458850:PKW458851 PUS458850:PUS458851 QEO458850:QEO458851 QOK458850:QOK458851 QYG458850:QYG458851 RIC458850:RIC458851 RRY458850:RRY458851 SBU458850:SBU458851 SLQ458850:SLQ458851 SVM458850:SVM458851 TFI458850:TFI458851 TPE458850:TPE458851 TZA458850:TZA458851 UIW458850:UIW458851 USS458850:USS458851 VCO458850:VCO458851 VMK458850:VMK458851 VWG458850:VWG458851 WGC458850:WGC458851 WPY458850:WPY458851 DM524386:DM524387 NI524386:NI524387 XE524386:XE524387 AHA524386:AHA524387 AQW524386:AQW524387 BAS524386:BAS524387 BKO524386:BKO524387 BUK524386:BUK524387 CEG524386:CEG524387 COC524386:COC524387 CXY524386:CXY524387 DHU524386:DHU524387 DRQ524386:DRQ524387 EBM524386:EBM524387 ELI524386:ELI524387 EVE524386:EVE524387 FFA524386:FFA524387 FOW524386:FOW524387 FYS524386:FYS524387 GIO524386:GIO524387 GSK524386:GSK524387 HCG524386:HCG524387 HMC524386:HMC524387 HVY524386:HVY524387 IFU524386:IFU524387 IPQ524386:IPQ524387 IZM524386:IZM524387 JJI524386:JJI524387 JTE524386:JTE524387 KDA524386:KDA524387 KMW524386:KMW524387 KWS524386:KWS524387 LGO524386:LGO524387 LQK524386:LQK524387 MAG524386:MAG524387 MKC524386:MKC524387 MTY524386:MTY524387 NDU524386:NDU524387 NNQ524386:NNQ524387 NXM524386:NXM524387 OHI524386:OHI524387 ORE524386:ORE524387 PBA524386:PBA524387 PKW524386:PKW524387 PUS524386:PUS524387 QEO524386:QEO524387 QOK524386:QOK524387 QYG524386:QYG524387 RIC524386:RIC524387 RRY524386:RRY524387 SBU524386:SBU524387 SLQ524386:SLQ524387 SVM524386:SVM524387 TFI524386:TFI524387 TPE524386:TPE524387 TZA524386:TZA524387 UIW524386:UIW524387 USS524386:USS524387 VCO524386:VCO524387 VMK524386:VMK524387 VWG524386:VWG524387 WGC524386:WGC524387 WPY524386:WPY524387 DM589922:DM589923 NI589922:NI589923 XE589922:XE589923 AHA589922:AHA589923 AQW589922:AQW589923 BAS589922:BAS589923 BKO589922:BKO589923 BUK589922:BUK589923 CEG589922:CEG589923 COC589922:COC589923 CXY589922:CXY589923 DHU589922:DHU589923 DRQ589922:DRQ589923 EBM589922:EBM589923 ELI589922:ELI589923 EVE589922:EVE589923 FFA589922:FFA589923 FOW589922:FOW589923 FYS589922:FYS589923 GIO589922:GIO589923 GSK589922:GSK589923 HCG589922:HCG589923 HMC589922:HMC589923 HVY589922:HVY589923 IFU589922:IFU589923 IPQ589922:IPQ589923 IZM589922:IZM589923 JJI589922:JJI589923 JTE589922:JTE589923 KDA589922:KDA589923 KMW589922:KMW589923 KWS589922:KWS589923 LGO589922:LGO589923 LQK589922:LQK589923 MAG589922:MAG589923 MKC589922:MKC589923 MTY589922:MTY589923 NDU589922:NDU589923 NNQ589922:NNQ589923 NXM589922:NXM589923 OHI589922:OHI589923 ORE589922:ORE589923 PBA589922:PBA589923 PKW589922:PKW589923 PUS589922:PUS589923 QEO589922:QEO589923 QOK589922:QOK589923 QYG589922:QYG589923 RIC589922:RIC589923 RRY589922:RRY589923 SBU589922:SBU589923 SLQ589922:SLQ589923 SVM589922:SVM589923 TFI589922:TFI589923 TPE589922:TPE589923 TZA589922:TZA589923 UIW589922:UIW589923 USS589922:USS589923 VCO589922:VCO589923 VMK589922:VMK589923 VWG589922:VWG589923 WGC589922:WGC589923 WPY589922:WPY589923 DM655458:DM655459 NI655458:NI655459 XE655458:XE655459 AHA655458:AHA655459 AQW655458:AQW655459 BAS655458:BAS655459 BKO655458:BKO655459 BUK655458:BUK655459 CEG655458:CEG655459 COC655458:COC655459 CXY655458:CXY655459 DHU655458:DHU655459 DRQ655458:DRQ655459 EBM655458:EBM655459 ELI655458:ELI655459 EVE655458:EVE655459 FFA655458:FFA655459 FOW655458:FOW655459 FYS655458:FYS655459 GIO655458:GIO655459 GSK655458:GSK655459 HCG655458:HCG655459 HMC655458:HMC655459 HVY655458:HVY655459 IFU655458:IFU655459 IPQ655458:IPQ655459 IZM655458:IZM655459 JJI655458:JJI655459 JTE655458:JTE655459 KDA655458:KDA655459 KMW655458:KMW655459 KWS655458:KWS655459 LGO655458:LGO655459 LQK655458:LQK655459 MAG655458:MAG655459 MKC655458:MKC655459 MTY655458:MTY655459 NDU655458:NDU655459 NNQ655458:NNQ655459 NXM655458:NXM655459 OHI655458:OHI655459 ORE655458:ORE655459 PBA655458:PBA655459 PKW655458:PKW655459 PUS655458:PUS655459 QEO655458:QEO655459 QOK655458:QOK655459 QYG655458:QYG655459 RIC655458:RIC655459 RRY655458:RRY655459 SBU655458:SBU655459 SLQ655458:SLQ655459 SVM655458:SVM655459 TFI655458:TFI655459 TPE655458:TPE655459 TZA655458:TZA655459 UIW655458:UIW655459 USS655458:USS655459 VCO655458:VCO655459 VMK655458:VMK655459 VWG655458:VWG655459 WGC655458:WGC655459 WPY655458:WPY655459 DM720994:DM720995 NI720994:NI720995 XE720994:XE720995 AHA720994:AHA720995 AQW720994:AQW720995 BAS720994:BAS720995 BKO720994:BKO720995 BUK720994:BUK720995 CEG720994:CEG720995 COC720994:COC720995 CXY720994:CXY720995 DHU720994:DHU720995 DRQ720994:DRQ720995 EBM720994:EBM720995 ELI720994:ELI720995 EVE720994:EVE720995 FFA720994:FFA720995 FOW720994:FOW720995 FYS720994:FYS720995 GIO720994:GIO720995 GSK720994:GSK720995 HCG720994:HCG720995 HMC720994:HMC720995 HVY720994:HVY720995 IFU720994:IFU720995 IPQ720994:IPQ720995 IZM720994:IZM720995 JJI720994:JJI720995 JTE720994:JTE720995 KDA720994:KDA720995 KMW720994:KMW720995 KWS720994:KWS720995 LGO720994:LGO720995 LQK720994:LQK720995 MAG720994:MAG720995 MKC720994:MKC720995 MTY720994:MTY720995 NDU720994:NDU720995 NNQ720994:NNQ720995 NXM720994:NXM720995 OHI720994:OHI720995 ORE720994:ORE720995 PBA720994:PBA720995 PKW720994:PKW720995 PUS720994:PUS720995 QEO720994:QEO720995 QOK720994:QOK720995 QYG720994:QYG720995 RIC720994:RIC720995 RRY720994:RRY720995 SBU720994:SBU720995 SLQ720994:SLQ720995 SVM720994:SVM720995 TFI720994:TFI720995 TPE720994:TPE720995 TZA720994:TZA720995 UIW720994:UIW720995 USS720994:USS720995 VCO720994:VCO720995 VMK720994:VMK720995 VWG720994:VWG720995 WGC720994:WGC720995 WPY720994:WPY720995 DM786530:DM786531 NI786530:NI786531 XE786530:XE786531 AHA786530:AHA786531 AQW786530:AQW786531 BAS786530:BAS786531 BKO786530:BKO786531 BUK786530:BUK786531 CEG786530:CEG786531 COC786530:COC786531 CXY786530:CXY786531 DHU786530:DHU786531 DRQ786530:DRQ786531 EBM786530:EBM786531 ELI786530:ELI786531 EVE786530:EVE786531 FFA786530:FFA786531 FOW786530:FOW786531 FYS786530:FYS786531 GIO786530:GIO786531 GSK786530:GSK786531 HCG786530:HCG786531 HMC786530:HMC786531 HVY786530:HVY786531 IFU786530:IFU786531 IPQ786530:IPQ786531 IZM786530:IZM786531 JJI786530:JJI786531 JTE786530:JTE786531 KDA786530:KDA786531 KMW786530:KMW786531 KWS786530:KWS786531 LGO786530:LGO786531 LQK786530:LQK786531 MAG786530:MAG786531 MKC786530:MKC786531 MTY786530:MTY786531 NDU786530:NDU786531 NNQ786530:NNQ786531 NXM786530:NXM786531 OHI786530:OHI786531 ORE786530:ORE786531 PBA786530:PBA786531 PKW786530:PKW786531 PUS786530:PUS786531 QEO786530:QEO786531 QOK786530:QOK786531 QYG786530:QYG786531 RIC786530:RIC786531 RRY786530:RRY786531 SBU786530:SBU786531 SLQ786530:SLQ786531 SVM786530:SVM786531 TFI786530:TFI786531 TPE786530:TPE786531 TZA786530:TZA786531 UIW786530:UIW786531 USS786530:USS786531 VCO786530:VCO786531 VMK786530:VMK786531 VWG786530:VWG786531 WGC786530:WGC786531 WPY786530:WPY786531 DM852066:DM852067 NI852066:NI852067 XE852066:XE852067 AHA852066:AHA852067 AQW852066:AQW852067 BAS852066:BAS852067 BKO852066:BKO852067 BUK852066:BUK852067 CEG852066:CEG852067 COC852066:COC852067 CXY852066:CXY852067 DHU852066:DHU852067 DRQ852066:DRQ852067 EBM852066:EBM852067 ELI852066:ELI852067 EVE852066:EVE852067 FFA852066:FFA852067 FOW852066:FOW852067 FYS852066:FYS852067 GIO852066:GIO852067 GSK852066:GSK852067 HCG852066:HCG852067 HMC852066:HMC852067 HVY852066:HVY852067 IFU852066:IFU852067 IPQ852066:IPQ852067 IZM852066:IZM852067 JJI852066:JJI852067 JTE852066:JTE852067 KDA852066:KDA852067 KMW852066:KMW852067 KWS852066:KWS852067 LGO852066:LGO852067 LQK852066:LQK852067 MAG852066:MAG852067 MKC852066:MKC852067 MTY852066:MTY852067 NDU852066:NDU852067 NNQ852066:NNQ852067 NXM852066:NXM852067 OHI852066:OHI852067 ORE852066:ORE852067 PBA852066:PBA852067 PKW852066:PKW852067 PUS852066:PUS852067 QEO852066:QEO852067 QOK852066:QOK852067 QYG852066:QYG852067 RIC852066:RIC852067 RRY852066:RRY852067 SBU852066:SBU852067 SLQ852066:SLQ852067 SVM852066:SVM852067 TFI852066:TFI852067 TPE852066:TPE852067 TZA852066:TZA852067 UIW852066:UIW852067 USS852066:USS852067 VCO852066:VCO852067 VMK852066:VMK852067 VWG852066:VWG852067 WGC852066:WGC852067 WPY852066:WPY852067 DM917602:DM917603 NI917602:NI917603 XE917602:XE917603 AHA917602:AHA917603 AQW917602:AQW917603 BAS917602:BAS917603 BKO917602:BKO917603 BUK917602:BUK917603 CEG917602:CEG917603 COC917602:COC917603 CXY917602:CXY917603 DHU917602:DHU917603 DRQ917602:DRQ917603 EBM917602:EBM917603 ELI917602:ELI917603 EVE917602:EVE917603 FFA917602:FFA917603 FOW917602:FOW917603 FYS917602:FYS917603 GIO917602:GIO917603 GSK917602:GSK917603 HCG917602:HCG917603 HMC917602:HMC917603 HVY917602:HVY917603 IFU917602:IFU917603 IPQ917602:IPQ917603 IZM917602:IZM917603 JJI917602:JJI917603 JTE917602:JTE917603 KDA917602:KDA917603 KMW917602:KMW917603 KWS917602:KWS917603 LGO917602:LGO917603 LQK917602:LQK917603 MAG917602:MAG917603 MKC917602:MKC917603 MTY917602:MTY917603 NDU917602:NDU917603 NNQ917602:NNQ917603 NXM917602:NXM917603 OHI917602:OHI917603 ORE917602:ORE917603 PBA917602:PBA917603 PKW917602:PKW917603 PUS917602:PUS917603 QEO917602:QEO917603 QOK917602:QOK917603 QYG917602:QYG917603 RIC917602:RIC917603 RRY917602:RRY917603 SBU917602:SBU917603 SLQ917602:SLQ917603 SVM917602:SVM917603 TFI917602:TFI917603 TPE917602:TPE917603 TZA917602:TZA917603 UIW917602:UIW917603 USS917602:USS917603 VCO917602:VCO917603 VMK917602:VMK917603 VWG917602:VWG917603 WGC917602:WGC917603 WPY917602:WPY917603 DM983138:DM983139 NI983138:NI983139 XE983138:XE983139 AHA983138:AHA983139 AQW983138:AQW983139 BAS983138:BAS983139 BKO983138:BKO983139 BUK983138:BUK983139 CEG983138:CEG983139 COC983138:COC983139 CXY983138:CXY983139 DHU983138:DHU983139 DRQ983138:DRQ983139 EBM983138:EBM983139 ELI983138:ELI983139 EVE983138:EVE983139 FFA983138:FFA983139 FOW983138:FOW983139 FYS983138:FYS983139 GIO983138:GIO983139 GSK983138:GSK983139 HCG983138:HCG983139 HMC983138:HMC983139 HVY983138:HVY983139 IFU983138:IFU983139 IPQ983138:IPQ983139 IZM983138:IZM983139 JJI983138:JJI983139 JTE983138:JTE983139 KDA983138:KDA983139 KMW983138:KMW983139 KWS983138:KWS983139 LGO983138:LGO983139 LQK983138:LQK983139 MAG983138:MAG983139 MKC983138:MKC983139 MTY983138:MTY983139 NDU983138:NDU983139 NNQ983138:NNQ983139 NXM983138:NXM983139 OHI983138:OHI983139 ORE983138:ORE983139 PBA983138:PBA983139 PKW983138:PKW983139 PUS983138:PUS983139 QEO983138:QEO983139 QOK983138:QOK983139 QYG983138:QYG983139 RIC983138:RIC983139 RRY983138:RRY983139 SBU983138:SBU983139 SLQ983138:SLQ983139 SVM983138:SVM983139 TFI983138:TFI983139 TPE983138:TPE983139 TZA983138:TZA983139 UIW983138:UIW983139 USS983138:USS983139 VCO983138:VCO983139 VMK983138:VMK983139 VWG983138:VWG983139 WGC983138:WGC983139 WPY983138:WPY983139 DM65666:DM65670 NI65666:NI65670 XE65666:XE65670 AHA65666:AHA65670 AQW65666:AQW65670 BAS65666:BAS65670 BKO65666:BKO65670 BUK65666:BUK65670 CEG65666:CEG65670 COC65666:COC65670 CXY65666:CXY65670 DHU65666:DHU65670 DRQ65666:DRQ65670 EBM65666:EBM65670 ELI65666:ELI65670 EVE65666:EVE65670 FFA65666:FFA65670 FOW65666:FOW65670 FYS65666:FYS65670 GIO65666:GIO65670 GSK65666:GSK65670 HCG65666:HCG65670 HMC65666:HMC65670 HVY65666:HVY65670 IFU65666:IFU65670 IPQ65666:IPQ65670 IZM65666:IZM65670 JJI65666:JJI65670 JTE65666:JTE65670 KDA65666:KDA65670 KMW65666:KMW65670 KWS65666:KWS65670 LGO65666:LGO65670 LQK65666:LQK65670 MAG65666:MAG65670 MKC65666:MKC65670 MTY65666:MTY65670 NDU65666:NDU65670 NNQ65666:NNQ65670 NXM65666:NXM65670 OHI65666:OHI65670 ORE65666:ORE65670 PBA65666:PBA65670 PKW65666:PKW65670 PUS65666:PUS65670 QEO65666:QEO65670 QOK65666:QOK65670 QYG65666:QYG65670 RIC65666:RIC65670 RRY65666:RRY65670 SBU65666:SBU65670 SLQ65666:SLQ65670 SVM65666:SVM65670 TFI65666:TFI65670 TPE65666:TPE65670 TZA65666:TZA65670 UIW65666:UIW65670 USS65666:USS65670 VCO65666:VCO65670 VMK65666:VMK65670 VWG65666:VWG65670 WGC65666:WGC65670 WPY65666:WPY65670 DM131202:DM131206 NI131202:NI131206 XE131202:XE131206 AHA131202:AHA131206 AQW131202:AQW131206 BAS131202:BAS131206 BKO131202:BKO131206 BUK131202:BUK131206 CEG131202:CEG131206 COC131202:COC131206 CXY131202:CXY131206 DHU131202:DHU131206 DRQ131202:DRQ131206 EBM131202:EBM131206 ELI131202:ELI131206 EVE131202:EVE131206 FFA131202:FFA131206 FOW131202:FOW131206 FYS131202:FYS131206 GIO131202:GIO131206 GSK131202:GSK131206 HCG131202:HCG131206 HMC131202:HMC131206 HVY131202:HVY131206 IFU131202:IFU131206 IPQ131202:IPQ131206 IZM131202:IZM131206 JJI131202:JJI131206 JTE131202:JTE131206 KDA131202:KDA131206 KMW131202:KMW131206 KWS131202:KWS131206 LGO131202:LGO131206 LQK131202:LQK131206 MAG131202:MAG131206 MKC131202:MKC131206 MTY131202:MTY131206 NDU131202:NDU131206 NNQ131202:NNQ131206 NXM131202:NXM131206 OHI131202:OHI131206 ORE131202:ORE131206 PBA131202:PBA131206 PKW131202:PKW131206 PUS131202:PUS131206 QEO131202:QEO131206 QOK131202:QOK131206 QYG131202:QYG131206 RIC131202:RIC131206 RRY131202:RRY131206 SBU131202:SBU131206 SLQ131202:SLQ131206 SVM131202:SVM131206 TFI131202:TFI131206 TPE131202:TPE131206 TZA131202:TZA131206 UIW131202:UIW131206 USS131202:USS131206 VCO131202:VCO131206 VMK131202:VMK131206 VWG131202:VWG131206 WGC131202:WGC131206 WPY131202:WPY131206 DM196738:DM196742 NI196738:NI196742 XE196738:XE196742 AHA196738:AHA196742 AQW196738:AQW196742 BAS196738:BAS196742 BKO196738:BKO196742 BUK196738:BUK196742 CEG196738:CEG196742 COC196738:COC196742 CXY196738:CXY196742 DHU196738:DHU196742 DRQ196738:DRQ196742 EBM196738:EBM196742 ELI196738:ELI196742 EVE196738:EVE196742 FFA196738:FFA196742 FOW196738:FOW196742 FYS196738:FYS196742 GIO196738:GIO196742 GSK196738:GSK196742 HCG196738:HCG196742 HMC196738:HMC196742 HVY196738:HVY196742 IFU196738:IFU196742 IPQ196738:IPQ196742 IZM196738:IZM196742 JJI196738:JJI196742 JTE196738:JTE196742 KDA196738:KDA196742 KMW196738:KMW196742 KWS196738:KWS196742 LGO196738:LGO196742 LQK196738:LQK196742 MAG196738:MAG196742 MKC196738:MKC196742 MTY196738:MTY196742 NDU196738:NDU196742 NNQ196738:NNQ196742 NXM196738:NXM196742 OHI196738:OHI196742 ORE196738:ORE196742 PBA196738:PBA196742 PKW196738:PKW196742 PUS196738:PUS196742 QEO196738:QEO196742 QOK196738:QOK196742 QYG196738:QYG196742 RIC196738:RIC196742 RRY196738:RRY196742 SBU196738:SBU196742 SLQ196738:SLQ196742 SVM196738:SVM196742 TFI196738:TFI196742 TPE196738:TPE196742 TZA196738:TZA196742 UIW196738:UIW196742 USS196738:USS196742 VCO196738:VCO196742 VMK196738:VMK196742 VWG196738:VWG196742 WGC196738:WGC196742 WPY196738:WPY196742 DM262274:DM262278 NI262274:NI262278 XE262274:XE262278 AHA262274:AHA262278 AQW262274:AQW262278 BAS262274:BAS262278 BKO262274:BKO262278 BUK262274:BUK262278 CEG262274:CEG262278 COC262274:COC262278 CXY262274:CXY262278 DHU262274:DHU262278 DRQ262274:DRQ262278 EBM262274:EBM262278 ELI262274:ELI262278 EVE262274:EVE262278 FFA262274:FFA262278 FOW262274:FOW262278 FYS262274:FYS262278 GIO262274:GIO262278 GSK262274:GSK262278 HCG262274:HCG262278 HMC262274:HMC262278 HVY262274:HVY262278 IFU262274:IFU262278 IPQ262274:IPQ262278 IZM262274:IZM262278 JJI262274:JJI262278 JTE262274:JTE262278 KDA262274:KDA262278 KMW262274:KMW262278 KWS262274:KWS262278 LGO262274:LGO262278 LQK262274:LQK262278 MAG262274:MAG262278 MKC262274:MKC262278 MTY262274:MTY262278 NDU262274:NDU262278 NNQ262274:NNQ262278 NXM262274:NXM262278 OHI262274:OHI262278 ORE262274:ORE262278 PBA262274:PBA262278 PKW262274:PKW262278 PUS262274:PUS262278 QEO262274:QEO262278 QOK262274:QOK262278 QYG262274:QYG262278 RIC262274:RIC262278 RRY262274:RRY262278 SBU262274:SBU262278 SLQ262274:SLQ262278 SVM262274:SVM262278 TFI262274:TFI262278 TPE262274:TPE262278 TZA262274:TZA262278 UIW262274:UIW262278 USS262274:USS262278 VCO262274:VCO262278 VMK262274:VMK262278 VWG262274:VWG262278 WGC262274:WGC262278 WPY262274:WPY262278 DM327810:DM327814 NI327810:NI327814 XE327810:XE327814 AHA327810:AHA327814 AQW327810:AQW327814 BAS327810:BAS327814 BKO327810:BKO327814 BUK327810:BUK327814 CEG327810:CEG327814 COC327810:COC327814 CXY327810:CXY327814 DHU327810:DHU327814 DRQ327810:DRQ327814 EBM327810:EBM327814 ELI327810:ELI327814 EVE327810:EVE327814 FFA327810:FFA327814 FOW327810:FOW327814 FYS327810:FYS327814 GIO327810:GIO327814 GSK327810:GSK327814 HCG327810:HCG327814 HMC327810:HMC327814 HVY327810:HVY327814 IFU327810:IFU327814 IPQ327810:IPQ327814 IZM327810:IZM327814 JJI327810:JJI327814 JTE327810:JTE327814 KDA327810:KDA327814 KMW327810:KMW327814 KWS327810:KWS327814 LGO327810:LGO327814 LQK327810:LQK327814 MAG327810:MAG327814 MKC327810:MKC327814 MTY327810:MTY327814 NDU327810:NDU327814 NNQ327810:NNQ327814 NXM327810:NXM327814 OHI327810:OHI327814 ORE327810:ORE327814 PBA327810:PBA327814 PKW327810:PKW327814 PUS327810:PUS327814 QEO327810:QEO327814 QOK327810:QOK327814 QYG327810:QYG327814 RIC327810:RIC327814 RRY327810:RRY327814 SBU327810:SBU327814 SLQ327810:SLQ327814 SVM327810:SVM327814 TFI327810:TFI327814 TPE327810:TPE327814 TZA327810:TZA327814 UIW327810:UIW327814 USS327810:USS327814 VCO327810:VCO327814 VMK327810:VMK327814 VWG327810:VWG327814 WGC327810:WGC327814 WPY327810:WPY327814 DM393346:DM393350 NI393346:NI393350 XE393346:XE393350 AHA393346:AHA393350 AQW393346:AQW393350 BAS393346:BAS393350 BKO393346:BKO393350 BUK393346:BUK393350 CEG393346:CEG393350 COC393346:COC393350 CXY393346:CXY393350 DHU393346:DHU393350 DRQ393346:DRQ393350 EBM393346:EBM393350 ELI393346:ELI393350 EVE393346:EVE393350 FFA393346:FFA393350 FOW393346:FOW393350 FYS393346:FYS393350 GIO393346:GIO393350 GSK393346:GSK393350 HCG393346:HCG393350 HMC393346:HMC393350 HVY393346:HVY393350 IFU393346:IFU393350 IPQ393346:IPQ393350 IZM393346:IZM393350 JJI393346:JJI393350 JTE393346:JTE393350 KDA393346:KDA393350 KMW393346:KMW393350 KWS393346:KWS393350 LGO393346:LGO393350 LQK393346:LQK393350 MAG393346:MAG393350 MKC393346:MKC393350 MTY393346:MTY393350 NDU393346:NDU393350 NNQ393346:NNQ393350 NXM393346:NXM393350 OHI393346:OHI393350 ORE393346:ORE393350 PBA393346:PBA393350 PKW393346:PKW393350 PUS393346:PUS393350 QEO393346:QEO393350 QOK393346:QOK393350 QYG393346:QYG393350 RIC393346:RIC393350 RRY393346:RRY393350 SBU393346:SBU393350 SLQ393346:SLQ393350 SVM393346:SVM393350 TFI393346:TFI393350 TPE393346:TPE393350 TZA393346:TZA393350 UIW393346:UIW393350 USS393346:USS393350 VCO393346:VCO393350 VMK393346:VMK393350 VWG393346:VWG393350 WGC393346:WGC393350 WPY393346:WPY393350 DM458882:DM458886 NI458882:NI458886 XE458882:XE458886 AHA458882:AHA458886 AQW458882:AQW458886 BAS458882:BAS458886 BKO458882:BKO458886 BUK458882:BUK458886 CEG458882:CEG458886 COC458882:COC458886 CXY458882:CXY458886 DHU458882:DHU458886 DRQ458882:DRQ458886 EBM458882:EBM458886 ELI458882:ELI458886 EVE458882:EVE458886 FFA458882:FFA458886 FOW458882:FOW458886 FYS458882:FYS458886 GIO458882:GIO458886 GSK458882:GSK458886 HCG458882:HCG458886 HMC458882:HMC458886 HVY458882:HVY458886 IFU458882:IFU458886 IPQ458882:IPQ458886 IZM458882:IZM458886 JJI458882:JJI458886 JTE458882:JTE458886 KDA458882:KDA458886 KMW458882:KMW458886 KWS458882:KWS458886 LGO458882:LGO458886 LQK458882:LQK458886 MAG458882:MAG458886 MKC458882:MKC458886 MTY458882:MTY458886 NDU458882:NDU458886 NNQ458882:NNQ458886 NXM458882:NXM458886 OHI458882:OHI458886 ORE458882:ORE458886 PBA458882:PBA458886 PKW458882:PKW458886 PUS458882:PUS458886 QEO458882:QEO458886 QOK458882:QOK458886 QYG458882:QYG458886 RIC458882:RIC458886 RRY458882:RRY458886 SBU458882:SBU458886 SLQ458882:SLQ458886 SVM458882:SVM458886 TFI458882:TFI458886 TPE458882:TPE458886 TZA458882:TZA458886 UIW458882:UIW458886 USS458882:USS458886 VCO458882:VCO458886 VMK458882:VMK458886 VWG458882:VWG458886 WGC458882:WGC458886 WPY458882:WPY458886 DM524418:DM524422 NI524418:NI524422 XE524418:XE524422 AHA524418:AHA524422 AQW524418:AQW524422 BAS524418:BAS524422 BKO524418:BKO524422 BUK524418:BUK524422 CEG524418:CEG524422 COC524418:COC524422 CXY524418:CXY524422 DHU524418:DHU524422 DRQ524418:DRQ524422 EBM524418:EBM524422 ELI524418:ELI524422 EVE524418:EVE524422 FFA524418:FFA524422 FOW524418:FOW524422 FYS524418:FYS524422 GIO524418:GIO524422 GSK524418:GSK524422 HCG524418:HCG524422 HMC524418:HMC524422 HVY524418:HVY524422 IFU524418:IFU524422 IPQ524418:IPQ524422 IZM524418:IZM524422 JJI524418:JJI524422 JTE524418:JTE524422 KDA524418:KDA524422 KMW524418:KMW524422 KWS524418:KWS524422 LGO524418:LGO524422 LQK524418:LQK524422 MAG524418:MAG524422 MKC524418:MKC524422 MTY524418:MTY524422 NDU524418:NDU524422 NNQ524418:NNQ524422 NXM524418:NXM524422 OHI524418:OHI524422 ORE524418:ORE524422 PBA524418:PBA524422 PKW524418:PKW524422 PUS524418:PUS524422 QEO524418:QEO524422 QOK524418:QOK524422 QYG524418:QYG524422 RIC524418:RIC524422 RRY524418:RRY524422 SBU524418:SBU524422 SLQ524418:SLQ524422 SVM524418:SVM524422 TFI524418:TFI524422 TPE524418:TPE524422 TZA524418:TZA524422 UIW524418:UIW524422 USS524418:USS524422 VCO524418:VCO524422 VMK524418:VMK524422 VWG524418:VWG524422 WGC524418:WGC524422 WPY524418:WPY524422 DM589954:DM589958 NI589954:NI589958 XE589954:XE589958 AHA589954:AHA589958 AQW589954:AQW589958 BAS589954:BAS589958 BKO589954:BKO589958 BUK589954:BUK589958 CEG589954:CEG589958 COC589954:COC589958 CXY589954:CXY589958 DHU589954:DHU589958 DRQ589954:DRQ589958 EBM589954:EBM589958 ELI589954:ELI589958 EVE589954:EVE589958 FFA589954:FFA589958 FOW589954:FOW589958 FYS589954:FYS589958 GIO589954:GIO589958 GSK589954:GSK589958 HCG589954:HCG589958 HMC589954:HMC589958 HVY589954:HVY589958 IFU589954:IFU589958 IPQ589954:IPQ589958 IZM589954:IZM589958 JJI589954:JJI589958 JTE589954:JTE589958 KDA589954:KDA589958 KMW589954:KMW589958 KWS589954:KWS589958 LGO589954:LGO589958 LQK589954:LQK589958 MAG589954:MAG589958 MKC589954:MKC589958 MTY589954:MTY589958 NDU589954:NDU589958 NNQ589954:NNQ589958 NXM589954:NXM589958 OHI589954:OHI589958 ORE589954:ORE589958 PBA589954:PBA589958 PKW589954:PKW589958 PUS589954:PUS589958 QEO589954:QEO589958 QOK589954:QOK589958 QYG589954:QYG589958 RIC589954:RIC589958 RRY589954:RRY589958 SBU589954:SBU589958 SLQ589954:SLQ589958 SVM589954:SVM589958 TFI589954:TFI589958 TPE589954:TPE589958 TZA589954:TZA589958 UIW589954:UIW589958 USS589954:USS589958 VCO589954:VCO589958 VMK589954:VMK589958 VWG589954:VWG589958 WGC589954:WGC589958 WPY589954:WPY589958 DM655490:DM655494 NI655490:NI655494 XE655490:XE655494 AHA655490:AHA655494 AQW655490:AQW655494 BAS655490:BAS655494 BKO655490:BKO655494 BUK655490:BUK655494 CEG655490:CEG655494 COC655490:COC655494 CXY655490:CXY655494 DHU655490:DHU655494 DRQ655490:DRQ655494 EBM655490:EBM655494 ELI655490:ELI655494 EVE655490:EVE655494 FFA655490:FFA655494 FOW655490:FOW655494 FYS655490:FYS655494 GIO655490:GIO655494 GSK655490:GSK655494 HCG655490:HCG655494 HMC655490:HMC655494 HVY655490:HVY655494 IFU655490:IFU655494 IPQ655490:IPQ655494 IZM655490:IZM655494 JJI655490:JJI655494 JTE655490:JTE655494 KDA655490:KDA655494 KMW655490:KMW655494 KWS655490:KWS655494 LGO655490:LGO655494 LQK655490:LQK655494 MAG655490:MAG655494 MKC655490:MKC655494 MTY655490:MTY655494 NDU655490:NDU655494 NNQ655490:NNQ655494 NXM655490:NXM655494 OHI655490:OHI655494 ORE655490:ORE655494 PBA655490:PBA655494 PKW655490:PKW655494 PUS655490:PUS655494 QEO655490:QEO655494 QOK655490:QOK655494 QYG655490:QYG655494 RIC655490:RIC655494 RRY655490:RRY655494 SBU655490:SBU655494 SLQ655490:SLQ655494 SVM655490:SVM655494 TFI655490:TFI655494 TPE655490:TPE655494 TZA655490:TZA655494 UIW655490:UIW655494 USS655490:USS655494 VCO655490:VCO655494 VMK655490:VMK655494 VWG655490:VWG655494 WGC655490:WGC655494 WPY655490:WPY655494 DM721026:DM721030 NI721026:NI721030 XE721026:XE721030 AHA721026:AHA721030 AQW721026:AQW721030 BAS721026:BAS721030 BKO721026:BKO721030 BUK721026:BUK721030 CEG721026:CEG721030 COC721026:COC721030 CXY721026:CXY721030 DHU721026:DHU721030 DRQ721026:DRQ721030 EBM721026:EBM721030 ELI721026:ELI721030 EVE721026:EVE721030 FFA721026:FFA721030 FOW721026:FOW721030 FYS721026:FYS721030 GIO721026:GIO721030 GSK721026:GSK721030 HCG721026:HCG721030 HMC721026:HMC721030 HVY721026:HVY721030 IFU721026:IFU721030 IPQ721026:IPQ721030 IZM721026:IZM721030 JJI721026:JJI721030 JTE721026:JTE721030 KDA721026:KDA721030 KMW721026:KMW721030 KWS721026:KWS721030 LGO721026:LGO721030 LQK721026:LQK721030 MAG721026:MAG721030 MKC721026:MKC721030 MTY721026:MTY721030 NDU721026:NDU721030 NNQ721026:NNQ721030 NXM721026:NXM721030 OHI721026:OHI721030 ORE721026:ORE721030 PBA721026:PBA721030 PKW721026:PKW721030 PUS721026:PUS721030 QEO721026:QEO721030 QOK721026:QOK721030 QYG721026:QYG721030 RIC721026:RIC721030 RRY721026:RRY721030 SBU721026:SBU721030 SLQ721026:SLQ721030 SVM721026:SVM721030 TFI721026:TFI721030 TPE721026:TPE721030 TZA721026:TZA721030 UIW721026:UIW721030 USS721026:USS721030 VCO721026:VCO721030 VMK721026:VMK721030 VWG721026:VWG721030 WGC721026:WGC721030 WPY721026:WPY721030 DM786562:DM786566 NI786562:NI786566 XE786562:XE786566 AHA786562:AHA786566 AQW786562:AQW786566 BAS786562:BAS786566 BKO786562:BKO786566 BUK786562:BUK786566 CEG786562:CEG786566 COC786562:COC786566 CXY786562:CXY786566 DHU786562:DHU786566 DRQ786562:DRQ786566 EBM786562:EBM786566 ELI786562:ELI786566 EVE786562:EVE786566 FFA786562:FFA786566 FOW786562:FOW786566 FYS786562:FYS786566 GIO786562:GIO786566 GSK786562:GSK786566 HCG786562:HCG786566 HMC786562:HMC786566 HVY786562:HVY786566 IFU786562:IFU786566 IPQ786562:IPQ786566 IZM786562:IZM786566 JJI786562:JJI786566 JTE786562:JTE786566 KDA786562:KDA786566 KMW786562:KMW786566 KWS786562:KWS786566 LGO786562:LGO786566 LQK786562:LQK786566 MAG786562:MAG786566 MKC786562:MKC786566 MTY786562:MTY786566 NDU786562:NDU786566 NNQ786562:NNQ786566 NXM786562:NXM786566 OHI786562:OHI786566 ORE786562:ORE786566 PBA786562:PBA786566 PKW786562:PKW786566 PUS786562:PUS786566 QEO786562:QEO786566 QOK786562:QOK786566 QYG786562:QYG786566 RIC786562:RIC786566 RRY786562:RRY786566 SBU786562:SBU786566 SLQ786562:SLQ786566 SVM786562:SVM786566 TFI786562:TFI786566 TPE786562:TPE786566 TZA786562:TZA786566 UIW786562:UIW786566 USS786562:USS786566 VCO786562:VCO786566 VMK786562:VMK786566 VWG786562:VWG786566 WGC786562:WGC786566 WPY786562:WPY786566 DM852098:DM852102 NI852098:NI852102 XE852098:XE852102 AHA852098:AHA852102 AQW852098:AQW852102 BAS852098:BAS852102 BKO852098:BKO852102 BUK852098:BUK852102 CEG852098:CEG852102 COC852098:COC852102 CXY852098:CXY852102 DHU852098:DHU852102 DRQ852098:DRQ852102 EBM852098:EBM852102 ELI852098:ELI852102 EVE852098:EVE852102 FFA852098:FFA852102 FOW852098:FOW852102 FYS852098:FYS852102 GIO852098:GIO852102 GSK852098:GSK852102 HCG852098:HCG852102 HMC852098:HMC852102 HVY852098:HVY852102 IFU852098:IFU852102 IPQ852098:IPQ852102 IZM852098:IZM852102 JJI852098:JJI852102 JTE852098:JTE852102 KDA852098:KDA852102 KMW852098:KMW852102 KWS852098:KWS852102 LGO852098:LGO852102 LQK852098:LQK852102 MAG852098:MAG852102 MKC852098:MKC852102 MTY852098:MTY852102 NDU852098:NDU852102 NNQ852098:NNQ852102 NXM852098:NXM852102 OHI852098:OHI852102 ORE852098:ORE852102 PBA852098:PBA852102 PKW852098:PKW852102 PUS852098:PUS852102 QEO852098:QEO852102 QOK852098:QOK852102 QYG852098:QYG852102 RIC852098:RIC852102 RRY852098:RRY852102 SBU852098:SBU852102 SLQ852098:SLQ852102 SVM852098:SVM852102 TFI852098:TFI852102 TPE852098:TPE852102 TZA852098:TZA852102 UIW852098:UIW852102 USS852098:USS852102 VCO852098:VCO852102 VMK852098:VMK852102 VWG852098:VWG852102 WGC852098:WGC852102 WPY852098:WPY852102 DM917634:DM917638 NI917634:NI917638 XE917634:XE917638 AHA917634:AHA917638 AQW917634:AQW917638 BAS917634:BAS917638 BKO917634:BKO917638 BUK917634:BUK917638 CEG917634:CEG917638 COC917634:COC917638 CXY917634:CXY917638 DHU917634:DHU917638 DRQ917634:DRQ917638 EBM917634:EBM917638 ELI917634:ELI917638 EVE917634:EVE917638 FFA917634:FFA917638 FOW917634:FOW917638 FYS917634:FYS917638 GIO917634:GIO917638 GSK917634:GSK917638 HCG917634:HCG917638 HMC917634:HMC917638 HVY917634:HVY917638 IFU917634:IFU917638 IPQ917634:IPQ917638 IZM917634:IZM917638 JJI917634:JJI917638 JTE917634:JTE917638 KDA917634:KDA917638 KMW917634:KMW917638 KWS917634:KWS917638 LGO917634:LGO917638 LQK917634:LQK917638 MAG917634:MAG917638 MKC917634:MKC917638 MTY917634:MTY917638 NDU917634:NDU917638 NNQ917634:NNQ917638 NXM917634:NXM917638 OHI917634:OHI917638 ORE917634:ORE917638 PBA917634:PBA917638 PKW917634:PKW917638 PUS917634:PUS917638 QEO917634:QEO917638 QOK917634:QOK917638 QYG917634:QYG917638 RIC917634:RIC917638 RRY917634:RRY917638 SBU917634:SBU917638 SLQ917634:SLQ917638 SVM917634:SVM917638 TFI917634:TFI917638 TPE917634:TPE917638 TZA917634:TZA917638 UIW917634:UIW917638 USS917634:USS917638 VCO917634:VCO917638 VMK917634:VMK917638 VWG917634:VWG917638 WGC917634:WGC917638 WPY917634:WPY917638 DM983170:DM983174 NI983170:NI983174 XE983170:XE983174 AHA983170:AHA983174 AQW983170:AQW983174 BAS983170:BAS983174 BKO983170:BKO983174 BUK983170:BUK983174 CEG983170:CEG983174 COC983170:COC983174 CXY983170:CXY983174 DHU983170:DHU983174 DRQ983170:DRQ983174 EBM983170:EBM983174 ELI983170:ELI983174 EVE983170:EVE983174 FFA983170:FFA983174 FOW983170:FOW983174 FYS983170:FYS983174 GIO983170:GIO983174 GSK983170:GSK983174 HCG983170:HCG983174 HMC983170:HMC983174 HVY983170:HVY983174 IFU983170:IFU983174 IPQ983170:IPQ983174 IZM983170:IZM983174 JJI983170:JJI983174 JTE983170:JTE983174 KDA983170:KDA983174 KMW983170:KMW983174 KWS983170:KWS983174 LGO983170:LGO983174 LQK983170:LQK983174 MAG983170:MAG983174 MKC983170:MKC983174 MTY983170:MTY983174 NDU983170:NDU983174 NNQ983170:NNQ983174 NXM983170:NXM983174 OHI983170:OHI983174 ORE983170:ORE983174 PBA983170:PBA983174 PKW983170:PKW983174 PUS983170:PUS983174 QEO983170:QEO983174 QOK983170:QOK983174 QYG983170:QYG983174 RIC983170:RIC983174 RRY983170:RRY983174 SBU983170:SBU983174 SLQ983170:SLQ983174 SVM983170:SVM983174 TFI983170:TFI983174 TPE983170:TPE983174 TZA983170:TZA983174 UIW983170:UIW983174 USS983170:USS983174 VCO983170:VCO983174 VMK983170:VMK983174 VWG983170:VWG983174 WGC983170:WGC983174 WPY983170:WPY983174 DM65717 NI65717 XE65717 AHA65717 AQW65717 BAS65717 BKO65717 BUK65717 CEG65717 COC65717 CXY65717 DHU65717 DRQ65717 EBM65717 ELI65717 EVE65717 FFA65717 FOW65717 FYS65717 GIO65717 GSK65717 HCG65717 HMC65717 HVY65717 IFU65717 IPQ65717 IZM65717 JJI65717 JTE65717 KDA65717 KMW65717 KWS65717 LGO65717 LQK65717 MAG65717 MKC65717 MTY65717 NDU65717 NNQ65717 NXM65717 OHI65717 ORE65717 PBA65717 PKW65717 PUS65717 QEO65717 QOK65717 QYG65717 RIC65717 RRY65717 SBU65717 SLQ65717 SVM65717 TFI65717 TPE65717 TZA65717 UIW65717 USS65717 VCO65717 VMK65717 VWG65717 WGC65717 WPY65717 DM131253 NI131253 XE131253 AHA131253 AQW131253 BAS131253 BKO131253 BUK131253 CEG131253 COC131253 CXY131253 DHU131253 DRQ131253 EBM131253 ELI131253 EVE131253 FFA131253 FOW131253 FYS131253 GIO131253 GSK131253 HCG131253 HMC131253 HVY131253 IFU131253 IPQ131253 IZM131253 JJI131253 JTE131253 KDA131253 KMW131253 KWS131253 LGO131253 LQK131253 MAG131253 MKC131253 MTY131253 NDU131253 NNQ131253 NXM131253 OHI131253 ORE131253 PBA131253 PKW131253 PUS131253 QEO131253 QOK131253 QYG131253 RIC131253 RRY131253 SBU131253 SLQ131253 SVM131253 TFI131253 TPE131253 TZA131253 UIW131253 USS131253 VCO131253 VMK131253 VWG131253 WGC131253 WPY131253 DM196789 NI196789 XE196789 AHA196789 AQW196789 BAS196789 BKO196789 BUK196789 CEG196789 COC196789 CXY196789 DHU196789 DRQ196789 EBM196789 ELI196789 EVE196789 FFA196789 FOW196789 FYS196789 GIO196789 GSK196789 HCG196789 HMC196789 HVY196789 IFU196789 IPQ196789 IZM196789 JJI196789 JTE196789 KDA196789 KMW196789 KWS196789 LGO196789 LQK196789 MAG196789 MKC196789 MTY196789 NDU196789 NNQ196789 NXM196789 OHI196789 ORE196789 PBA196789 PKW196789 PUS196789 QEO196789 QOK196789 QYG196789 RIC196789 RRY196789 SBU196789 SLQ196789 SVM196789 TFI196789 TPE196789 TZA196789 UIW196789 USS196789 VCO196789 VMK196789 VWG196789 WGC196789 WPY196789 DM262325 NI262325 XE262325 AHA262325 AQW262325 BAS262325 BKO262325 BUK262325 CEG262325 COC262325 CXY262325 DHU262325 DRQ262325 EBM262325 ELI262325 EVE262325 FFA262325 FOW262325 FYS262325 GIO262325 GSK262325 HCG262325 HMC262325 HVY262325 IFU262325 IPQ262325 IZM262325 JJI262325 JTE262325 KDA262325 KMW262325 KWS262325 LGO262325 LQK262325 MAG262325 MKC262325 MTY262325 NDU262325 NNQ262325 NXM262325 OHI262325 ORE262325 PBA262325 PKW262325 PUS262325 QEO262325 QOK262325 QYG262325 RIC262325 RRY262325 SBU262325 SLQ262325 SVM262325 TFI262325 TPE262325 TZA262325 UIW262325 USS262325 VCO262325 VMK262325 VWG262325 WGC262325 WPY262325 DM327861 NI327861 XE327861 AHA327861 AQW327861 BAS327861 BKO327861 BUK327861 CEG327861 COC327861 CXY327861 DHU327861 DRQ327861 EBM327861 ELI327861 EVE327861 FFA327861 FOW327861 FYS327861 GIO327861 GSK327861 HCG327861 HMC327861 HVY327861 IFU327861 IPQ327861 IZM327861 JJI327861 JTE327861 KDA327861 KMW327861 KWS327861 LGO327861 LQK327861 MAG327861 MKC327861 MTY327861 NDU327861 NNQ327861 NXM327861 OHI327861 ORE327861 PBA327861 PKW327861 PUS327861 QEO327861 QOK327861 QYG327861 RIC327861 RRY327861 SBU327861 SLQ327861 SVM327861 TFI327861 TPE327861 TZA327861 UIW327861 USS327861 VCO327861 VMK327861 VWG327861 WGC327861 WPY327861 DM393397 NI393397 XE393397 AHA393397 AQW393397 BAS393397 BKO393397 BUK393397 CEG393397 COC393397 CXY393397 DHU393397 DRQ393397 EBM393397 ELI393397 EVE393397 FFA393397 FOW393397 FYS393397 GIO393397 GSK393397 HCG393397 HMC393397 HVY393397 IFU393397 IPQ393397 IZM393397 JJI393397 JTE393397 KDA393397 KMW393397 KWS393397 LGO393397 LQK393397 MAG393397 MKC393397 MTY393397 NDU393397 NNQ393397 NXM393397 OHI393397 ORE393397 PBA393397 PKW393397 PUS393397 QEO393397 QOK393397 QYG393397 RIC393397 RRY393397 SBU393397 SLQ393397 SVM393397 TFI393397 TPE393397 TZA393397 UIW393397 USS393397 VCO393397 VMK393397 VWG393397 WGC393397 WPY393397 DM458933 NI458933 XE458933 AHA458933 AQW458933 BAS458933 BKO458933 BUK458933 CEG458933 COC458933 CXY458933 DHU458933 DRQ458933 EBM458933 ELI458933 EVE458933 FFA458933 FOW458933 FYS458933 GIO458933 GSK458933 HCG458933 HMC458933 HVY458933 IFU458933 IPQ458933 IZM458933 JJI458933 JTE458933 KDA458933 KMW458933 KWS458933 LGO458933 LQK458933 MAG458933 MKC458933 MTY458933 NDU458933 NNQ458933 NXM458933 OHI458933 ORE458933 PBA458933 PKW458933 PUS458933 QEO458933 QOK458933 QYG458933 RIC458933 RRY458933 SBU458933 SLQ458933 SVM458933 TFI458933 TPE458933 TZA458933 UIW458933 USS458933 VCO458933 VMK458933 VWG458933 WGC458933 WPY458933 DM524469 NI524469 XE524469 AHA524469 AQW524469 BAS524469 BKO524469 BUK524469 CEG524469 COC524469 CXY524469 DHU524469 DRQ524469 EBM524469 ELI524469 EVE524469 FFA524469 FOW524469 FYS524469 GIO524469 GSK524469 HCG524469 HMC524469 HVY524469 IFU524469 IPQ524469 IZM524469 JJI524469 JTE524469 KDA524469 KMW524469 KWS524469 LGO524469 LQK524469 MAG524469 MKC524469 MTY524469 NDU524469 NNQ524469 NXM524469 OHI524469 ORE524469 PBA524469 PKW524469 PUS524469 QEO524469 QOK524469 QYG524469 RIC524469 RRY524469 SBU524469 SLQ524469 SVM524469 TFI524469 TPE524469 TZA524469 UIW524469 USS524469 VCO524469 VMK524469 VWG524469 WGC524469 WPY524469 DM590005 NI590005 XE590005 AHA590005 AQW590005 BAS590005 BKO590005 BUK590005 CEG590005 COC590005 CXY590005 DHU590005 DRQ590005 EBM590005 ELI590005 EVE590005 FFA590005 FOW590005 FYS590005 GIO590005 GSK590005 HCG590005 HMC590005 HVY590005 IFU590005 IPQ590005 IZM590005 JJI590005 JTE590005 KDA590005 KMW590005 KWS590005 LGO590005 LQK590005 MAG590005 MKC590005 MTY590005 NDU590005 NNQ590005 NXM590005 OHI590005 ORE590005 PBA590005 PKW590005 PUS590005 QEO590005 QOK590005 QYG590005 RIC590005 RRY590005 SBU590005 SLQ590005 SVM590005 TFI590005 TPE590005 TZA590005 UIW590005 USS590005 VCO590005 VMK590005 VWG590005 WGC590005 WPY590005 DM655541 NI655541 XE655541 AHA655541 AQW655541 BAS655541 BKO655541 BUK655541 CEG655541 COC655541 CXY655541 DHU655541 DRQ655541 EBM655541 ELI655541 EVE655541 FFA655541 FOW655541 FYS655541 GIO655541 GSK655541 HCG655541 HMC655541 HVY655541 IFU655541 IPQ655541 IZM655541 JJI655541 JTE655541 KDA655541 KMW655541 KWS655541 LGO655541 LQK655541 MAG655541 MKC655541 MTY655541 NDU655541 NNQ655541 NXM655541 OHI655541 ORE655541 PBA655541 PKW655541 PUS655541 QEO655541 QOK655541 QYG655541 RIC655541 RRY655541 SBU655541 SLQ655541 SVM655541 TFI655541 TPE655541 TZA655541 UIW655541 USS655541 VCO655541 VMK655541 VWG655541 WGC655541 WPY655541 DM721077 NI721077 XE721077 AHA721077 AQW721077 BAS721077 BKO721077 BUK721077 CEG721077 COC721077 CXY721077 DHU721077 DRQ721077 EBM721077 ELI721077 EVE721077 FFA721077 FOW721077 FYS721077 GIO721077 GSK721077 HCG721077 HMC721077 HVY721077 IFU721077 IPQ721077 IZM721077 JJI721077 JTE721077 KDA721077 KMW721077 KWS721077 LGO721077 LQK721077 MAG721077 MKC721077 MTY721077 NDU721077 NNQ721077 NXM721077 OHI721077 ORE721077 PBA721077 PKW721077 PUS721077 QEO721077 QOK721077 QYG721077 RIC721077 RRY721077 SBU721077 SLQ721077 SVM721077 TFI721077 TPE721077 TZA721077 UIW721077 USS721077 VCO721077 VMK721077 VWG721077 WGC721077 WPY721077 DM786613 NI786613 XE786613 AHA786613 AQW786613 BAS786613 BKO786613 BUK786613 CEG786613 COC786613 CXY786613 DHU786613 DRQ786613 EBM786613 ELI786613 EVE786613 FFA786613 FOW786613 FYS786613 GIO786613 GSK786613 HCG786613 HMC786613 HVY786613 IFU786613 IPQ786613 IZM786613 JJI786613 JTE786613 KDA786613 KMW786613 KWS786613 LGO786613 LQK786613 MAG786613 MKC786613 MTY786613 NDU786613 NNQ786613 NXM786613 OHI786613 ORE786613 PBA786613 PKW786613 PUS786613 QEO786613 QOK786613 QYG786613 RIC786613 RRY786613 SBU786613 SLQ786613 SVM786613 TFI786613 TPE786613 TZA786613 UIW786613 USS786613 VCO786613 VMK786613 VWG786613 WGC786613 WPY786613 DM852149 NI852149 XE852149 AHA852149 AQW852149 BAS852149 BKO852149 BUK852149 CEG852149 COC852149 CXY852149 DHU852149 DRQ852149 EBM852149 ELI852149 EVE852149 FFA852149 FOW852149 FYS852149 GIO852149 GSK852149 HCG852149 HMC852149 HVY852149 IFU852149 IPQ852149 IZM852149 JJI852149 JTE852149 KDA852149 KMW852149 KWS852149 LGO852149 LQK852149 MAG852149 MKC852149 MTY852149 NDU852149 NNQ852149 NXM852149 OHI852149 ORE852149 PBA852149 PKW852149 PUS852149 QEO852149 QOK852149 QYG852149 RIC852149 RRY852149 SBU852149 SLQ852149 SVM852149 TFI852149 TPE852149 TZA852149 UIW852149 USS852149 VCO852149 VMK852149 VWG852149 WGC852149 WPY852149 DM917685 NI917685 XE917685 AHA917685 AQW917685 BAS917685 BKO917685 BUK917685 CEG917685 COC917685 CXY917685 DHU917685 DRQ917685 EBM917685 ELI917685 EVE917685 FFA917685 FOW917685 FYS917685 GIO917685 GSK917685 HCG917685 HMC917685 HVY917685 IFU917685 IPQ917685 IZM917685 JJI917685 JTE917685 KDA917685 KMW917685 KWS917685 LGO917685 LQK917685 MAG917685 MKC917685 MTY917685 NDU917685 NNQ917685 NXM917685 OHI917685 ORE917685 PBA917685 PKW917685 PUS917685 QEO917685 QOK917685 QYG917685 RIC917685 RRY917685 SBU917685 SLQ917685 SVM917685 TFI917685 TPE917685 TZA917685 UIW917685 USS917685 VCO917685 VMK917685 VWG917685 WGC917685 WPY917685 DM983221 NI983221 XE983221 AHA983221 AQW983221 BAS983221 BKO983221 BUK983221 CEG983221 COC983221 CXY983221 DHU983221 DRQ983221 EBM983221 ELI983221 EVE983221 FFA983221 FOW983221 FYS983221 GIO983221 GSK983221 HCG983221 HMC983221 HVY983221 IFU983221 IPQ983221 IZM983221 JJI983221 JTE983221 KDA983221 KMW983221 KWS983221 LGO983221 LQK983221 MAG983221 MKC983221 MTY983221 NDU983221 NNQ983221 NXM983221 OHI983221 ORE983221 PBA983221 PKW983221 PUS983221 QEO983221 QOK983221 QYG983221 RIC983221 RRY983221 SBU983221 SLQ983221 SVM983221 TFI983221 TPE983221 TZA983221 UIW983221 USS983221 VCO983221 VMK983221 VWG983221 WGC983221 DM10:DM18 WPY10:WPY18 WGC10:WGC18 VWG10:VWG18 VMK10:VMK18 VCO10:VCO18 USS10:USS18 UIW10:UIW18 TZA10:TZA18 TPE10:TPE18 TFI10:TFI18 SVM10:SVM18 SLQ10:SLQ18 SBU10:SBU18 RRY10:RRY18 RIC10:RIC18 QYG10:QYG18 QOK10:QOK18 QEO10:QEO18 PUS10:PUS18 PKW10:PKW18 PBA10:PBA18 ORE10:ORE18 OHI10:OHI18 NXM10:NXM18 NNQ10:NNQ18 NDU10:NDU18 MTY10:MTY18 MKC10:MKC18 MAG10:MAG18 LQK10:LQK18 LGO10:LGO18 KWS10:KWS18 KMW10:KMW18 KDA10:KDA18 JTE10:JTE18 JJI10:JJI18 IZM10:IZM18 IPQ10:IPQ18 IFU10:IFU18 HVY10:HVY18 HMC10:HMC18 HCG10:HCG18 GSK10:GSK18 GIO10:GIO18 FYS10:FYS18 FOW10:FOW18 FFA10:FFA18 EVE10:EVE18 ELI10:ELI18 EBM10:EBM18 DRQ10:DRQ18 DHU10:DHU18 CXY10:CXY18 COC10:COC18 CEG10:CEG18 BUK10:BUK18 BKO10:BKO18 BAS10:BAS18 AQW10:AQW18 AHA10:AHA18 XE10:XE18 NI10:NI18 AHA21:AHA195 XE21:XE195 NI21:NI195 DM21:DM195 WPY21:WPY195 WGC21:WGC195 VWG21:VWG195 VMK21:VMK195 VCO21:VCO195 USS21:USS195 UIW21:UIW195 TZA21:TZA195 TPE21:TPE195 TFI21:TFI195 SVM21:SVM195 SLQ21:SLQ195 SBU21:SBU195 RRY21:RRY195 RIC21:RIC195 QYG21:QYG195 QOK21:QOK195 QEO21:QEO195 PUS21:PUS195 PKW21:PKW195 PBA21:PBA195 ORE21:ORE195 OHI21:OHI195 NXM21:NXM195 NNQ21:NNQ195 NDU21:NDU195 MTY21:MTY195 MKC21:MKC195 MAG21:MAG195 LQK21:LQK195 LGO21:LGO195 KWS21:KWS195 KMW21:KMW195 KDA21:KDA195 JTE21:JTE195 JJI21:JJI195 IZM21:IZM195 IPQ21:IPQ195 IFU21:IFU195 HVY21:HVY195 HMC21:HMC195 HCG21:HCG195 GSK21:GSK195 GIO21:GIO195 FYS21:FYS195 FOW21:FOW195 FFA21:FFA195 EVE21:EVE195 ELI21:ELI195 EBM21:EBM195 DRQ21:DRQ195 DHU21:DHU195 CXY21:CXY195 COC21:COC195 CEG21:CEG195 BUK21:BUK195 BKO21:BKO195 BAS21:BAS195 AQW21:AQW195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0D68-B00D-4D51-92D4-5E0DDCF0510C}">
  <sheetPr codeName="Sheet8"/>
  <dimension ref="B1:Q63"/>
  <sheetViews>
    <sheetView showGridLines="0" zoomScaleNormal="100" workbookViewId="0">
      <pane xSplit="3" ySplit="6" topLeftCell="D7" activePane="bottomRight" state="frozen"/>
      <selection pane="topRight" activeCell="D1" sqref="D1"/>
      <selection pane="bottomLeft" activeCell="A6" sqref="A6"/>
      <selection pane="bottomRight"/>
    </sheetView>
  </sheetViews>
  <sheetFormatPr defaultColWidth="9" defaultRowHeight="12.75"/>
  <cols>
    <col min="1" max="1" width="3.42578125" style="434" customWidth="1"/>
    <col min="2" max="2" width="20.7109375" style="434" customWidth="1"/>
    <col min="3" max="3" width="59.7109375" style="434" customWidth="1"/>
    <col min="4" max="7" width="12.7109375" style="434" customWidth="1"/>
    <col min="8" max="8" width="16" style="434" customWidth="1"/>
    <col min="9" max="9" width="17.28515625" style="434" customWidth="1"/>
    <col min="10" max="16384" width="9" style="434"/>
  </cols>
  <sheetData>
    <row r="1" spans="2:17" s="475" customFormat="1" ht="15" customHeight="1">
      <c r="B1" s="433" t="s">
        <v>0</v>
      </c>
      <c r="C1" s="433"/>
      <c r="D1" s="520"/>
      <c r="E1" s="734"/>
      <c r="F1" s="734"/>
      <c r="G1" s="734"/>
      <c r="H1" s="734"/>
      <c r="I1" s="474"/>
      <c r="J1" s="474"/>
      <c r="K1" s="474"/>
      <c r="L1" s="474"/>
      <c r="M1" s="474"/>
      <c r="N1" s="474"/>
      <c r="O1" s="474"/>
      <c r="P1" s="474"/>
      <c r="Q1" s="474"/>
    </row>
    <row r="2" spans="2:17" s="475" customFormat="1" ht="18" customHeight="1">
      <c r="B2" s="286" t="s">
        <v>256</v>
      </c>
      <c r="C2" s="1285" t="s">
        <v>2660</v>
      </c>
      <c r="D2" s="281" t="str">
        <f>IF(OR(Registration!$C$23=Lists!$B$5,Registration!$C$23=Lists!$B$6),"Applied","Not Applied")</f>
        <v>Not Applied</v>
      </c>
    </row>
    <row r="3" spans="2:17" s="475" customFormat="1" ht="93" customHeight="1"/>
    <row r="4" spans="2:17" s="475" customFormat="1" ht="18" customHeight="1">
      <c r="D4" s="830"/>
      <c r="E4" s="474"/>
      <c r="F4" s="474"/>
      <c r="I4" s="474"/>
    </row>
    <row r="5" spans="2:17" s="475" customFormat="1" ht="18" customHeight="1">
      <c r="D5" s="1302" t="s">
        <v>14</v>
      </c>
      <c r="E5" s="1324"/>
      <c r="F5" s="1324"/>
      <c r="G5" s="1324"/>
      <c r="H5" s="1303"/>
      <c r="I5" s="474"/>
    </row>
    <row r="6" spans="2:17" ht="28.9" customHeight="1">
      <c r="B6" s="773" t="s">
        <v>2661</v>
      </c>
      <c r="C6" s="773" t="s">
        <v>1590</v>
      </c>
      <c r="D6" s="773" t="s">
        <v>2475</v>
      </c>
      <c r="E6" s="773" t="s">
        <v>2</v>
      </c>
      <c r="F6" s="773" t="s">
        <v>244</v>
      </c>
      <c r="G6" s="773" t="s">
        <v>2</v>
      </c>
      <c r="H6" s="773" t="s">
        <v>2662</v>
      </c>
    </row>
    <row r="7" spans="2:17">
      <c r="B7" s="883" t="str">
        <f>TOV!C156</f>
        <v>#3.72</v>
      </c>
      <c r="C7" s="1325" t="str">
        <f>VLOOKUP(B7,TOV!$C$156:$E$189,3,FALSE)</f>
        <v>Temporary camp - &lt;= 20 persons</v>
      </c>
      <c r="D7" s="1326">
        <v>0</v>
      </c>
      <c r="E7" s="664" t="s">
        <v>2663</v>
      </c>
      <c r="F7" s="1327">
        <f>VLOOKUP(C7,'3. Infrastructure'!$E$335:$H$364,4,FALSE)</f>
        <v>0</v>
      </c>
      <c r="G7" s="1327" t="s">
        <v>1489</v>
      </c>
      <c r="H7" s="1327">
        <f t="shared" ref="H7:H36" si="0">D7*F7</f>
        <v>0</v>
      </c>
    </row>
    <row r="8" spans="2:17">
      <c r="B8" s="883" t="str">
        <f>TOV!C157</f>
        <v>#3.73</v>
      </c>
      <c r="C8" s="1325" t="str">
        <f>VLOOKUP(B8,TOV!$C$156:$E$189,3,FALSE)</f>
        <v>Temporary camp - &gt; 20 and &lt;= 50 persons</v>
      </c>
      <c r="D8" s="1326">
        <v>0</v>
      </c>
      <c r="E8" s="664" t="s">
        <v>2663</v>
      </c>
      <c r="F8" s="1327">
        <f>VLOOKUP(C8,'3. Infrastructure'!$E$335:$H$364,4,FALSE)</f>
        <v>0</v>
      </c>
      <c r="G8" s="1327" t="s">
        <v>1489</v>
      </c>
      <c r="H8" s="1327">
        <f t="shared" si="0"/>
        <v>0</v>
      </c>
    </row>
    <row r="9" spans="2:17">
      <c r="B9" s="883" t="str">
        <f>TOV!C158</f>
        <v>#3.74</v>
      </c>
      <c r="C9" s="1325" t="str">
        <f>VLOOKUP(B9,TOV!$C$156:$E$189,3,FALSE)</f>
        <v>Temporary camp - &gt; 50 and &lt;= 100 persons</v>
      </c>
      <c r="D9" s="1326">
        <v>0</v>
      </c>
      <c r="E9" s="664" t="s">
        <v>2663</v>
      </c>
      <c r="F9" s="1327">
        <f>VLOOKUP(C9,'3. Infrastructure'!$E$335:$H$364,4,FALSE)</f>
        <v>0</v>
      </c>
      <c r="G9" s="1327" t="s">
        <v>1489</v>
      </c>
      <c r="H9" s="1327">
        <f t="shared" si="0"/>
        <v>0</v>
      </c>
    </row>
    <row r="10" spans="2:17">
      <c r="B10" s="883" t="str">
        <f>TOV!C159</f>
        <v>#3.75</v>
      </c>
      <c r="C10" s="1325" t="str">
        <f>VLOOKUP(B10,TOV!$C$156:$E$189,3,FALSE)</f>
        <v>Temporary camp - &gt; 100 and &lt;= 150 persons</v>
      </c>
      <c r="D10" s="1326">
        <v>49.199999999999996</v>
      </c>
      <c r="E10" s="664" t="s">
        <v>2663</v>
      </c>
      <c r="F10" s="1327">
        <f>VLOOKUP(C10,'3. Infrastructure'!$E$335:$H$364,4,FALSE)</f>
        <v>0</v>
      </c>
      <c r="G10" s="1327" t="s">
        <v>1489</v>
      </c>
      <c r="H10" s="1327">
        <f t="shared" si="0"/>
        <v>0</v>
      </c>
    </row>
    <row r="11" spans="2:17">
      <c r="B11" s="883" t="str">
        <f>TOV!C160</f>
        <v>#3.76</v>
      </c>
      <c r="C11" s="1325" t="str">
        <f>VLOOKUP(B11,TOV!$C$156:$E$189,3,FALSE)</f>
        <v>Temporary camp - &gt; 150 and &lt;= 200 persons</v>
      </c>
      <c r="D11" s="1326">
        <v>49.199999999999996</v>
      </c>
      <c r="E11" s="664" t="s">
        <v>2663</v>
      </c>
      <c r="F11" s="1327">
        <f>VLOOKUP(C11,'3. Infrastructure'!$E$335:$H$364,4,FALSE)</f>
        <v>0</v>
      </c>
      <c r="G11" s="1327" t="s">
        <v>1489</v>
      </c>
      <c r="H11" s="1327">
        <f t="shared" si="0"/>
        <v>0</v>
      </c>
    </row>
    <row r="12" spans="2:17">
      <c r="B12" s="883" t="str">
        <f>TOV!C161</f>
        <v>#3.77</v>
      </c>
      <c r="C12" s="1325" t="str">
        <f>VLOOKUP(B12,TOV!$C$156:$E$189,3,FALSE)</f>
        <v>Temporary camp - &gt; 200 and &lt;= 250 persons</v>
      </c>
      <c r="D12" s="1326">
        <v>49.199999999999996</v>
      </c>
      <c r="E12" s="664" t="s">
        <v>2663</v>
      </c>
      <c r="F12" s="1327">
        <f>VLOOKUP(C12,'3. Infrastructure'!$E$335:$H$364,4,FALSE)</f>
        <v>0</v>
      </c>
      <c r="G12" s="1327" t="s">
        <v>1489</v>
      </c>
      <c r="H12" s="1327">
        <f t="shared" si="0"/>
        <v>0</v>
      </c>
    </row>
    <row r="13" spans="2:17">
      <c r="B13" s="883" t="str">
        <f>TOV!C162</f>
        <v>#3.78</v>
      </c>
      <c r="C13" s="1325" t="str">
        <f>VLOOKUP(B13,TOV!$C$156:$E$189,3,FALSE)</f>
        <v>Temporary camp - &gt; 250 and &lt;= 300 persons</v>
      </c>
      <c r="D13" s="1326">
        <v>49.199999999999996</v>
      </c>
      <c r="E13" s="664" t="s">
        <v>2663</v>
      </c>
      <c r="F13" s="1327">
        <f>VLOOKUP(C13,'3. Infrastructure'!$E$335:$H$364,4,FALSE)</f>
        <v>0</v>
      </c>
      <c r="G13" s="1327" t="s">
        <v>1489</v>
      </c>
      <c r="H13" s="1327">
        <f t="shared" si="0"/>
        <v>0</v>
      </c>
    </row>
    <row r="14" spans="2:17">
      <c r="B14" s="883" t="str">
        <f>TOV!C163</f>
        <v>#3.79</v>
      </c>
      <c r="C14" s="1325" t="str">
        <f>VLOOKUP(B14,TOV!$C$156:$E$189,3,FALSE)</f>
        <v>Temporary camp - &gt; 300 and &lt;= 400 persons</v>
      </c>
      <c r="D14" s="1326">
        <v>49.199999999999996</v>
      </c>
      <c r="E14" s="664" t="s">
        <v>2663</v>
      </c>
      <c r="F14" s="1327">
        <f>VLOOKUP(C14,'3. Infrastructure'!$E$335:$H$364,4,FALSE)</f>
        <v>0</v>
      </c>
      <c r="G14" s="1327" t="s">
        <v>1489</v>
      </c>
      <c r="H14" s="1327">
        <f t="shared" si="0"/>
        <v>0</v>
      </c>
    </row>
    <row r="15" spans="2:17">
      <c r="B15" s="883" t="str">
        <f>TOV!C164</f>
        <v>#3.80</v>
      </c>
      <c r="C15" s="1325" t="str">
        <f>VLOOKUP(B15,TOV!$C$156:$E$189,3,FALSE)</f>
        <v>Temporary camp - &gt; 400 and &lt;= 500 persons</v>
      </c>
      <c r="D15" s="1326">
        <v>49.199999999999996</v>
      </c>
      <c r="E15" s="664" t="s">
        <v>2663</v>
      </c>
      <c r="F15" s="1327">
        <f>VLOOKUP(C15,'3. Infrastructure'!$E$335:$H$364,4,FALSE)</f>
        <v>0</v>
      </c>
      <c r="G15" s="1327" t="s">
        <v>1489</v>
      </c>
      <c r="H15" s="1327">
        <f t="shared" si="0"/>
        <v>0</v>
      </c>
    </row>
    <row r="16" spans="2:17">
      <c r="B16" s="883" t="str">
        <f>TOV!C165</f>
        <v>#3.81</v>
      </c>
      <c r="C16" s="1325" t="str">
        <f>VLOOKUP(B16,TOV!$C$156:$E$189,3,FALSE)</f>
        <v>Temporary camp - &gt; 500 and &lt;= 750 persons</v>
      </c>
      <c r="D16" s="1326">
        <v>49.199999999999996</v>
      </c>
      <c r="E16" s="664" t="s">
        <v>2663</v>
      </c>
      <c r="F16" s="1327">
        <f>VLOOKUP(C16,'3. Infrastructure'!$E$335:$H$364,4,FALSE)</f>
        <v>0</v>
      </c>
      <c r="G16" s="1327" t="s">
        <v>1489</v>
      </c>
      <c r="H16" s="1327">
        <f t="shared" si="0"/>
        <v>0</v>
      </c>
    </row>
    <row r="17" spans="2:8">
      <c r="B17" s="883" t="str">
        <f>TOV!C166</f>
        <v>#3.82</v>
      </c>
      <c r="C17" s="1325" t="str">
        <f>VLOOKUP(B17,TOV!$C$156:$E$189,3,FALSE)</f>
        <v>Temporary camp - &gt; 750 and &lt;= 1000 persons</v>
      </c>
      <c r="D17" s="1326">
        <v>49.199999999999996</v>
      </c>
      <c r="E17" s="664" t="s">
        <v>2663</v>
      </c>
      <c r="F17" s="1327">
        <f>VLOOKUP(C17,'3. Infrastructure'!$E$335:$H$364,4,FALSE)</f>
        <v>0</v>
      </c>
      <c r="G17" s="1327" t="s">
        <v>1489</v>
      </c>
      <c r="H17" s="1327">
        <f t="shared" si="0"/>
        <v>0</v>
      </c>
    </row>
    <row r="18" spans="2:8">
      <c r="B18" s="883" t="str">
        <f>TOV!C167</f>
        <v>#3.83</v>
      </c>
      <c r="C18" s="1325" t="str">
        <f>VLOOKUP(B18,TOV!$C$156:$E$189,3,FALSE)</f>
        <v>Temporary camp - &gt; 1000 and &lt;= 2000 persons</v>
      </c>
      <c r="D18" s="1326">
        <v>49.199999999999996</v>
      </c>
      <c r="E18" s="664" t="s">
        <v>2663</v>
      </c>
      <c r="F18" s="1327">
        <f>VLOOKUP(C18,'3. Infrastructure'!$E$335:$H$364,4,FALSE)</f>
        <v>0</v>
      </c>
      <c r="G18" s="1327" t="s">
        <v>1489</v>
      </c>
      <c r="H18" s="1327">
        <f t="shared" si="0"/>
        <v>0</v>
      </c>
    </row>
    <row r="19" spans="2:8">
      <c r="B19" s="883" t="str">
        <f>TOV!C168</f>
        <v>#3.84</v>
      </c>
      <c r="C19" s="1325" t="str">
        <f>VLOOKUP(B19,TOV!$C$156:$E$189,3,FALSE)</f>
        <v>Temporary camp - &gt; 2000 and &lt;= 3000 persons</v>
      </c>
      <c r="D19" s="1326">
        <v>49.199999999999996</v>
      </c>
      <c r="E19" s="664" t="s">
        <v>2663</v>
      </c>
      <c r="F19" s="1327">
        <f>VLOOKUP(C19,'3. Infrastructure'!$E$335:$H$364,4,FALSE)</f>
        <v>0</v>
      </c>
      <c r="G19" s="1327" t="s">
        <v>1489</v>
      </c>
      <c r="H19" s="1327">
        <f t="shared" ref="H19:H20" si="1">D19*F19</f>
        <v>0</v>
      </c>
    </row>
    <row r="20" spans="2:8">
      <c r="B20" s="883" t="str">
        <f>TOV!C169</f>
        <v>#3.85</v>
      </c>
      <c r="C20" s="1325" t="str">
        <f>VLOOKUP(B20,TOV!$C$156:$E$189,3,FALSE)</f>
        <v>Temporary camp - &gt; 3000 and &lt;= 4000 persons</v>
      </c>
      <c r="D20" s="1326">
        <v>49.199999999999996</v>
      </c>
      <c r="E20" s="664" t="s">
        <v>2663</v>
      </c>
      <c r="F20" s="1327">
        <f>VLOOKUP(C20,'3. Infrastructure'!$E$335:$H$364,4,FALSE)</f>
        <v>0</v>
      </c>
      <c r="G20" s="1327" t="s">
        <v>1489</v>
      </c>
      <c r="H20" s="1327">
        <f t="shared" si="1"/>
        <v>0</v>
      </c>
    </row>
    <row r="21" spans="2:8">
      <c r="B21" s="883" t="str">
        <f>TOV!C170</f>
        <v>#3.86</v>
      </c>
      <c r="C21" s="1325" t="str">
        <f>VLOOKUP(B21,TOV!$C$156:$E$189,3,FALSE)</f>
        <v>Temporary camp - &gt; 4000 and &lt;= 5000 persons</v>
      </c>
      <c r="D21" s="1326">
        <v>49.199999999999996</v>
      </c>
      <c r="E21" s="664" t="s">
        <v>2663</v>
      </c>
      <c r="F21" s="1327">
        <f>VLOOKUP(C21,'3. Infrastructure'!$E$335:$H$364,4,FALSE)</f>
        <v>0</v>
      </c>
      <c r="G21" s="1327" t="s">
        <v>1489</v>
      </c>
      <c r="H21" s="1327">
        <f t="shared" si="0"/>
        <v>0</v>
      </c>
    </row>
    <row r="22" spans="2:8">
      <c r="B22" s="883" t="str">
        <f>TOV!C171</f>
        <v>#3.87</v>
      </c>
      <c r="C22" s="1325" t="str">
        <f>VLOOKUP(B22,TOV!$C$156:$E$189,3,FALSE)</f>
        <v>Permanent camp - &gt; 0 and &lt;= 20 persons</v>
      </c>
      <c r="D22" s="1326">
        <v>0</v>
      </c>
      <c r="E22" s="664" t="s">
        <v>2663</v>
      </c>
      <c r="F22" s="1327">
        <f>VLOOKUP(C22,'3. Infrastructure'!$E$335:$H$364,4,FALSE)</f>
        <v>0</v>
      </c>
      <c r="G22" s="1327" t="s">
        <v>1489</v>
      </c>
      <c r="H22" s="1327">
        <f t="shared" si="0"/>
        <v>0</v>
      </c>
    </row>
    <row r="23" spans="2:8">
      <c r="B23" s="883" t="str">
        <f>TOV!C172</f>
        <v>#3.88</v>
      </c>
      <c r="C23" s="1325" t="str">
        <f>VLOOKUP(B23,TOV!$C$156:$E$189,3,FALSE)</f>
        <v>Permanent camp - &gt; 20 and &lt;= 50 persons</v>
      </c>
      <c r="D23" s="1326">
        <v>193.92000000000002</v>
      </c>
      <c r="E23" s="664" t="s">
        <v>2663</v>
      </c>
      <c r="F23" s="1327">
        <f>VLOOKUP(C23,'3. Infrastructure'!$E$335:$H$364,4,FALSE)</f>
        <v>0</v>
      </c>
      <c r="G23" s="1327" t="s">
        <v>1489</v>
      </c>
      <c r="H23" s="1327">
        <f t="shared" si="0"/>
        <v>0</v>
      </c>
    </row>
    <row r="24" spans="2:8">
      <c r="B24" s="883" t="str">
        <f>TOV!C173</f>
        <v>#3.89</v>
      </c>
      <c r="C24" s="1325" t="str">
        <f>VLOOKUP(B24,TOV!$C$156:$E$189,3,FALSE)</f>
        <v>Permanent camp - &gt; 50 and &lt;= 100 persons</v>
      </c>
      <c r="D24" s="1326">
        <v>389.03999999999996</v>
      </c>
      <c r="E24" s="664" t="s">
        <v>2663</v>
      </c>
      <c r="F24" s="1327">
        <f>VLOOKUP(C24,'3. Infrastructure'!$E$335:$H$364,4,FALSE)</f>
        <v>0</v>
      </c>
      <c r="G24" s="1327" t="s">
        <v>1489</v>
      </c>
      <c r="H24" s="1327">
        <f t="shared" si="0"/>
        <v>0</v>
      </c>
    </row>
    <row r="25" spans="2:8">
      <c r="B25" s="883" t="str">
        <f>TOV!C174</f>
        <v>#3.90</v>
      </c>
      <c r="C25" s="1325" t="str">
        <f>VLOOKUP(B25,TOV!$C$156:$E$189,3,FALSE)</f>
        <v>Permanent camp - &gt; 100 and &lt;= 150 persons</v>
      </c>
      <c r="D25" s="1326">
        <v>578.4</v>
      </c>
      <c r="E25" s="664" t="s">
        <v>2663</v>
      </c>
      <c r="F25" s="1327">
        <f>VLOOKUP(C25,'3. Infrastructure'!$E$335:$H$364,4,FALSE)</f>
        <v>0</v>
      </c>
      <c r="G25" s="1327" t="s">
        <v>1489</v>
      </c>
      <c r="H25" s="1327">
        <f t="shared" si="0"/>
        <v>0</v>
      </c>
    </row>
    <row r="26" spans="2:8">
      <c r="B26" s="883" t="str">
        <f>TOV!C175</f>
        <v>#3.91</v>
      </c>
      <c r="C26" s="1325" t="str">
        <f>VLOOKUP(B26,TOV!$C$156:$E$189,3,FALSE)</f>
        <v>Permanent camp - &gt; 150 and &lt;= 200 persons</v>
      </c>
      <c r="D26" s="1326">
        <v>724.31999999999994</v>
      </c>
      <c r="E26" s="664" t="s">
        <v>2663</v>
      </c>
      <c r="F26" s="1327">
        <f>VLOOKUP(C26,'3. Infrastructure'!$E$335:$H$364,4,FALSE)</f>
        <v>0</v>
      </c>
      <c r="G26" s="1327" t="s">
        <v>1489</v>
      </c>
      <c r="H26" s="1327">
        <f t="shared" si="0"/>
        <v>0</v>
      </c>
    </row>
    <row r="27" spans="2:8">
      <c r="B27" s="883" t="str">
        <f>TOV!C176</f>
        <v>#3.92</v>
      </c>
      <c r="C27" s="1325" t="str">
        <f>VLOOKUP(B27,TOV!$C$156:$E$189,3,FALSE)</f>
        <v>Permanent camp - &gt; 200 and &lt;= 250 persons</v>
      </c>
      <c r="D27" s="1326">
        <v>870.24</v>
      </c>
      <c r="E27" s="664" t="s">
        <v>2663</v>
      </c>
      <c r="F27" s="1327">
        <f>VLOOKUP(C27,'3. Infrastructure'!$E$335:$H$364,4,FALSE)</f>
        <v>0</v>
      </c>
      <c r="G27" s="1327" t="s">
        <v>1489</v>
      </c>
      <c r="H27" s="1327">
        <f t="shared" si="0"/>
        <v>0</v>
      </c>
    </row>
    <row r="28" spans="2:8">
      <c r="B28" s="883" t="str">
        <f>TOV!C177</f>
        <v>#3.93</v>
      </c>
      <c r="C28" s="1325" t="str">
        <f>VLOOKUP(B28,TOV!$C$156:$E$189,3,FALSE)</f>
        <v>Permanent camp - &gt; 250 and &lt;= 300 persons</v>
      </c>
      <c r="D28" s="1326">
        <v>962.4</v>
      </c>
      <c r="E28" s="664" t="s">
        <v>2663</v>
      </c>
      <c r="F28" s="1327">
        <f>VLOOKUP(C28,'3. Infrastructure'!$E$335:$H$364,4,FALSE)</f>
        <v>0</v>
      </c>
      <c r="G28" s="1327" t="s">
        <v>1489</v>
      </c>
      <c r="H28" s="1327">
        <f t="shared" si="0"/>
        <v>0</v>
      </c>
    </row>
    <row r="29" spans="2:8">
      <c r="B29" s="883" t="str">
        <f>TOV!C178</f>
        <v>#3.94</v>
      </c>
      <c r="C29" s="1325" t="str">
        <f>VLOOKUP(B29,TOV!$C$156:$E$189,3,FALSE)</f>
        <v>Permanent camp - &gt; 300 and &lt;= 400 persons</v>
      </c>
      <c r="D29" s="1326">
        <v>1206.24</v>
      </c>
      <c r="E29" s="664" t="s">
        <v>2663</v>
      </c>
      <c r="F29" s="1327">
        <f>VLOOKUP(C29,'3. Infrastructure'!$E$335:$H$364,4,FALSE)</f>
        <v>0</v>
      </c>
      <c r="G29" s="1327" t="s">
        <v>1489</v>
      </c>
      <c r="H29" s="1327">
        <f t="shared" si="0"/>
        <v>0</v>
      </c>
    </row>
    <row r="30" spans="2:8">
      <c r="B30" s="883" t="str">
        <f>TOV!C179</f>
        <v>#3.95</v>
      </c>
      <c r="C30" s="1325" t="str">
        <f>VLOOKUP(B30,TOV!$C$156:$E$189,3,FALSE)</f>
        <v>Permanent camp - &gt; 400 and &lt;= 500 persons</v>
      </c>
      <c r="D30" s="1326">
        <v>1492.3200000000002</v>
      </c>
      <c r="E30" s="664" t="s">
        <v>2663</v>
      </c>
      <c r="F30" s="1327">
        <f>VLOOKUP(C30,'3. Infrastructure'!$E$335:$H$364,4,FALSE)</f>
        <v>0</v>
      </c>
      <c r="G30" s="1327" t="s">
        <v>1489</v>
      </c>
      <c r="H30" s="1327">
        <f t="shared" si="0"/>
        <v>0</v>
      </c>
    </row>
    <row r="31" spans="2:8">
      <c r="B31" s="883" t="str">
        <f>TOV!C180</f>
        <v>#3.96</v>
      </c>
      <c r="C31" s="1325" t="str">
        <f>VLOOKUP(B31,TOV!$C$156:$E$189,3,FALSE)</f>
        <v>Permanent camp - &gt; 500 and &lt;= 750 persons</v>
      </c>
      <c r="D31" s="1326">
        <v>590.4</v>
      </c>
      <c r="E31" s="664" t="s">
        <v>2663</v>
      </c>
      <c r="F31" s="1327">
        <f>VLOOKUP(C31,'3. Infrastructure'!$E$335:$H$364,4,FALSE)</f>
        <v>0</v>
      </c>
      <c r="G31" s="1327" t="s">
        <v>1489</v>
      </c>
      <c r="H31" s="1327">
        <f t="shared" si="0"/>
        <v>0</v>
      </c>
    </row>
    <row r="32" spans="2:8">
      <c r="B32" s="883" t="str">
        <f>TOV!C181</f>
        <v>#3.97</v>
      </c>
      <c r="C32" s="1325" t="str">
        <f>VLOOKUP(B32,TOV!$C$156:$E$189,3,FALSE)</f>
        <v>Permanent camp - &gt; 750 and &lt;= 1000 persons</v>
      </c>
      <c r="D32" s="1326">
        <v>747.36</v>
      </c>
      <c r="E32" s="664" t="s">
        <v>2663</v>
      </c>
      <c r="F32" s="1327">
        <f>VLOOKUP(C32,'3. Infrastructure'!$E$335:$H$364,4,FALSE)</f>
        <v>0</v>
      </c>
      <c r="G32" s="1327" t="s">
        <v>1489</v>
      </c>
      <c r="H32" s="1327">
        <f t="shared" si="0"/>
        <v>0</v>
      </c>
    </row>
    <row r="33" spans="2:8">
      <c r="B33" s="883" t="str">
        <f>TOV!C182</f>
        <v>#3.98</v>
      </c>
      <c r="C33" s="1325" t="str">
        <f>VLOOKUP(B33,TOV!$C$156:$E$189,3,FALSE)</f>
        <v>Permanent camp - &gt; 1000 and &lt;= 2000 persons</v>
      </c>
      <c r="D33" s="1326">
        <v>1370.88</v>
      </c>
      <c r="E33" s="664" t="s">
        <v>2663</v>
      </c>
      <c r="F33" s="1327">
        <f>VLOOKUP(C33,'3. Infrastructure'!$E$335:$H$364,4,FALSE)</f>
        <v>0</v>
      </c>
      <c r="G33" s="1327" t="s">
        <v>1489</v>
      </c>
      <c r="H33" s="1327">
        <f t="shared" si="0"/>
        <v>0</v>
      </c>
    </row>
    <row r="34" spans="2:8">
      <c r="B34" s="883" t="str">
        <f>TOV!C183</f>
        <v>#3.99</v>
      </c>
      <c r="C34" s="1325" t="str">
        <f>VLOOKUP(B34,TOV!$C$156:$E$189,3,FALSE)</f>
        <v>Permanent camp - &gt; 2000 and &lt;= 3000 persons</v>
      </c>
      <c r="D34" s="1326">
        <v>1982.4</v>
      </c>
      <c r="E34" s="664" t="s">
        <v>2663</v>
      </c>
      <c r="F34" s="1327">
        <f>VLOOKUP(C34,'3. Infrastructure'!$E$335:$H$364,4,FALSE)</f>
        <v>0</v>
      </c>
      <c r="G34" s="1327" t="s">
        <v>1489</v>
      </c>
      <c r="H34" s="1327">
        <f t="shared" si="0"/>
        <v>0</v>
      </c>
    </row>
    <row r="35" spans="2:8">
      <c r="B35" s="883" t="str">
        <f>TOV!C184</f>
        <v>#3.100</v>
      </c>
      <c r="C35" s="1325" t="str">
        <f>VLOOKUP(B35,TOV!$C$156:$E$189,3,FALSE)</f>
        <v>Permanent camp - &gt; 3000 and &lt;= 4000 persons</v>
      </c>
      <c r="D35" s="1326">
        <v>2607.36</v>
      </c>
      <c r="E35" s="664" t="s">
        <v>2663</v>
      </c>
      <c r="F35" s="1327">
        <f>VLOOKUP(C35,'3. Infrastructure'!$E$335:$H$364,4,FALSE)</f>
        <v>0</v>
      </c>
      <c r="G35" s="1327" t="s">
        <v>1489</v>
      </c>
      <c r="H35" s="1327">
        <f t="shared" si="0"/>
        <v>0</v>
      </c>
    </row>
    <row r="36" spans="2:8">
      <c r="B36" s="883" t="str">
        <f>TOV!C185</f>
        <v>#3.101</v>
      </c>
      <c r="C36" s="1325" t="str">
        <f>VLOOKUP(B36,TOV!$C$156:$E$189,3,FALSE)</f>
        <v>Permanent camp - &gt; 4000 and &lt;= 5000 persons</v>
      </c>
      <c r="D36" s="1326">
        <v>3230.88</v>
      </c>
      <c r="E36" s="664" t="s">
        <v>2663</v>
      </c>
      <c r="F36" s="1327">
        <f>VLOOKUP(C36,'3. Infrastructure'!$E$335:$H$364,4,FALSE)</f>
        <v>0</v>
      </c>
      <c r="G36" s="1327" t="s">
        <v>1489</v>
      </c>
      <c r="H36" s="1327">
        <f t="shared" si="0"/>
        <v>0</v>
      </c>
    </row>
    <row r="37" spans="2:8">
      <c r="B37" s="883" t="str">
        <f>TOV!C151</f>
        <v>#3.67</v>
      </c>
      <c r="C37" s="1325" t="str">
        <f>VLOOKUP(B37,TOV!$C$150:$E$155,TOV!$E$1,FALSE)</f>
        <v>Small, Brick wall, Steel roof, Concrete floor, 1 floors</v>
      </c>
      <c r="D37" s="1328">
        <v>0.96479999999999999</v>
      </c>
      <c r="E37" s="664" t="s">
        <v>2664</v>
      </c>
      <c r="F37" s="1327">
        <f>VLOOKUP(C37,'3. Infrastructure'!$E$384:$J$391,4,FALSE)</f>
        <v>0</v>
      </c>
      <c r="G37" s="1327" t="s">
        <v>36</v>
      </c>
      <c r="H37" s="1327">
        <f>D37*F37</f>
        <v>0</v>
      </c>
    </row>
    <row r="38" spans="2:8">
      <c r="B38" s="883" t="str">
        <f>TOV!C152</f>
        <v>#3.68</v>
      </c>
      <c r="C38" s="1325" t="str">
        <f>VLOOKUP(B38,TOV!$C$150:$E$155,TOV!$E$1,FALSE)</f>
        <v>Large, Brick wall, Steel roof, Concrete floor, 1 floors</v>
      </c>
      <c r="D38" s="1328">
        <v>0.48096</v>
      </c>
      <c r="E38" s="664" t="s">
        <v>2664</v>
      </c>
      <c r="F38" s="1327">
        <f>VLOOKUP(C38,'3. Infrastructure'!$E$384:$J$391,4,FALSE)</f>
        <v>0</v>
      </c>
      <c r="G38" s="1327" t="s">
        <v>36</v>
      </c>
      <c r="H38" s="1327">
        <f>D38*F38</f>
        <v>0</v>
      </c>
    </row>
    <row r="39" spans="2:8">
      <c r="B39" s="883" t="str">
        <f>TOV!C153</f>
        <v>#3.69</v>
      </c>
      <c r="C39" s="1325" t="str">
        <f>VLOOKUP(B39,TOV!$C$150:$E$155,TOV!$E$1,FALSE)</f>
        <v>Large, Steel wall, Steel roof, Concrete floor, 1 floors</v>
      </c>
      <c r="D39" s="1328">
        <v>0.36</v>
      </c>
      <c r="E39" s="664" t="s">
        <v>2664</v>
      </c>
      <c r="F39" s="1327">
        <f>VLOOKUP(C39,'3. Infrastructure'!$E$384:$J$391,4,FALSE)</f>
        <v>0</v>
      </c>
      <c r="G39" s="1327" t="s">
        <v>36</v>
      </c>
      <c r="H39" s="1327">
        <f t="shared" ref="H39:H45" si="2">D39*F39</f>
        <v>0</v>
      </c>
    </row>
    <row r="40" spans="2:8">
      <c r="B40" s="883" t="str">
        <f>TOV!C154</f>
        <v>#3.70</v>
      </c>
      <c r="C40" s="1325" t="str">
        <f>VLOOKUP(B40,TOV!$C$150:$E$155,TOV!$E$1,FALSE)</f>
        <v>Small, Steel wall, Steel roof, Concrete floor, 1 floors</v>
      </c>
      <c r="D40" s="1328">
        <v>0.36</v>
      </c>
      <c r="E40" s="664" t="s">
        <v>2664</v>
      </c>
      <c r="F40" s="1327">
        <f>VLOOKUP(C40,'3. Infrastructure'!$E$384:$J$391,4,FALSE)</f>
        <v>0</v>
      </c>
      <c r="G40" s="1327" t="s">
        <v>36</v>
      </c>
      <c r="H40" s="1327">
        <f t="shared" si="2"/>
        <v>0</v>
      </c>
    </row>
    <row r="41" spans="2:8">
      <c r="B41" s="883" t="str">
        <f>TOV!C155</f>
        <v>#3.71</v>
      </c>
      <c r="C41" s="1325" t="str">
        <f>VLOOKUP(B41,TOV!$C$150:$E$155,TOV!$E$1,FALSE)</f>
        <v>Large, Steel wall, Steel roof, Concrete floor, 2 floors</v>
      </c>
      <c r="D41" s="1328">
        <v>0.72</v>
      </c>
      <c r="E41" s="664" t="s">
        <v>2664</v>
      </c>
      <c r="F41" s="1327">
        <f>VLOOKUP(C41,'3. Infrastructure'!$E$384:$J$391,4,FALSE)</f>
        <v>0</v>
      </c>
      <c r="G41" s="1327" t="s">
        <v>36</v>
      </c>
      <c r="H41" s="1327">
        <f t="shared" ref="H41" si="3">D41*F41</f>
        <v>0</v>
      </c>
    </row>
    <row r="42" spans="2:8">
      <c r="B42" s="883" t="str">
        <f>TOV!C190</f>
        <v>#3.106</v>
      </c>
      <c r="C42" s="1325" t="str">
        <f>VLOOKUP(B42,TOV!$C$190:$E$195,TOV!$E$1,FALSE)</f>
        <v>Communications Tower</v>
      </c>
      <c r="D42" s="1326">
        <v>90.477868423386042</v>
      </c>
      <c r="E42" s="664" t="s">
        <v>2665</v>
      </c>
      <c r="F42" s="1327">
        <f>VLOOKUP(C42,'3. Infrastructure'!$E$408:$H$411,'12. Ports'!$H$4,FALSE)</f>
        <v>0</v>
      </c>
      <c r="G42" s="1327" t="s">
        <v>823</v>
      </c>
      <c r="H42" s="1327">
        <f t="shared" si="2"/>
        <v>0</v>
      </c>
    </row>
    <row r="43" spans="2:8">
      <c r="B43" s="883" t="str">
        <f>TOV!C191</f>
        <v>#3.107</v>
      </c>
      <c r="C43" s="1325" t="str">
        <f>VLOOKUP(B43,TOV!$C$190:$E$195,TOV!$E$1,FALSE)</f>
        <v>Overhead powerlines (steel towers)</v>
      </c>
      <c r="D43" s="1326">
        <v>53.855874061539311</v>
      </c>
      <c r="E43" s="664" t="s">
        <v>2666</v>
      </c>
      <c r="F43" s="1327">
        <f>'3. Infrastructure'!H418</f>
        <v>0</v>
      </c>
      <c r="G43" s="1327" t="s">
        <v>24</v>
      </c>
      <c r="H43" s="1327">
        <f t="shared" si="2"/>
        <v>0</v>
      </c>
    </row>
    <row r="44" spans="2:8">
      <c r="B44" s="883" t="str">
        <f>TOV!C193</f>
        <v>#3.109</v>
      </c>
      <c r="C44" s="1325" t="str">
        <f>VLOOKUP(B44,TOV!$C$190:$E$195,TOV!$E$1,FALSE)</f>
        <v>Overhead powerlines (concrete poles)</v>
      </c>
      <c r="D44" s="1326">
        <v>119.94697496169127</v>
      </c>
      <c r="E44" s="664" t="s">
        <v>2666</v>
      </c>
      <c r="F44" s="1327">
        <f>'3. Infrastructure'!H420</f>
        <v>0</v>
      </c>
      <c r="G44" s="1327" t="s">
        <v>24</v>
      </c>
      <c r="H44" s="1327">
        <f t="shared" si="2"/>
        <v>0</v>
      </c>
    </row>
    <row r="45" spans="2:8">
      <c r="B45" s="883" t="s">
        <v>253</v>
      </c>
      <c r="C45" s="1325" t="s">
        <v>2667</v>
      </c>
      <c r="D45" s="1326">
        <v>1</v>
      </c>
      <c r="E45" s="664" t="s">
        <v>2668</v>
      </c>
      <c r="F45" s="1326">
        <f>'12. Ports'!$K$54+'12. Ports'!$Z$54</f>
        <v>0</v>
      </c>
      <c r="G45" s="1327" t="s">
        <v>152</v>
      </c>
      <c r="H45" s="1327">
        <f t="shared" si="2"/>
        <v>0</v>
      </c>
    </row>
    <row r="47" spans="2:8" ht="15">
      <c r="F47" s="500"/>
      <c r="G47" s="500" t="s">
        <v>2669</v>
      </c>
      <c r="H47" s="422">
        <f>SUM(H6:H46)</f>
        <v>0</v>
      </c>
    </row>
    <row r="48" spans="2:8">
      <c r="B48" s="475"/>
    </row>
    <row r="49" spans="2:9" s="475" customFormat="1" ht="18" customHeight="1">
      <c r="D49" s="1302" t="s">
        <v>2670</v>
      </c>
      <c r="E49" s="1324"/>
      <c r="F49" s="1324"/>
      <c r="G49" s="1324"/>
      <c r="H49" s="1303"/>
      <c r="I49" s="474"/>
    </row>
    <row r="50" spans="2:9" ht="28.9" customHeight="1">
      <c r="B50" s="773" t="s">
        <v>2661</v>
      </c>
      <c r="C50" s="773" t="s">
        <v>1590</v>
      </c>
      <c r="D50" s="773" t="s">
        <v>2475</v>
      </c>
      <c r="E50" s="773" t="s">
        <v>2</v>
      </c>
      <c r="F50" s="773" t="s">
        <v>244</v>
      </c>
      <c r="G50" s="773" t="s">
        <v>2</v>
      </c>
      <c r="H50" s="773" t="s">
        <v>2662</v>
      </c>
    </row>
    <row r="51" spans="2:9" ht="15">
      <c r="B51" s="883" t="s">
        <v>2671</v>
      </c>
      <c r="C51" s="1325" t="str">
        <f>Lists!B578</f>
        <v>Asbestos (ACM)</v>
      </c>
      <c r="D51" s="1328">
        <f>HLOOKUP(C51,'13. Investigation Contamination'!$Y$62:$AH$75,'13. Investigation Contamination'!$AO$75,FALSE)</f>
        <v>0</v>
      </c>
      <c r="E51" s="664" t="s">
        <v>33</v>
      </c>
      <c r="F51" s="1327">
        <v>1</v>
      </c>
      <c r="G51" s="1327" t="s">
        <v>1494</v>
      </c>
      <c r="H51" s="421">
        <f>D51*F51</f>
        <v>0</v>
      </c>
    </row>
    <row r="52" spans="2:9" ht="15">
      <c r="B52" s="883" t="s">
        <v>2671</v>
      </c>
      <c r="C52" s="1325" t="str">
        <f>Lists!B579</f>
        <v>Asbestos in soil</v>
      </c>
      <c r="D52" s="1328">
        <f>HLOOKUP(C52,'13. Investigation Contamination'!$Y$62:$AH$75,'13. Investigation Contamination'!$AO$75,FALSE)</f>
        <v>0</v>
      </c>
      <c r="E52" s="664" t="s">
        <v>33</v>
      </c>
      <c r="F52" s="1327">
        <v>1</v>
      </c>
      <c r="G52" s="1327" t="s">
        <v>1494</v>
      </c>
      <c r="H52" s="421">
        <f t="shared" ref="H52" si="4">D52*F52</f>
        <v>0</v>
      </c>
    </row>
    <row r="53" spans="2:9" ht="15">
      <c r="B53" s="883" t="s">
        <v>2671</v>
      </c>
      <c r="C53" s="1325" t="str">
        <f>Lists!B581</f>
        <v>High Level Petroleum Hydrocarbons in soil</v>
      </c>
      <c r="D53" s="1328">
        <f>HLOOKUP(C53,'13. Investigation Contamination'!$Y$62:$AH$75,'13. Investigation Contamination'!$AO$75,FALSE)</f>
        <v>0</v>
      </c>
      <c r="E53" s="664" t="s">
        <v>33</v>
      </c>
      <c r="F53" s="1327">
        <v>1</v>
      </c>
      <c r="G53" s="1327" t="s">
        <v>1494</v>
      </c>
      <c r="H53" s="421">
        <f t="shared" ref="H53:H54" si="5">D53*F53</f>
        <v>0</v>
      </c>
    </row>
    <row r="54" spans="2:9" ht="15">
      <c r="B54" s="883" t="s">
        <v>2671</v>
      </c>
      <c r="C54" s="1325" t="str">
        <f>Lists!B583</f>
        <v>High Level Inorganics in soil</v>
      </c>
      <c r="D54" s="1328">
        <f>HLOOKUP(C54,'13. Investigation Contamination'!$Y$62:$AH$75,'13. Investigation Contamination'!$AO$75,FALSE)</f>
        <v>0</v>
      </c>
      <c r="E54" s="664" t="s">
        <v>33</v>
      </c>
      <c r="F54" s="1327">
        <v>1</v>
      </c>
      <c r="G54" s="1327" t="s">
        <v>1494</v>
      </c>
      <c r="H54" s="421">
        <f t="shared" si="5"/>
        <v>0</v>
      </c>
    </row>
    <row r="56" spans="2:9">
      <c r="B56" s="475"/>
    </row>
    <row r="57" spans="2:9" s="475" customFormat="1" ht="18" customHeight="1">
      <c r="D57" s="1302" t="s">
        <v>2672</v>
      </c>
      <c r="E57" s="1324"/>
      <c r="F57" s="1324"/>
      <c r="G57" s="1324"/>
      <c r="H57" s="1303"/>
      <c r="I57" s="474"/>
    </row>
    <row r="58" spans="2:9" ht="28.9" customHeight="1">
      <c r="B58" s="773" t="s">
        <v>2661</v>
      </c>
      <c r="C58" s="773" t="s">
        <v>1590</v>
      </c>
      <c r="D58" s="773" t="s">
        <v>2475</v>
      </c>
      <c r="E58" s="773" t="s">
        <v>2</v>
      </c>
      <c r="F58" s="773" t="s">
        <v>244</v>
      </c>
      <c r="G58" s="773" t="s">
        <v>2</v>
      </c>
      <c r="H58" s="773" t="s">
        <v>2662</v>
      </c>
    </row>
    <row r="59" spans="2:9" ht="15">
      <c r="B59" s="883" t="s">
        <v>2671</v>
      </c>
      <c r="C59" s="1325" t="str">
        <f>Lists!B585</f>
        <v>General Waste</v>
      </c>
      <c r="D59" s="1328">
        <f>HLOOKUP(C59,'13. Investigation Contamination'!$Y$62:$AH$75,'13. Investigation Contamination'!$AO$75,FALSE)</f>
        <v>0</v>
      </c>
      <c r="E59" s="664" t="s">
        <v>33</v>
      </c>
      <c r="F59" s="1327">
        <v>1</v>
      </c>
      <c r="G59" s="1327" t="s">
        <v>1494</v>
      </c>
      <c r="H59" s="421">
        <f>D59*F59</f>
        <v>0</v>
      </c>
    </row>
    <row r="60" spans="2:9" ht="15">
      <c r="B60" s="883" t="s">
        <v>2671</v>
      </c>
      <c r="C60" s="1325" t="str">
        <f>Lists!B586</f>
        <v>Construction / building waste</v>
      </c>
      <c r="D60" s="1328">
        <f>HLOOKUP(C60,'13. Investigation Contamination'!$Y$62:$AH$75,'13. Investigation Contamination'!$AO$75,FALSE)</f>
        <v>0</v>
      </c>
      <c r="E60" s="664" t="s">
        <v>33</v>
      </c>
      <c r="F60" s="1327">
        <v>1</v>
      </c>
      <c r="G60" s="1327" t="s">
        <v>1494</v>
      </c>
      <c r="H60" s="421">
        <f t="shared" ref="H60:H61" si="6">D60*F60</f>
        <v>0</v>
      </c>
    </row>
    <row r="61" spans="2:9" ht="15">
      <c r="B61" s="883" t="s">
        <v>2671</v>
      </c>
      <c r="C61" s="1325" t="str">
        <f>Lists!B587</f>
        <v>Regulated waste (e.g. tires and belts)</v>
      </c>
      <c r="D61" s="1328">
        <f>HLOOKUP(C61,'13. Investigation Contamination'!$Y$62:$AH$75,'13. Investigation Contamination'!$AO$75,FALSE)+'1. Eligible Mining Activities'!F31</f>
        <v>0</v>
      </c>
      <c r="E61" s="664" t="s">
        <v>33</v>
      </c>
      <c r="F61" s="1327">
        <v>1</v>
      </c>
      <c r="G61" s="1327" t="s">
        <v>1494</v>
      </c>
      <c r="H61" s="421">
        <f t="shared" si="6"/>
        <v>0</v>
      </c>
    </row>
    <row r="62" spans="2:9">
      <c r="B62" s="888"/>
      <c r="C62" s="1329"/>
      <c r="D62" s="1330"/>
      <c r="E62" s="550"/>
      <c r="F62" s="1331"/>
    </row>
    <row r="63" spans="2:9">
      <c r="C63" s="1332">
        <v>1</v>
      </c>
      <c r="D63" s="1255">
        <f>C63+1</f>
        <v>2</v>
      </c>
      <c r="E63" s="1255">
        <f t="shared" ref="E63:H63" si="7">D63+1</f>
        <v>3</v>
      </c>
      <c r="F63" s="1255">
        <f t="shared" si="7"/>
        <v>4</v>
      </c>
      <c r="G63" s="1255">
        <f t="shared" si="7"/>
        <v>5</v>
      </c>
      <c r="H63" s="1255">
        <f t="shared" si="7"/>
        <v>6</v>
      </c>
    </row>
  </sheetData>
  <sheetProtection algorithmName="SHA-512" hashValue="xGAoqU76Uf098gTdlWasrOl4WhsAsZIIF6ox6cZe/oAwq1hQVmmMyI139+n/HsZvFX+Lngzzhfzw58F6Y6m35g==" saltValue="fWc6qc4c6Y0NXkjFU7ErrQ==" spinCount="100000" sheet="1" objects="1" scenarios="1" autoFilter="0"/>
  <phoneticPr fontId="56" type="noConversion"/>
  <conditionalFormatting sqref="D2 F2:H3">
    <cfRule type="containsText" dxfId="10" priority="1" operator="containsText" text="not applied">
      <formula>NOT(ISERROR(SEARCH("not applied",D2)))</formula>
    </cfRule>
  </conditionalFormatting>
  <hyperlinks>
    <hyperlink ref="B2" location="CONTENTS!A1" display="Contents" xr:uid="{13420250-8343-4FF9-8C4F-A98C9075329D}"/>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C2B0-7E9D-49F8-A705-4CBC053CB068}">
  <sheetPr codeName="Sheet4"/>
  <dimension ref="A1:N96"/>
  <sheetViews>
    <sheetView showGridLines="0" workbookViewId="0">
      <pane ySplit="2" topLeftCell="A3" activePane="bottomLeft" state="frozen"/>
      <selection pane="bottomLeft"/>
    </sheetView>
  </sheetViews>
  <sheetFormatPr defaultColWidth="9.28515625" defaultRowHeight="12.75"/>
  <cols>
    <col min="1" max="1" width="3.42578125" style="434" customWidth="1"/>
    <col min="2" max="2" width="12" style="434" customWidth="1"/>
    <col min="3" max="3" width="50.5703125" style="434" customWidth="1"/>
    <col min="4" max="12" width="14.28515625" style="434" customWidth="1"/>
    <col min="13" max="13" width="104.28515625" style="434" customWidth="1"/>
    <col min="14" max="16384" width="9.28515625" style="434"/>
  </cols>
  <sheetData>
    <row r="1" spans="2:13" ht="15" customHeight="1">
      <c r="B1" s="1333" t="s">
        <v>0</v>
      </c>
    </row>
    <row r="2" spans="2:13" ht="18" customHeight="1">
      <c r="B2" s="286" t="s">
        <v>256</v>
      </c>
      <c r="C2" s="1285" t="s">
        <v>2025</v>
      </c>
      <c r="D2" s="1334"/>
      <c r="E2" s="1334"/>
      <c r="F2" s="1334"/>
      <c r="G2" s="1334"/>
      <c r="H2" s="1334"/>
      <c r="I2" s="1334"/>
    </row>
    <row r="3" spans="2:13" ht="70.150000000000006" customHeight="1"/>
    <row r="4" spans="2:13" ht="74.25" customHeight="1"/>
    <row r="5" spans="2:13" ht="85.9" customHeight="1">
      <c r="B5" s="1335" t="s">
        <v>27</v>
      </c>
      <c r="C5" s="1336" t="s">
        <v>1583</v>
      </c>
      <c r="D5" s="1337" t="s">
        <v>2673</v>
      </c>
      <c r="E5" s="1337" t="s">
        <v>2674</v>
      </c>
      <c r="F5" s="1337" t="s">
        <v>2675</v>
      </c>
      <c r="G5" s="1337" t="s">
        <v>2676</v>
      </c>
      <c r="H5" s="1337" t="s">
        <v>2677</v>
      </c>
      <c r="I5" s="1337" t="s">
        <v>2678</v>
      </c>
      <c r="J5" s="1337" t="s">
        <v>2679</v>
      </c>
      <c r="K5" s="1337" t="s">
        <v>2680</v>
      </c>
      <c r="L5" s="1337" t="s">
        <v>2681</v>
      </c>
      <c r="M5" s="1335" t="s">
        <v>2682</v>
      </c>
    </row>
    <row r="6" spans="2:13" ht="18" customHeight="1">
      <c r="C6" s="32" t="s">
        <v>2683</v>
      </c>
      <c r="L6" s="543" t="s">
        <v>2684</v>
      </c>
    </row>
    <row r="7" spans="2:13" ht="45">
      <c r="C7" s="1338" t="str">
        <f>'7. Overburden Dumps Piles'!C49</f>
        <v>Waste Rock Dumps (User)</v>
      </c>
      <c r="D7" s="1339" t="str">
        <f>'7. Overburden Dumps Piles'!X50</f>
        <v>User Slope Rock Armour Cover Thickness (m)*</v>
      </c>
      <c r="G7" s="1339" t="str">
        <f>'7. Overburden Dumps Piles'!AH50</f>
        <v>User Input Thickness of Capillary Break Layer  (m)*</v>
      </c>
      <c r="H7" s="1339" t="str">
        <f>'7. Overburden Dumps Piles'!AY50</f>
        <v>User Input Thickness of Low Permeability (Clay) Layers  (m)*</v>
      </c>
      <c r="I7" s="1339" t="str">
        <f>'7. Overburden Dumps Piles'!BN50</f>
        <v>User Input Thickness of Rock Cover Layer  (m)*</v>
      </c>
      <c r="J7" s="1339" t="str">
        <f>'7. Overburden Dumps Piles'!CN50</f>
        <v>User Growth Media Thickness (m)</v>
      </c>
      <c r="K7" s="1339" t="str">
        <f>'7. Overburden Dumps Piles'!EC50</f>
        <v>User Alternate Rate for Engineering ($/ha)</v>
      </c>
      <c r="L7" s="1340" t="s">
        <v>2685</v>
      </c>
    </row>
    <row r="8" spans="2:13">
      <c r="B8" s="554">
        <f>'7. Overburden Dumps Piles'!C52</f>
        <v>1</v>
      </c>
      <c r="C8" s="1341">
        <f>'7. Overburden Dumps Piles'!D52</f>
        <v>0</v>
      </c>
      <c r="D8" s="989" t="str">
        <f>IF(AND('7. Overburden Dumps Piles'!X52&lt;&gt;"",'7. Overburden Dumps Piles'!X52&lt;'7. Overburden Dumps Piles'!W$52),"Y","No Alert")</f>
        <v>No Alert</v>
      </c>
      <c r="G8" s="989" t="str">
        <f>IF(AND('7. Overburden Dumps Piles'!AH52&lt;&gt;"",'7. Overburden Dumps Piles'!AH52&lt;'7. Overburden Dumps Piles'!AG52),"Y","No Alert")</f>
        <v>No Alert</v>
      </c>
      <c r="H8" s="989" t="str">
        <f>IF(AND('7. Overburden Dumps Piles'!AY52&lt;&gt;"",'7. Overburden Dumps Piles'!AY52&lt;'7. Overburden Dumps Piles'!AX52),"Y","No Alert")</f>
        <v>No Alert</v>
      </c>
      <c r="I8" s="989" t="str">
        <f>IF(AND('7. Overburden Dumps Piles'!BN52&lt;&gt;"",'7. Overburden Dumps Piles'!BN52&lt;'7. Overburden Dumps Piles'!BM52),"Y","No Alert")</f>
        <v>No Alert</v>
      </c>
      <c r="J8" s="989" t="str">
        <f>IF(AND('7. Overburden Dumps Piles'!CN52&lt;&gt;"",'7. Overburden Dumps Piles'!CN52&lt;'7. Overburden Dumps Piles'!CM52),"Y","No Alert")</f>
        <v>No Alert</v>
      </c>
      <c r="K8" s="1164" t="str">
        <f>IF('7. Overburden Dumps Piles'!EC52&gt;0,"Y","No Alert")</f>
        <v>No Alert</v>
      </c>
      <c r="L8" s="1164" t="str">
        <f>IF('7. Overburden Dumps Piles'!EH52="Error","Y","N")</f>
        <v>N</v>
      </c>
      <c r="M8" s="1347"/>
    </row>
    <row r="9" spans="2:13">
      <c r="B9" s="554">
        <f>'7. Overburden Dumps Piles'!C53</f>
        <v>2</v>
      </c>
      <c r="C9" s="1341">
        <f>'7. Overburden Dumps Piles'!D53</f>
        <v>0</v>
      </c>
      <c r="D9" s="989" t="str">
        <f>IF(AND('7. Overburden Dumps Piles'!X53&lt;&gt;"",'7. Overburden Dumps Piles'!X53&lt;'7. Overburden Dumps Piles'!W$52),"Y","No Alert")</f>
        <v>No Alert</v>
      </c>
      <c r="G9" s="989" t="str">
        <f>IF(AND('7. Overburden Dumps Piles'!AH53&lt;&gt;"",'7. Overburden Dumps Piles'!AH53&lt;'7. Overburden Dumps Piles'!AG53),"Y","No Alert")</f>
        <v>No Alert</v>
      </c>
      <c r="H9" s="989" t="str">
        <f>IF(AND('7. Overburden Dumps Piles'!AY53&lt;&gt;"",'7. Overburden Dumps Piles'!AY53&lt;'7. Overburden Dumps Piles'!AX53),"Y","No Alert")</f>
        <v>No Alert</v>
      </c>
      <c r="I9" s="989" t="str">
        <f>IF(AND('7. Overburden Dumps Piles'!BN53&lt;&gt;"",'7. Overburden Dumps Piles'!BN53&lt;'7. Overburden Dumps Piles'!BM53),"Y","No Alert")</f>
        <v>No Alert</v>
      </c>
      <c r="J9" s="989" t="str">
        <f>IF(AND('7. Overburden Dumps Piles'!CN53&lt;&gt;"",'7. Overburden Dumps Piles'!CN53&lt;'7. Overburden Dumps Piles'!CM53),"Y","No Alert")</f>
        <v>No Alert</v>
      </c>
      <c r="K9" s="1164" t="str">
        <f>IF('7. Overburden Dumps Piles'!EC53&gt;0,"Y","No Alert")</f>
        <v>No Alert</v>
      </c>
      <c r="L9" s="1164" t="str">
        <f>IF('7. Overburden Dumps Piles'!EH53="Error","Y","N")</f>
        <v>N</v>
      </c>
      <c r="M9" s="1347"/>
    </row>
    <row r="10" spans="2:13">
      <c r="B10" s="554">
        <f>'7. Overburden Dumps Piles'!C54</f>
        <v>3</v>
      </c>
      <c r="C10" s="1341">
        <f>'7. Overburden Dumps Piles'!D54</f>
        <v>0</v>
      </c>
      <c r="D10" s="989" t="str">
        <f>IF(AND('7. Overburden Dumps Piles'!X54&lt;&gt;"",'7. Overburden Dumps Piles'!X54&lt;'7. Overburden Dumps Piles'!W$52),"Y","No Alert")</f>
        <v>No Alert</v>
      </c>
      <c r="G10" s="989" t="str">
        <f>IF(AND('7. Overburden Dumps Piles'!AH54&lt;&gt;"",'7. Overburden Dumps Piles'!AH54&lt;'7. Overburden Dumps Piles'!AG54),"Y","No Alert")</f>
        <v>No Alert</v>
      </c>
      <c r="H10" s="989" t="str">
        <f>IF(AND('7. Overburden Dumps Piles'!AY54&lt;&gt;"",'7. Overburden Dumps Piles'!AY54&lt;'7. Overburden Dumps Piles'!AX54),"Y","No Alert")</f>
        <v>No Alert</v>
      </c>
      <c r="I10" s="989" t="str">
        <f>IF(AND('7. Overburden Dumps Piles'!BN54&lt;&gt;"",'7. Overburden Dumps Piles'!BN54&lt;'7. Overburden Dumps Piles'!BM54),"Y","No Alert")</f>
        <v>No Alert</v>
      </c>
      <c r="J10" s="989" t="str">
        <f>IF(AND('7. Overburden Dumps Piles'!CN54&lt;&gt;"",'7. Overburden Dumps Piles'!CN54&lt;'7. Overburden Dumps Piles'!CM54),"Y","No Alert")</f>
        <v>No Alert</v>
      </c>
      <c r="K10" s="1164" t="str">
        <f>IF('7. Overburden Dumps Piles'!EC54&gt;0,"Y","No Alert")</f>
        <v>No Alert</v>
      </c>
      <c r="L10" s="1164" t="str">
        <f>IF('7. Overburden Dumps Piles'!EH54="Error","Y","N")</f>
        <v>N</v>
      </c>
      <c r="M10" s="1347"/>
    </row>
    <row r="11" spans="2:13">
      <c r="B11" s="554">
        <f>'7. Overburden Dumps Piles'!C55</f>
        <v>4</v>
      </c>
      <c r="C11" s="1341">
        <f>'7. Overburden Dumps Piles'!D55</f>
        <v>0</v>
      </c>
      <c r="D11" s="989" t="str">
        <f>IF(AND('7. Overburden Dumps Piles'!X55&lt;&gt;"",'7. Overburden Dumps Piles'!X55&lt;'7. Overburden Dumps Piles'!W$52),"Y","No Alert")</f>
        <v>No Alert</v>
      </c>
      <c r="G11" s="989" t="str">
        <f>IF(AND('7. Overburden Dumps Piles'!AH55&lt;&gt;"",'7. Overburden Dumps Piles'!AH55&lt;'7. Overburden Dumps Piles'!AG55),"Y","No Alert")</f>
        <v>No Alert</v>
      </c>
      <c r="H11" s="989" t="str">
        <f>IF(AND('7. Overburden Dumps Piles'!AY55&lt;&gt;"",'7. Overburden Dumps Piles'!AY55&lt;'7. Overburden Dumps Piles'!AX55),"Y","No Alert")</f>
        <v>No Alert</v>
      </c>
      <c r="I11" s="989" t="str">
        <f>IF(AND('7. Overburden Dumps Piles'!BN55&lt;&gt;"",'7. Overburden Dumps Piles'!BN55&lt;'7. Overburden Dumps Piles'!BM55),"Y","No Alert")</f>
        <v>No Alert</v>
      </c>
      <c r="J11" s="989" t="str">
        <f>IF(AND('7. Overburden Dumps Piles'!CN55&lt;&gt;"",'7. Overburden Dumps Piles'!CN55&lt;'7. Overburden Dumps Piles'!CM55),"Y","No Alert")</f>
        <v>No Alert</v>
      </c>
      <c r="K11" s="1164" t="str">
        <f>IF('7. Overburden Dumps Piles'!EC55&gt;0,"Y","No Alert")</f>
        <v>No Alert</v>
      </c>
      <c r="L11" s="1164" t="str">
        <f>IF('7. Overburden Dumps Piles'!EH55="Error","Y","N")</f>
        <v>N</v>
      </c>
      <c r="M11" s="1347"/>
    </row>
    <row r="12" spans="2:13">
      <c r="B12" s="554">
        <f>'7. Overburden Dumps Piles'!C56</f>
        <v>5</v>
      </c>
      <c r="C12" s="1341">
        <f>'7. Overburden Dumps Piles'!D56</f>
        <v>0</v>
      </c>
      <c r="D12" s="989" t="str">
        <f>IF(AND('7. Overburden Dumps Piles'!X56&lt;&gt;"",'7. Overburden Dumps Piles'!X56&lt;'7. Overburden Dumps Piles'!W$52),"Y","No Alert")</f>
        <v>No Alert</v>
      </c>
      <c r="G12" s="989" t="str">
        <f>IF(AND('7. Overburden Dumps Piles'!AH56&lt;&gt;"",'7. Overburden Dumps Piles'!AH56&lt;'7. Overburden Dumps Piles'!AG56),"Y","No Alert")</f>
        <v>No Alert</v>
      </c>
      <c r="H12" s="989" t="str">
        <f>IF(AND('7. Overburden Dumps Piles'!AY56&lt;&gt;"",'7. Overburden Dumps Piles'!AY56&lt;'7. Overburden Dumps Piles'!AX56),"Y","No Alert")</f>
        <v>No Alert</v>
      </c>
      <c r="I12" s="989" t="str">
        <f>IF(AND('7. Overburden Dumps Piles'!BN56&lt;&gt;"",'7. Overburden Dumps Piles'!BN56&lt;'7. Overburden Dumps Piles'!BM56),"Y","No Alert")</f>
        <v>No Alert</v>
      </c>
      <c r="J12" s="989" t="str">
        <f>IF(AND('7. Overburden Dumps Piles'!CN56&lt;&gt;"",'7. Overburden Dumps Piles'!CN56&lt;'7. Overburden Dumps Piles'!CM56),"Y","No Alert")</f>
        <v>No Alert</v>
      </c>
      <c r="K12" s="1164" t="str">
        <f>IF('7. Overburden Dumps Piles'!EC56&gt;0,"Y","No Alert")</f>
        <v>No Alert</v>
      </c>
      <c r="L12" s="1164" t="str">
        <f>IF('7. Overburden Dumps Piles'!EH56="Error","Y","N")</f>
        <v>N</v>
      </c>
      <c r="M12" s="1347"/>
    </row>
    <row r="13" spans="2:13">
      <c r="B13" s="554">
        <f>'7. Overburden Dumps Piles'!C57</f>
        <v>6</v>
      </c>
      <c r="C13" s="1341">
        <f>'7. Overburden Dumps Piles'!D57</f>
        <v>0</v>
      </c>
      <c r="D13" s="989" t="str">
        <f>IF(AND('7. Overburden Dumps Piles'!X57&lt;&gt;"",'7. Overburden Dumps Piles'!X57&lt;'7. Overburden Dumps Piles'!W$52),"Y","No Alert")</f>
        <v>No Alert</v>
      </c>
      <c r="G13" s="989" t="str">
        <f>IF(AND('7. Overburden Dumps Piles'!AH57&lt;&gt;"",'7. Overburden Dumps Piles'!AH57&lt;'7. Overburden Dumps Piles'!AG57),"Y","No Alert")</f>
        <v>No Alert</v>
      </c>
      <c r="H13" s="989" t="str">
        <f>IF(AND('7. Overburden Dumps Piles'!AY57&lt;&gt;"",'7. Overburden Dumps Piles'!AY57&lt;'7. Overburden Dumps Piles'!AX57),"Y","No Alert")</f>
        <v>No Alert</v>
      </c>
      <c r="I13" s="989" t="str">
        <f>IF(AND('7. Overburden Dumps Piles'!BN57&lt;&gt;"",'7. Overburden Dumps Piles'!BN57&lt;'7. Overburden Dumps Piles'!BM57),"Y","No Alert")</f>
        <v>No Alert</v>
      </c>
      <c r="J13" s="989" t="str">
        <f>IF(AND('7. Overburden Dumps Piles'!CN57&lt;&gt;"",'7. Overburden Dumps Piles'!CN57&lt;'7. Overburden Dumps Piles'!CM57),"Y","No Alert")</f>
        <v>No Alert</v>
      </c>
      <c r="K13" s="1164" t="str">
        <f>IF('7. Overburden Dumps Piles'!EC57&gt;0,"Y","No Alert")</f>
        <v>No Alert</v>
      </c>
      <c r="L13" s="1164" t="str">
        <f>IF('7. Overburden Dumps Piles'!EH57="Error","Y","N")</f>
        <v>N</v>
      </c>
      <c r="M13" s="1347"/>
    </row>
    <row r="14" spans="2:13">
      <c r="B14" s="554">
        <f>'7. Overburden Dumps Piles'!C58</f>
        <v>7</v>
      </c>
      <c r="C14" s="1341">
        <f>'7. Overburden Dumps Piles'!D58</f>
        <v>0</v>
      </c>
      <c r="D14" s="989" t="str">
        <f>IF(AND('7. Overburden Dumps Piles'!X58&lt;&gt;"",'7. Overburden Dumps Piles'!X58&lt;'7. Overburden Dumps Piles'!W$52),"Y","No Alert")</f>
        <v>No Alert</v>
      </c>
      <c r="G14" s="989" t="str">
        <f>IF(AND('7. Overburden Dumps Piles'!AH58&lt;&gt;"",'7. Overburden Dumps Piles'!AH58&lt;'7. Overburden Dumps Piles'!AG58),"Y","No Alert")</f>
        <v>No Alert</v>
      </c>
      <c r="H14" s="989" t="str">
        <f>IF(AND('7. Overburden Dumps Piles'!AY58&lt;&gt;"",'7. Overburden Dumps Piles'!AY58&lt;'7. Overburden Dumps Piles'!AX58),"Y","No Alert")</f>
        <v>No Alert</v>
      </c>
      <c r="I14" s="989" t="str">
        <f>IF(AND('7. Overburden Dumps Piles'!BN58&lt;&gt;"",'7. Overburden Dumps Piles'!BN58&lt;'7. Overburden Dumps Piles'!BM58),"Y","No Alert")</f>
        <v>No Alert</v>
      </c>
      <c r="J14" s="989" t="str">
        <f>IF(AND('7. Overburden Dumps Piles'!CN58&lt;&gt;"",'7. Overburden Dumps Piles'!CN58&lt;'7. Overburden Dumps Piles'!CM58),"Y","No Alert")</f>
        <v>No Alert</v>
      </c>
      <c r="K14" s="1164" t="str">
        <f>IF('7. Overburden Dumps Piles'!EC58&gt;0,"Y","No Alert")</f>
        <v>No Alert</v>
      </c>
      <c r="L14" s="1164" t="str">
        <f>IF('7. Overburden Dumps Piles'!EH58="Error","Y","N")</f>
        <v>N</v>
      </c>
      <c r="M14" s="1347"/>
    </row>
    <row r="15" spans="2:13">
      <c r="B15" s="554">
        <f>'7. Overburden Dumps Piles'!C59</f>
        <v>8</v>
      </c>
      <c r="C15" s="1341">
        <f>'7. Overburden Dumps Piles'!D59</f>
        <v>0</v>
      </c>
      <c r="D15" s="989" t="str">
        <f>IF(AND('7. Overburden Dumps Piles'!X59&lt;&gt;"",'7. Overburden Dumps Piles'!X59&lt;'7. Overburden Dumps Piles'!W$52),"Y","No Alert")</f>
        <v>No Alert</v>
      </c>
      <c r="G15" s="989" t="str">
        <f>IF(AND('7. Overburden Dumps Piles'!AH59&lt;&gt;"",'7. Overburden Dumps Piles'!AH59&lt;'7. Overburden Dumps Piles'!AG59),"Y","No Alert")</f>
        <v>No Alert</v>
      </c>
      <c r="H15" s="989" t="str">
        <f>IF(AND('7. Overburden Dumps Piles'!AY59&lt;&gt;"",'7. Overburden Dumps Piles'!AY59&lt;'7. Overburden Dumps Piles'!AX59),"Y","No Alert")</f>
        <v>No Alert</v>
      </c>
      <c r="I15" s="989" t="str">
        <f>IF(AND('7. Overburden Dumps Piles'!BN59&lt;&gt;"",'7. Overburden Dumps Piles'!BN59&lt;'7. Overburden Dumps Piles'!BM59),"Y","No Alert")</f>
        <v>No Alert</v>
      </c>
      <c r="J15" s="989" t="str">
        <f>IF(AND('7. Overburden Dumps Piles'!CN59&lt;&gt;"",'7. Overburden Dumps Piles'!CN59&lt;'7. Overburden Dumps Piles'!CM59),"Y","No Alert")</f>
        <v>No Alert</v>
      </c>
      <c r="K15" s="1164" t="str">
        <f>IF('7. Overburden Dumps Piles'!EC59&gt;0,"Y","No Alert")</f>
        <v>No Alert</v>
      </c>
      <c r="L15" s="1164" t="str">
        <f>IF('7. Overburden Dumps Piles'!EH59="Error","Y","N")</f>
        <v>N</v>
      </c>
      <c r="M15" s="1347"/>
    </row>
    <row r="16" spans="2:13">
      <c r="B16" s="554">
        <f>'7. Overburden Dumps Piles'!C60</f>
        <v>9</v>
      </c>
      <c r="C16" s="1341">
        <f>'7. Overburden Dumps Piles'!D60</f>
        <v>0</v>
      </c>
      <c r="D16" s="989" t="str">
        <f>IF(AND('7. Overburden Dumps Piles'!X60&lt;&gt;"",'7. Overburden Dumps Piles'!X60&lt;'7. Overburden Dumps Piles'!W$52),"Y","No Alert")</f>
        <v>No Alert</v>
      </c>
      <c r="G16" s="989" t="str">
        <f>IF(AND('7. Overburden Dumps Piles'!AH60&lt;&gt;"",'7. Overburden Dumps Piles'!AH60&lt;'7. Overburden Dumps Piles'!AG60),"Y","No Alert")</f>
        <v>No Alert</v>
      </c>
      <c r="H16" s="989" t="str">
        <f>IF(AND('7. Overburden Dumps Piles'!AY60&lt;&gt;"",'7. Overburden Dumps Piles'!AY60&lt;'7. Overburden Dumps Piles'!AX60),"Y","No Alert")</f>
        <v>No Alert</v>
      </c>
      <c r="I16" s="989" t="str">
        <f>IF(AND('7. Overburden Dumps Piles'!BN60&lt;&gt;"",'7. Overburden Dumps Piles'!BN60&lt;'7. Overburden Dumps Piles'!BM60),"Y","No Alert")</f>
        <v>No Alert</v>
      </c>
      <c r="J16" s="989" t="str">
        <f>IF(AND('7. Overburden Dumps Piles'!CN60&lt;&gt;"",'7. Overburden Dumps Piles'!CN60&lt;'7. Overburden Dumps Piles'!CM60),"Y","No Alert")</f>
        <v>No Alert</v>
      </c>
      <c r="K16" s="1164" t="str">
        <f>IF('7. Overburden Dumps Piles'!EC60&gt;0,"Y","No Alert")</f>
        <v>No Alert</v>
      </c>
      <c r="L16" s="1164" t="str">
        <f>IF('7. Overburden Dumps Piles'!EH60="Error","Y","N")</f>
        <v>N</v>
      </c>
      <c r="M16" s="1347"/>
    </row>
    <row r="17" spans="1:13">
      <c r="B17" s="554">
        <f>'7. Overburden Dumps Piles'!C61</f>
        <v>10</v>
      </c>
      <c r="C17" s="1341">
        <f>'7. Overburden Dumps Piles'!D61</f>
        <v>0</v>
      </c>
      <c r="D17" s="989" t="str">
        <f>IF(AND('7. Overburden Dumps Piles'!X61&lt;&gt;"",'7. Overburden Dumps Piles'!X61&lt;'7. Overburden Dumps Piles'!W$52),"Y","No Alert")</f>
        <v>No Alert</v>
      </c>
      <c r="G17" s="989" t="str">
        <f>IF(AND('7. Overburden Dumps Piles'!AH61&lt;&gt;"",'7. Overburden Dumps Piles'!AH61&lt;'7. Overburden Dumps Piles'!AG61),"Y","No Alert")</f>
        <v>No Alert</v>
      </c>
      <c r="H17" s="989" t="str">
        <f>IF(AND('7. Overburden Dumps Piles'!AY61&lt;&gt;"",'7. Overburden Dumps Piles'!AY61&lt;'7. Overburden Dumps Piles'!AX61),"Y","No Alert")</f>
        <v>No Alert</v>
      </c>
      <c r="I17" s="989" t="str">
        <f>IF(AND('7. Overburden Dumps Piles'!BN61&lt;&gt;"",'7. Overburden Dumps Piles'!BN61&lt;'7. Overburden Dumps Piles'!BM61),"Y","No Alert")</f>
        <v>No Alert</v>
      </c>
      <c r="J17" s="989" t="str">
        <f>IF(AND('7. Overburden Dumps Piles'!CN61&lt;&gt;"",'7. Overburden Dumps Piles'!CN61&lt;'7. Overburden Dumps Piles'!CM61),"Y","No Alert")</f>
        <v>No Alert</v>
      </c>
      <c r="K17" s="1164" t="str">
        <f>IF('7. Overburden Dumps Piles'!EC61&gt;0,"Y","No Alert")</f>
        <v>No Alert</v>
      </c>
      <c r="L17" s="1164" t="str">
        <f>IF('7. Overburden Dumps Piles'!EH61="Error","Y","N")</f>
        <v>N</v>
      </c>
      <c r="M17" s="1347"/>
    </row>
    <row r="18" spans="1:13">
      <c r="B18" s="554">
        <f>'7. Overburden Dumps Piles'!C62</f>
        <v>11</v>
      </c>
      <c r="C18" s="1341">
        <f>'7. Overburden Dumps Piles'!D62</f>
        <v>0</v>
      </c>
      <c r="D18" s="989" t="str">
        <f>IF(AND('7. Overburden Dumps Piles'!X62&lt;&gt;"",'7. Overburden Dumps Piles'!X62&lt;'7. Overburden Dumps Piles'!W$52),"Y","No Alert")</f>
        <v>No Alert</v>
      </c>
      <c r="G18" s="989" t="str">
        <f>IF(AND('7. Overburden Dumps Piles'!AH62&lt;&gt;"",'7. Overburden Dumps Piles'!AH62&lt;'7. Overburden Dumps Piles'!AG62),"Y","No Alert")</f>
        <v>No Alert</v>
      </c>
      <c r="H18" s="989" t="str">
        <f>IF(AND('7. Overburden Dumps Piles'!AY62&lt;&gt;"",'7. Overburden Dumps Piles'!AY62&lt;'7. Overburden Dumps Piles'!AX62),"Y","No Alert")</f>
        <v>No Alert</v>
      </c>
      <c r="I18" s="989" t="str">
        <f>IF(AND('7. Overburden Dumps Piles'!BN62&lt;&gt;"",'7. Overburden Dumps Piles'!BN62&lt;'7. Overburden Dumps Piles'!BM62),"Y","No Alert")</f>
        <v>No Alert</v>
      </c>
      <c r="J18" s="989" t="str">
        <f>IF(AND('7. Overburden Dumps Piles'!CN62&lt;&gt;"",'7. Overburden Dumps Piles'!CN62&lt;'7. Overburden Dumps Piles'!CM62),"Y","No Alert")</f>
        <v>No Alert</v>
      </c>
      <c r="K18" s="1164" t="str">
        <f>IF('7. Overburden Dumps Piles'!EC62&gt;0,"Y","No Alert")</f>
        <v>No Alert</v>
      </c>
      <c r="L18" s="1164" t="str">
        <f>IF('7. Overburden Dumps Piles'!EH62="Error","Y","N")</f>
        <v>N</v>
      </c>
      <c r="M18" s="1347"/>
    </row>
    <row r="19" spans="1:13">
      <c r="B19" s="554">
        <f>'7. Overburden Dumps Piles'!C63</f>
        <v>12</v>
      </c>
      <c r="C19" s="1341">
        <f>'7. Overburden Dumps Piles'!D63</f>
        <v>0</v>
      </c>
      <c r="D19" s="989" t="str">
        <f>IF(AND('7. Overburden Dumps Piles'!X63&lt;&gt;"",'7. Overburden Dumps Piles'!X63&lt;'7. Overburden Dumps Piles'!W$52),"Y","No Alert")</f>
        <v>No Alert</v>
      </c>
      <c r="G19" s="989" t="str">
        <f>IF(AND('7. Overburden Dumps Piles'!AH63&lt;&gt;"",'7. Overburden Dumps Piles'!AH63&lt;'7. Overburden Dumps Piles'!AG63),"Y","No Alert")</f>
        <v>No Alert</v>
      </c>
      <c r="H19" s="989" t="str">
        <f>IF(AND('7. Overburden Dumps Piles'!AY63&lt;&gt;"",'7. Overburden Dumps Piles'!AY63&lt;'7. Overburden Dumps Piles'!AX63),"Y","No Alert")</f>
        <v>No Alert</v>
      </c>
      <c r="I19" s="989" t="str">
        <f>IF(AND('7. Overburden Dumps Piles'!BN63&lt;&gt;"",'7. Overburden Dumps Piles'!BN63&lt;'7. Overburden Dumps Piles'!BM63),"Y","No Alert")</f>
        <v>No Alert</v>
      </c>
      <c r="J19" s="989" t="str">
        <f>IF(AND('7. Overburden Dumps Piles'!CN63&lt;&gt;"",'7. Overburden Dumps Piles'!CN63&lt;'7. Overburden Dumps Piles'!CM63),"Y","No Alert")</f>
        <v>No Alert</v>
      </c>
      <c r="K19" s="1164" t="str">
        <f>IF('7. Overburden Dumps Piles'!EC63&gt;0,"Y","No Alert")</f>
        <v>No Alert</v>
      </c>
      <c r="L19" s="1164" t="str">
        <f>IF('7. Overburden Dumps Piles'!EH63="Error","Y","N")</f>
        <v>N</v>
      </c>
      <c r="M19" s="1347"/>
    </row>
    <row r="20" spans="1:13">
      <c r="B20" s="554">
        <f>'7. Overburden Dumps Piles'!C64</f>
        <v>13</v>
      </c>
      <c r="C20" s="1341">
        <f>'7. Overburden Dumps Piles'!D64</f>
        <v>0</v>
      </c>
      <c r="D20" s="989" t="str">
        <f>IF(AND('7. Overburden Dumps Piles'!X64&lt;&gt;"",'7. Overburden Dumps Piles'!X64&lt;'7. Overburden Dumps Piles'!W$52),"Y","No Alert")</f>
        <v>No Alert</v>
      </c>
      <c r="G20" s="989" t="str">
        <f>IF(AND('7. Overburden Dumps Piles'!AH64&lt;&gt;"",'7. Overburden Dumps Piles'!AH64&lt;'7. Overburden Dumps Piles'!AG64),"Y","No Alert")</f>
        <v>No Alert</v>
      </c>
      <c r="H20" s="989" t="str">
        <f>IF(AND('7. Overburden Dumps Piles'!AY64&lt;&gt;"",'7. Overburden Dumps Piles'!AY64&lt;'7. Overburden Dumps Piles'!AX64),"Y","No Alert")</f>
        <v>No Alert</v>
      </c>
      <c r="I20" s="989" t="str">
        <f>IF(AND('7. Overburden Dumps Piles'!BN64&lt;&gt;"",'7. Overburden Dumps Piles'!BN64&lt;'7. Overburden Dumps Piles'!BM64),"Y","No Alert")</f>
        <v>No Alert</v>
      </c>
      <c r="J20" s="989" t="str">
        <f>IF(AND('7. Overburden Dumps Piles'!CN64&lt;&gt;"",'7. Overburden Dumps Piles'!CN64&lt;'7. Overburden Dumps Piles'!CM64),"Y","No Alert")</f>
        <v>No Alert</v>
      </c>
      <c r="K20" s="1164" t="str">
        <f>IF('7. Overburden Dumps Piles'!EC64&gt;0,"Y","No Alert")</f>
        <v>No Alert</v>
      </c>
      <c r="L20" s="1164" t="str">
        <f>IF('7. Overburden Dumps Piles'!EH64="Error","Y","N")</f>
        <v>N</v>
      </c>
      <c r="M20" s="1347"/>
    </row>
    <row r="21" spans="1:13">
      <c r="B21" s="554">
        <f>'7. Overburden Dumps Piles'!C65</f>
        <v>14</v>
      </c>
      <c r="C21" s="1341">
        <f>'7. Overburden Dumps Piles'!D65</f>
        <v>0</v>
      </c>
      <c r="D21" s="989" t="str">
        <f>IF(AND('7. Overburden Dumps Piles'!X65&lt;&gt;"",'7. Overburden Dumps Piles'!X65&lt;'7. Overburden Dumps Piles'!W$52),"Y","No Alert")</f>
        <v>No Alert</v>
      </c>
      <c r="G21" s="989" t="str">
        <f>IF(AND('7. Overburden Dumps Piles'!AH65&lt;&gt;"",'7. Overburden Dumps Piles'!AH65&lt;'7. Overburden Dumps Piles'!AG65),"Y","No Alert")</f>
        <v>No Alert</v>
      </c>
      <c r="H21" s="989" t="str">
        <f>IF(AND('7. Overburden Dumps Piles'!AY65&lt;&gt;"",'7. Overburden Dumps Piles'!AY65&lt;'7. Overburden Dumps Piles'!AX65),"Y","No Alert")</f>
        <v>No Alert</v>
      </c>
      <c r="I21" s="989" t="str">
        <f>IF(AND('7. Overburden Dumps Piles'!BN65&lt;&gt;"",'7. Overburden Dumps Piles'!BN65&lt;'7. Overburden Dumps Piles'!BM65),"Y","No Alert")</f>
        <v>No Alert</v>
      </c>
      <c r="J21" s="989" t="str">
        <f>IF(AND('7. Overburden Dumps Piles'!CN65&lt;&gt;"",'7. Overburden Dumps Piles'!CN65&lt;'7. Overburden Dumps Piles'!CM65),"Y","No Alert")</f>
        <v>No Alert</v>
      </c>
      <c r="K21" s="1164" t="str">
        <f>IF('7. Overburden Dumps Piles'!EC65&gt;0,"Y","No Alert")</f>
        <v>No Alert</v>
      </c>
      <c r="L21" s="1164" t="str">
        <f>IF('7. Overburden Dumps Piles'!EH65="Error","Y","N")</f>
        <v>N</v>
      </c>
      <c r="M21" s="1347"/>
    </row>
    <row r="22" spans="1:13">
      <c r="B22" s="554">
        <f>'7. Overburden Dumps Piles'!C66</f>
        <v>15</v>
      </c>
      <c r="C22" s="1341">
        <f>'7. Overburden Dumps Piles'!D66</f>
        <v>0</v>
      </c>
      <c r="D22" s="989" t="str">
        <f>IF(AND('7. Overburden Dumps Piles'!X66&lt;&gt;"",'7. Overburden Dumps Piles'!X66&lt;'7. Overburden Dumps Piles'!W$52),"Y","No Alert")</f>
        <v>No Alert</v>
      </c>
      <c r="G22" s="989" t="str">
        <f>IF(AND('7. Overburden Dumps Piles'!AH66&lt;&gt;"",'7. Overburden Dumps Piles'!AH66&lt;'7. Overburden Dumps Piles'!AG66),"Y","No Alert")</f>
        <v>No Alert</v>
      </c>
      <c r="H22" s="989" t="str">
        <f>IF(AND('7. Overburden Dumps Piles'!AY66&lt;&gt;"",'7. Overburden Dumps Piles'!AY66&lt;'7. Overburden Dumps Piles'!AX66),"Y","No Alert")</f>
        <v>No Alert</v>
      </c>
      <c r="I22" s="989" t="str">
        <f>IF(AND('7. Overburden Dumps Piles'!BN66&lt;&gt;"",'7. Overburden Dumps Piles'!BN66&lt;'7. Overburden Dumps Piles'!BM66),"Y","No Alert")</f>
        <v>No Alert</v>
      </c>
      <c r="J22" s="989" t="str">
        <f>IF(AND('7. Overburden Dumps Piles'!CN66&lt;&gt;"",'7. Overburden Dumps Piles'!CN66&lt;'7. Overburden Dumps Piles'!CM66),"Y","No Alert")</f>
        <v>No Alert</v>
      </c>
      <c r="K22" s="1164" t="str">
        <f>IF('7. Overburden Dumps Piles'!EC66&gt;0,"Y","No Alert")</f>
        <v>No Alert</v>
      </c>
      <c r="L22" s="1164" t="str">
        <f>IF('7. Overburden Dumps Piles'!EH66="Error","Y","N")</f>
        <v>N</v>
      </c>
      <c r="M22" s="1347"/>
    </row>
    <row r="23" spans="1:13">
      <c r="B23" s="554">
        <f>'7. Overburden Dumps Piles'!C67</f>
        <v>16</v>
      </c>
      <c r="C23" s="1341">
        <f>'7. Overburden Dumps Piles'!D67</f>
        <v>0</v>
      </c>
      <c r="D23" s="989" t="str">
        <f>IF(AND('7. Overburden Dumps Piles'!X67&lt;&gt;"",'7. Overburden Dumps Piles'!X67&lt;'7. Overburden Dumps Piles'!W$52),"Y","No Alert")</f>
        <v>No Alert</v>
      </c>
      <c r="G23" s="989" t="str">
        <f>IF(AND('7. Overburden Dumps Piles'!AH67&lt;&gt;"",'7. Overburden Dumps Piles'!AH67&lt;'7. Overburden Dumps Piles'!AG67),"Y","No Alert")</f>
        <v>No Alert</v>
      </c>
      <c r="H23" s="989" t="str">
        <f>IF(AND('7. Overburden Dumps Piles'!AY67&lt;&gt;"",'7. Overburden Dumps Piles'!AY67&lt;'7. Overburden Dumps Piles'!AX67),"Y","No Alert")</f>
        <v>No Alert</v>
      </c>
      <c r="I23" s="989" t="str">
        <f>IF(AND('7. Overburden Dumps Piles'!BN67&lt;&gt;"",'7. Overburden Dumps Piles'!BN67&lt;'7. Overburden Dumps Piles'!BM67),"Y","No Alert")</f>
        <v>No Alert</v>
      </c>
      <c r="J23" s="989" t="str">
        <f>IF(AND('7. Overburden Dumps Piles'!CN67&lt;&gt;"",'7. Overburden Dumps Piles'!CN67&lt;'7. Overburden Dumps Piles'!CM67),"Y","No Alert")</f>
        <v>No Alert</v>
      </c>
      <c r="K23" s="1164" t="str">
        <f>IF('7. Overburden Dumps Piles'!EC67&gt;0,"Y","No Alert")</f>
        <v>No Alert</v>
      </c>
      <c r="L23" s="1164" t="str">
        <f>IF('7. Overburden Dumps Piles'!EH67="Error","Y","N")</f>
        <v>N</v>
      </c>
      <c r="M23" s="1347"/>
    </row>
    <row r="24" spans="1:13">
      <c r="B24" s="554">
        <f>'7. Overburden Dumps Piles'!C68</f>
        <v>17</v>
      </c>
      <c r="C24" s="1341">
        <f>'7. Overburden Dumps Piles'!D68</f>
        <v>0</v>
      </c>
      <c r="D24" s="989" t="str">
        <f>IF(AND('7. Overburden Dumps Piles'!X68&lt;&gt;"",'7. Overburden Dumps Piles'!X68&lt;'7. Overburden Dumps Piles'!W$52),"Y","No Alert")</f>
        <v>No Alert</v>
      </c>
      <c r="G24" s="989" t="str">
        <f>IF(AND('7. Overburden Dumps Piles'!AH68&lt;&gt;"",'7. Overburden Dumps Piles'!AH68&lt;'7. Overburden Dumps Piles'!AG68),"Y","No Alert")</f>
        <v>No Alert</v>
      </c>
      <c r="H24" s="989" t="str">
        <f>IF(AND('7. Overburden Dumps Piles'!AY68&lt;&gt;"",'7. Overburden Dumps Piles'!AY68&lt;'7. Overburden Dumps Piles'!AX68),"Y","No Alert")</f>
        <v>No Alert</v>
      </c>
      <c r="I24" s="989" t="str">
        <f>IF(AND('7. Overburden Dumps Piles'!BN68&lt;&gt;"",'7. Overburden Dumps Piles'!BN68&lt;'7. Overburden Dumps Piles'!BM68),"Y","No Alert")</f>
        <v>No Alert</v>
      </c>
      <c r="J24" s="989" t="str">
        <f>IF(AND('7. Overburden Dumps Piles'!CN68&lt;&gt;"",'7. Overburden Dumps Piles'!CN68&lt;'7. Overburden Dumps Piles'!CM68),"Y","No Alert")</f>
        <v>No Alert</v>
      </c>
      <c r="K24" s="1164" t="str">
        <f>IF('7. Overburden Dumps Piles'!EC68&gt;0,"Y","No Alert")</f>
        <v>No Alert</v>
      </c>
      <c r="L24" s="1164" t="str">
        <f>IF('7. Overburden Dumps Piles'!EH68="Error","Y","N")</f>
        <v>N</v>
      </c>
      <c r="M24" s="1347"/>
    </row>
    <row r="25" spans="1:13">
      <c r="A25" s="1342"/>
      <c r="B25" s="1342"/>
      <c r="C25" s="1342"/>
      <c r="D25" s="1342"/>
      <c r="G25" s="1342"/>
      <c r="H25" s="1342"/>
      <c r="I25" s="1342"/>
      <c r="J25" s="1342"/>
      <c r="K25" s="1342"/>
      <c r="L25" s="1342"/>
      <c r="M25" s="1343"/>
    </row>
    <row r="26" spans="1:13" ht="38.65" customHeight="1">
      <c r="C26" s="1338" t="str">
        <f>'7. Overburden Dumps Piles'!C78</f>
        <v>Overburden Dumps and Spoil Piles (User Defined)</v>
      </c>
      <c r="D26" s="1339" t="str">
        <f>'7. Overburden Dumps Piles'!V79</f>
        <v>User Slope Rock Armour Cover Thickness (m)*</v>
      </c>
      <c r="G26" s="1342"/>
      <c r="H26" s="1342"/>
      <c r="I26" s="1339" t="str">
        <f>'7. Overburden Dumps Piles'!AD79</f>
        <v>User Input Thickness of Rock Cover Layer  (m)*</v>
      </c>
      <c r="J26" s="1339" t="str">
        <f>'7. Overburden Dumps Piles'!BC79</f>
        <v>User Growth Media Thickness (m)</v>
      </c>
      <c r="K26" s="1339" t="str">
        <f>'7. Overburden Dumps Piles'!CN79</f>
        <v>User Alternate Rate for Engineering ($/ha)</v>
      </c>
      <c r="L26" s="1340" t="s">
        <v>2685</v>
      </c>
      <c r="M26" s="495"/>
    </row>
    <row r="27" spans="1:13">
      <c r="B27" s="554">
        <v>1</v>
      </c>
      <c r="C27" s="1341">
        <f>'7. Overburden Dumps Piles'!D81</f>
        <v>0</v>
      </c>
      <c r="D27" s="989" t="str">
        <f>IF(AND('7. Overburden Dumps Piles'!V81&lt;&gt;"",'7. Overburden Dumps Piles'!V81&lt;'7. Overburden Dumps Piles'!V$77),"Y","No Alert")</f>
        <v>No Alert</v>
      </c>
      <c r="G27" s="1342"/>
      <c r="H27" s="1342"/>
      <c r="I27" s="989" t="str">
        <f>IF(AND('7. Overburden Dumps Piles'!AD81&lt;&gt;"",'7. Overburden Dumps Piles'!AD81&lt;'7. Overburden Dumps Piles'!$V$77),"Y","No Alert")</f>
        <v>No Alert</v>
      </c>
      <c r="J27" s="989" t="str">
        <f>IF(AND('7. Overburden Dumps Piles'!BC81&lt;&gt;"",'7. Overburden Dumps Piles'!BC81&lt;'7. Overburden Dumps Piles'!BC$77),"Y","No Alert")</f>
        <v>No Alert</v>
      </c>
      <c r="K27" s="989" t="str">
        <f>IF('7. Overburden Dumps Piles'!CN81&gt;0,"Y","No Alert")</f>
        <v>No Alert</v>
      </c>
      <c r="L27" s="989" t="str">
        <f>IF('7. Overburden Dumps Piles'!CS81="Error","Y","N")</f>
        <v>N</v>
      </c>
      <c r="M27" s="1347"/>
    </row>
    <row r="28" spans="1:13">
      <c r="B28" s="554">
        <v>2</v>
      </c>
      <c r="C28" s="1341">
        <f>'7. Overburden Dumps Piles'!D82</f>
        <v>0</v>
      </c>
      <c r="D28" s="989" t="str">
        <f>IF(AND('7. Overburden Dumps Piles'!V82&lt;&gt;"",'7. Overburden Dumps Piles'!V82&lt;'7. Overburden Dumps Piles'!V$77),"Y","No Alert")</f>
        <v>No Alert</v>
      </c>
      <c r="G28" s="1342"/>
      <c r="H28" s="1342"/>
      <c r="I28" s="989" t="str">
        <f>IF(AND('7. Overburden Dumps Piles'!AD82&lt;&gt;"",'7. Overburden Dumps Piles'!AD82&lt;'7. Overburden Dumps Piles'!$V$77),"Y","No Alert")</f>
        <v>No Alert</v>
      </c>
      <c r="J28" s="989" t="str">
        <f>IF(AND('7. Overburden Dumps Piles'!BC82&lt;&gt;"",'7. Overburden Dumps Piles'!BC82&lt;'7. Overburden Dumps Piles'!BC$77),"Y","No Alert")</f>
        <v>No Alert</v>
      </c>
      <c r="K28" s="989" t="str">
        <f>IF('7. Overburden Dumps Piles'!CN82&gt;0,"Y","No Alert")</f>
        <v>No Alert</v>
      </c>
      <c r="L28" s="989" t="str">
        <f>IF('7. Overburden Dumps Piles'!CS82="Error","Y","N")</f>
        <v>N</v>
      </c>
      <c r="M28" s="1347"/>
    </row>
    <row r="29" spans="1:13">
      <c r="B29" s="554">
        <v>3</v>
      </c>
      <c r="C29" s="1341">
        <f>'7. Overburden Dumps Piles'!D83</f>
        <v>0</v>
      </c>
      <c r="D29" s="989" t="str">
        <f>IF(AND('7. Overburden Dumps Piles'!V83&lt;&gt;"",'7. Overburden Dumps Piles'!V83&lt;'7. Overburden Dumps Piles'!V$77),"Y","No Alert")</f>
        <v>No Alert</v>
      </c>
      <c r="G29" s="1342"/>
      <c r="H29" s="1342"/>
      <c r="I29" s="989" t="str">
        <f>IF(AND('7. Overburden Dumps Piles'!AD83&lt;&gt;"",'7. Overburden Dumps Piles'!AD83&lt;'7. Overburden Dumps Piles'!$V$77),"Y","No Alert")</f>
        <v>No Alert</v>
      </c>
      <c r="J29" s="989" t="str">
        <f>IF(AND('7. Overburden Dumps Piles'!BC83&lt;&gt;"",'7. Overburden Dumps Piles'!BC83&lt;'7. Overburden Dumps Piles'!BC$77),"Y","No Alert")</f>
        <v>No Alert</v>
      </c>
      <c r="K29" s="989" t="str">
        <f>IF('7. Overburden Dumps Piles'!CN83&gt;0,"Y","No Alert")</f>
        <v>No Alert</v>
      </c>
      <c r="L29" s="989" t="str">
        <f>IF('7. Overburden Dumps Piles'!CS83="Error","Y","N")</f>
        <v>N</v>
      </c>
      <c r="M29" s="1347"/>
    </row>
    <row r="30" spans="1:13">
      <c r="B30" s="554">
        <v>4</v>
      </c>
      <c r="C30" s="1341">
        <f>'7. Overburden Dumps Piles'!D84</f>
        <v>0</v>
      </c>
      <c r="D30" s="989" t="str">
        <f>IF(AND('7. Overburden Dumps Piles'!V84&lt;&gt;"",'7. Overburden Dumps Piles'!V84&lt;'7. Overburden Dumps Piles'!V$77),"Y","No Alert")</f>
        <v>No Alert</v>
      </c>
      <c r="G30" s="1342"/>
      <c r="H30" s="1342"/>
      <c r="I30" s="989" t="str">
        <f>IF(AND('7. Overburden Dumps Piles'!AD84&lt;&gt;"",'7. Overburden Dumps Piles'!AD84&lt;'7. Overburden Dumps Piles'!$V$77),"Y","No Alert")</f>
        <v>No Alert</v>
      </c>
      <c r="J30" s="989" t="str">
        <f>IF(AND('7. Overburden Dumps Piles'!BC84&lt;&gt;"",'7. Overburden Dumps Piles'!BC84&lt;'7. Overburden Dumps Piles'!BC$77),"Y","No Alert")</f>
        <v>No Alert</v>
      </c>
      <c r="K30" s="989" t="str">
        <f>IF('7. Overburden Dumps Piles'!CN84&gt;0,"Y","No Alert")</f>
        <v>No Alert</v>
      </c>
      <c r="L30" s="989" t="str">
        <f>IF('7. Overburden Dumps Piles'!CS84="Error","Y","N")</f>
        <v>N</v>
      </c>
      <c r="M30" s="1347"/>
    </row>
    <row r="31" spans="1:13">
      <c r="B31" s="554">
        <v>5</v>
      </c>
      <c r="C31" s="1341">
        <f>'7. Overburden Dumps Piles'!D85</f>
        <v>0</v>
      </c>
      <c r="D31" s="989" t="str">
        <f>IF(AND('7. Overburden Dumps Piles'!V85&lt;&gt;"",'7. Overburden Dumps Piles'!V85&lt;'7. Overburden Dumps Piles'!V$77),"Y","No Alert")</f>
        <v>No Alert</v>
      </c>
      <c r="G31" s="1342"/>
      <c r="H31" s="1342"/>
      <c r="I31" s="989" t="str">
        <f>IF(AND('7. Overburden Dumps Piles'!AD85&lt;&gt;"",'7. Overburden Dumps Piles'!AD85&lt;'7. Overburden Dumps Piles'!$V$77),"Y","No Alert")</f>
        <v>No Alert</v>
      </c>
      <c r="J31" s="989" t="str">
        <f>IF(AND('7. Overburden Dumps Piles'!BC85&lt;&gt;"",'7. Overburden Dumps Piles'!BC85&lt;'7. Overburden Dumps Piles'!BC$77),"Y","No Alert")</f>
        <v>No Alert</v>
      </c>
      <c r="K31" s="989" t="str">
        <f>IF('7. Overburden Dumps Piles'!CN85&gt;0,"Y","No Alert")</f>
        <v>No Alert</v>
      </c>
      <c r="L31" s="989" t="str">
        <f>IF('7. Overburden Dumps Piles'!CS85="Error","Y","N")</f>
        <v>N</v>
      </c>
      <c r="M31" s="1347"/>
    </row>
    <row r="32" spans="1:13">
      <c r="B32" s="554">
        <v>6</v>
      </c>
      <c r="C32" s="1341">
        <f>'7. Overburden Dumps Piles'!D86</f>
        <v>0</v>
      </c>
      <c r="D32" s="989" t="str">
        <f>IF(AND('7. Overburden Dumps Piles'!V86&lt;&gt;"",'7. Overburden Dumps Piles'!V86&lt;'7. Overburden Dumps Piles'!V$77),"Y","No Alert")</f>
        <v>No Alert</v>
      </c>
      <c r="G32" s="1342"/>
      <c r="H32" s="1342"/>
      <c r="I32" s="989" t="str">
        <f>IF(AND('7. Overburden Dumps Piles'!AD86&lt;&gt;"",'7. Overburden Dumps Piles'!AD86&lt;'7. Overburden Dumps Piles'!$V$77),"Y","No Alert")</f>
        <v>No Alert</v>
      </c>
      <c r="J32" s="989" t="str">
        <f>IF(AND('7. Overburden Dumps Piles'!BC86&lt;&gt;"",'7. Overburden Dumps Piles'!BC86&lt;'7. Overburden Dumps Piles'!BC$77),"Y","No Alert")</f>
        <v>No Alert</v>
      </c>
      <c r="K32" s="989" t="str">
        <f>IF('7. Overburden Dumps Piles'!CN86&gt;0,"Y","No Alert")</f>
        <v>No Alert</v>
      </c>
      <c r="L32" s="989" t="str">
        <f>IF('7. Overburden Dumps Piles'!CS86="Error","Y","N")</f>
        <v>N</v>
      </c>
      <c r="M32" s="1347"/>
    </row>
    <row r="33" spans="1:13">
      <c r="B33" s="554">
        <v>7</v>
      </c>
      <c r="C33" s="1341">
        <f>'7. Overburden Dumps Piles'!D87</f>
        <v>0</v>
      </c>
      <c r="D33" s="989" t="str">
        <f>IF(AND('7. Overburden Dumps Piles'!V87&lt;&gt;"",'7. Overburden Dumps Piles'!V87&lt;'7. Overburden Dumps Piles'!V$77),"Y","No Alert")</f>
        <v>No Alert</v>
      </c>
      <c r="E33" s="582"/>
      <c r="F33" s="1342"/>
      <c r="G33" s="1342"/>
      <c r="H33" s="1342"/>
      <c r="I33" s="989" t="str">
        <f>IF(AND('7. Overburden Dumps Piles'!AD87&lt;&gt;"",'7. Overburden Dumps Piles'!AD87&lt;'7. Overburden Dumps Piles'!$V$77),"Y","No Alert")</f>
        <v>No Alert</v>
      </c>
      <c r="J33" s="989" t="str">
        <f>IF(AND('7. Overburden Dumps Piles'!BC87&lt;&gt;"",'7. Overburden Dumps Piles'!BC87&lt;'7. Overburden Dumps Piles'!BC$77),"Y","No Alert")</f>
        <v>No Alert</v>
      </c>
      <c r="K33" s="989" t="str">
        <f>IF('7. Overburden Dumps Piles'!CN87&gt;0,"Y","No Alert")</f>
        <v>No Alert</v>
      </c>
      <c r="L33" s="989" t="str">
        <f>IF('7. Overburden Dumps Piles'!CS87="Error","Y","N")</f>
        <v>N</v>
      </c>
      <c r="M33" s="1347"/>
    </row>
    <row r="34" spans="1:13">
      <c r="B34" s="554">
        <v>8</v>
      </c>
      <c r="C34" s="1341">
        <f>'7. Overburden Dumps Piles'!D88</f>
        <v>0</v>
      </c>
      <c r="D34" s="989" t="str">
        <f>IF(AND('7. Overburden Dumps Piles'!V88&lt;&gt;"",'7. Overburden Dumps Piles'!V88&lt;'7. Overburden Dumps Piles'!V$77),"Y","No Alert")</f>
        <v>No Alert</v>
      </c>
      <c r="E34" s="582"/>
      <c r="F34" s="1342"/>
      <c r="G34" s="1342"/>
      <c r="H34" s="1342"/>
      <c r="I34" s="989" t="str">
        <f>IF(AND('7. Overburden Dumps Piles'!AD88&lt;&gt;"",'7. Overburden Dumps Piles'!AD88&lt;'7. Overburden Dumps Piles'!$V$77),"Y","No Alert")</f>
        <v>No Alert</v>
      </c>
      <c r="J34" s="989" t="str">
        <f>IF(AND('7. Overburden Dumps Piles'!BC88&lt;&gt;"",'7. Overburden Dumps Piles'!BC88&lt;'7. Overburden Dumps Piles'!BC$77),"Y","No Alert")</f>
        <v>No Alert</v>
      </c>
      <c r="K34" s="989" t="str">
        <f>IF('7. Overburden Dumps Piles'!CN88&gt;0,"Y","No Alert")</f>
        <v>No Alert</v>
      </c>
      <c r="L34" s="989" t="str">
        <f>IF('7. Overburden Dumps Piles'!CS88="Error","Y","N")</f>
        <v>N</v>
      </c>
      <c r="M34" s="1347"/>
    </row>
    <row r="35" spans="1:13">
      <c r="B35" s="554">
        <v>9</v>
      </c>
      <c r="C35" s="1341">
        <f>'7. Overburden Dumps Piles'!D89</f>
        <v>0</v>
      </c>
      <c r="D35" s="989" t="str">
        <f>IF(AND('7. Overburden Dumps Piles'!V89&lt;&gt;"",'7. Overburden Dumps Piles'!V89&lt;'7. Overburden Dumps Piles'!V$77),"Y","No Alert")</f>
        <v>No Alert</v>
      </c>
      <c r="E35" s="582"/>
      <c r="F35" s="1342"/>
      <c r="G35" s="1342"/>
      <c r="H35" s="1342"/>
      <c r="I35" s="989" t="str">
        <f>IF(AND('7. Overburden Dumps Piles'!AD89&lt;&gt;"",'7. Overburden Dumps Piles'!AD89&lt;'7. Overburden Dumps Piles'!$V$77),"Y","No Alert")</f>
        <v>No Alert</v>
      </c>
      <c r="J35" s="989" t="str">
        <f>IF(AND('7. Overburden Dumps Piles'!BC89&lt;&gt;"",'7. Overburden Dumps Piles'!BC89&lt;'7. Overburden Dumps Piles'!BC$77),"Y","No Alert")</f>
        <v>No Alert</v>
      </c>
      <c r="K35" s="989" t="str">
        <f>IF('7. Overburden Dumps Piles'!CN89&gt;0,"Y","No Alert")</f>
        <v>No Alert</v>
      </c>
      <c r="L35" s="989" t="str">
        <f>IF('7. Overburden Dumps Piles'!CS89="Error","Y","N")</f>
        <v>N</v>
      </c>
      <c r="M35" s="1347"/>
    </row>
    <row r="36" spans="1:13">
      <c r="B36" s="554">
        <v>10</v>
      </c>
      <c r="C36" s="1341">
        <f>'7. Overburden Dumps Piles'!D90</f>
        <v>0</v>
      </c>
      <c r="D36" s="989" t="str">
        <f>IF(AND('7. Overburden Dumps Piles'!V90&lt;&gt;"",'7. Overburden Dumps Piles'!V90&lt;'7. Overburden Dumps Piles'!V$77),"Y","No Alert")</f>
        <v>No Alert</v>
      </c>
      <c r="E36" s="582"/>
      <c r="F36" s="1342"/>
      <c r="G36" s="1342"/>
      <c r="H36" s="1342"/>
      <c r="I36" s="989" t="str">
        <f>IF(AND('7. Overburden Dumps Piles'!AD90&lt;&gt;"",'7. Overburden Dumps Piles'!AD90&lt;'7. Overburden Dumps Piles'!$V$77),"Y","No Alert")</f>
        <v>No Alert</v>
      </c>
      <c r="J36" s="989" t="str">
        <f>IF(AND('7. Overburden Dumps Piles'!BC90&lt;&gt;"",'7. Overburden Dumps Piles'!BC90&lt;'7. Overburden Dumps Piles'!BC$77),"Y","No Alert")</f>
        <v>No Alert</v>
      </c>
      <c r="K36" s="989" t="str">
        <f>IF('7. Overburden Dumps Piles'!CN90&gt;0,"Y","No Alert")</f>
        <v>No Alert</v>
      </c>
      <c r="L36" s="989" t="str">
        <f>IF('7. Overburden Dumps Piles'!CS90="Error","Y","N")</f>
        <v>N</v>
      </c>
      <c r="M36" s="1347"/>
    </row>
    <row r="37" spans="1:13">
      <c r="B37" s="554">
        <v>11</v>
      </c>
      <c r="C37" s="1341">
        <f>'7. Overburden Dumps Piles'!D91</f>
        <v>0</v>
      </c>
      <c r="D37" s="989" t="str">
        <f>IF(AND('7. Overburden Dumps Piles'!V91&lt;&gt;"",'7. Overburden Dumps Piles'!V91&lt;'7. Overburden Dumps Piles'!V$77),"Y","No Alert")</f>
        <v>No Alert</v>
      </c>
      <c r="E37" s="582"/>
      <c r="F37" s="1342"/>
      <c r="G37" s="1342"/>
      <c r="H37" s="1342"/>
      <c r="I37" s="989" t="str">
        <f>IF(AND('7. Overburden Dumps Piles'!AD91&lt;&gt;"",'7. Overburden Dumps Piles'!AD91&lt;'7. Overburden Dumps Piles'!$V$77),"Y","No Alert")</f>
        <v>No Alert</v>
      </c>
      <c r="J37" s="989" t="str">
        <f>IF(AND('7. Overburden Dumps Piles'!BC91&lt;&gt;"",'7. Overburden Dumps Piles'!BC91&lt;'7. Overburden Dumps Piles'!BC$77),"Y","No Alert")</f>
        <v>No Alert</v>
      </c>
      <c r="K37" s="989" t="str">
        <f>IF('7. Overburden Dumps Piles'!CN91&gt;0,"Y","No Alert")</f>
        <v>No Alert</v>
      </c>
      <c r="L37" s="989" t="str">
        <f>IF('7. Overburden Dumps Piles'!CS91="Error","Y","N")</f>
        <v>N</v>
      </c>
      <c r="M37" s="1347"/>
    </row>
    <row r="38" spans="1:13">
      <c r="B38" s="554">
        <v>12</v>
      </c>
      <c r="C38" s="1341">
        <f>'7. Overburden Dumps Piles'!D92</f>
        <v>0</v>
      </c>
      <c r="D38" s="989" t="str">
        <f>IF(AND('7. Overburden Dumps Piles'!V92&lt;&gt;"",'7. Overburden Dumps Piles'!V92&lt;'7. Overburden Dumps Piles'!V$77),"Y","No Alert")</f>
        <v>No Alert</v>
      </c>
      <c r="E38" s="582"/>
      <c r="F38" s="1342"/>
      <c r="G38" s="1342"/>
      <c r="H38" s="1342"/>
      <c r="I38" s="989" t="str">
        <f>IF(AND('7. Overburden Dumps Piles'!AD92&lt;&gt;"",'7. Overburden Dumps Piles'!AD92&lt;'7. Overburden Dumps Piles'!$V$77),"Y","No Alert")</f>
        <v>No Alert</v>
      </c>
      <c r="J38" s="989" t="str">
        <f>IF(AND('7. Overburden Dumps Piles'!BC92&lt;&gt;"",'7. Overburden Dumps Piles'!BC92&lt;'7. Overburden Dumps Piles'!BC$77),"Y","No Alert")</f>
        <v>No Alert</v>
      </c>
      <c r="K38" s="989" t="str">
        <f>IF('7. Overburden Dumps Piles'!CN92&gt;0,"Y","No Alert")</f>
        <v>No Alert</v>
      </c>
      <c r="L38" s="989" t="str">
        <f>IF('7. Overburden Dumps Piles'!CS92="Error","Y","N")</f>
        <v>N</v>
      </c>
      <c r="M38" s="1347"/>
    </row>
    <row r="39" spans="1:13">
      <c r="B39" s="554">
        <v>13</v>
      </c>
      <c r="C39" s="1341">
        <f>'7. Overburden Dumps Piles'!D93</f>
        <v>0</v>
      </c>
      <c r="D39" s="989" t="str">
        <f>IF(AND('7. Overburden Dumps Piles'!V93&lt;&gt;"",'7. Overburden Dumps Piles'!V93&lt;'7. Overburden Dumps Piles'!V$77),"Y","No Alert")</f>
        <v>No Alert</v>
      </c>
      <c r="E39" s="582"/>
      <c r="F39" s="1342"/>
      <c r="G39" s="1342"/>
      <c r="H39" s="1342"/>
      <c r="I39" s="989" t="str">
        <f>IF(AND('7. Overburden Dumps Piles'!AD93&lt;&gt;"",'7. Overburden Dumps Piles'!AD93&lt;'7. Overburden Dumps Piles'!$V$77),"Y","No Alert")</f>
        <v>No Alert</v>
      </c>
      <c r="J39" s="989" t="str">
        <f>IF(AND('7. Overburden Dumps Piles'!BC93&lt;&gt;"",'7. Overburden Dumps Piles'!BC93&lt;'7. Overburden Dumps Piles'!BC$77),"Y","No Alert")</f>
        <v>No Alert</v>
      </c>
      <c r="K39" s="989" t="str">
        <f>IF('7. Overburden Dumps Piles'!CN93&gt;0,"Y","No Alert")</f>
        <v>No Alert</v>
      </c>
      <c r="L39" s="989" t="str">
        <f>IF('7. Overburden Dumps Piles'!CS93="Error","Y","N")</f>
        <v>N</v>
      </c>
      <c r="M39" s="1347"/>
    </row>
    <row r="40" spans="1:13">
      <c r="B40" s="554">
        <v>14</v>
      </c>
      <c r="C40" s="1341">
        <f>'7. Overburden Dumps Piles'!D94</f>
        <v>0</v>
      </c>
      <c r="D40" s="989" t="str">
        <f>IF(AND('7. Overburden Dumps Piles'!V94&lt;&gt;"",'7. Overburden Dumps Piles'!V94&lt;'7. Overburden Dumps Piles'!V$77),"Y","No Alert")</f>
        <v>No Alert</v>
      </c>
      <c r="E40" s="582"/>
      <c r="F40" s="1342"/>
      <c r="G40" s="1342"/>
      <c r="H40" s="1342"/>
      <c r="I40" s="989" t="str">
        <f>IF(AND('7. Overburden Dumps Piles'!AD94&lt;&gt;"",'7. Overburden Dumps Piles'!AD94&lt;'7. Overburden Dumps Piles'!$V$77),"Y","No Alert")</f>
        <v>No Alert</v>
      </c>
      <c r="J40" s="989" t="str">
        <f>IF(AND('7. Overburden Dumps Piles'!BC94&lt;&gt;"",'7. Overburden Dumps Piles'!BC94&lt;'7. Overburden Dumps Piles'!BC$77),"Y","No Alert")</f>
        <v>No Alert</v>
      </c>
      <c r="K40" s="989" t="str">
        <f>IF('7. Overburden Dumps Piles'!CN94&gt;0,"Y","No Alert")</f>
        <v>No Alert</v>
      </c>
      <c r="L40" s="989" t="str">
        <f>IF('7. Overburden Dumps Piles'!CS94="Error","Y","N")</f>
        <v>N</v>
      </c>
      <c r="M40" s="1347"/>
    </row>
    <row r="41" spans="1:13">
      <c r="B41" s="554">
        <v>15</v>
      </c>
      <c r="C41" s="1341">
        <f>'7. Overburden Dumps Piles'!D95</f>
        <v>0</v>
      </c>
      <c r="D41" s="989" t="str">
        <f>IF(AND('7. Overburden Dumps Piles'!V95&lt;&gt;"",'7. Overburden Dumps Piles'!V95&lt;'7. Overburden Dumps Piles'!V$77),"Y","No Alert")</f>
        <v>No Alert</v>
      </c>
      <c r="E41" s="582"/>
      <c r="F41" s="1342"/>
      <c r="G41" s="1342"/>
      <c r="H41" s="1342"/>
      <c r="I41" s="989" t="str">
        <f>IF(AND('7. Overburden Dumps Piles'!AD95&lt;&gt;"",'7. Overburden Dumps Piles'!AD95&lt;'7. Overburden Dumps Piles'!$V$77),"Y","No Alert")</f>
        <v>No Alert</v>
      </c>
      <c r="J41" s="989" t="str">
        <f>IF(AND('7. Overburden Dumps Piles'!BC95&lt;&gt;"",'7. Overburden Dumps Piles'!BC95&lt;'7. Overburden Dumps Piles'!BC$77),"Y","No Alert")</f>
        <v>No Alert</v>
      </c>
      <c r="K41" s="989" t="str">
        <f>IF('7. Overburden Dumps Piles'!CN95&gt;0,"Y","No Alert")</f>
        <v>No Alert</v>
      </c>
      <c r="L41" s="989" t="str">
        <f>IF('7. Overburden Dumps Piles'!CS95="Error","Y","N")</f>
        <v>N</v>
      </c>
      <c r="M41" s="1347"/>
    </row>
    <row r="42" spans="1:13">
      <c r="B42" s="554">
        <v>16</v>
      </c>
      <c r="C42" s="1341">
        <f>'7. Overburden Dumps Piles'!D96</f>
        <v>0</v>
      </c>
      <c r="D42" s="989" t="str">
        <f>IF(AND('7. Overburden Dumps Piles'!V96&lt;&gt;"",'7. Overburden Dumps Piles'!V96&lt;'7. Overburden Dumps Piles'!V$77),"Y","No Alert")</f>
        <v>No Alert</v>
      </c>
      <c r="E42" s="582"/>
      <c r="F42" s="1342"/>
      <c r="G42" s="1342"/>
      <c r="H42" s="1342"/>
      <c r="I42" s="989" t="str">
        <f>IF(AND('7. Overburden Dumps Piles'!AD96&lt;&gt;"",'7. Overburden Dumps Piles'!AD96&lt;'7. Overburden Dumps Piles'!$V$77),"Y","No Alert")</f>
        <v>No Alert</v>
      </c>
      <c r="J42" s="989" t="str">
        <f>IF(AND('7. Overburden Dumps Piles'!BC96&lt;&gt;"",'7. Overburden Dumps Piles'!BC96&lt;'7. Overburden Dumps Piles'!BC$77),"Y","No Alert")</f>
        <v>No Alert</v>
      </c>
      <c r="K42" s="989" t="str">
        <f>IF('7. Overburden Dumps Piles'!CN96&gt;0,"Y","No Alert")</f>
        <v>No Alert</v>
      </c>
      <c r="L42" s="989" t="str">
        <f>IF('7. Overburden Dumps Piles'!CS96="Error","Y","N")</f>
        <v>N</v>
      </c>
      <c r="M42" s="1347"/>
    </row>
    <row r="43" spans="1:13">
      <c r="B43" s="554">
        <v>17</v>
      </c>
      <c r="C43" s="1341">
        <f>'7. Overburden Dumps Piles'!D97</f>
        <v>0</v>
      </c>
      <c r="D43" s="989" t="str">
        <f>IF(AND('7. Overburden Dumps Piles'!V97&lt;&gt;"",'7. Overburden Dumps Piles'!V97&lt;'7. Overburden Dumps Piles'!V$77),"Y","No Alert")</f>
        <v>No Alert</v>
      </c>
      <c r="E43" s="582"/>
      <c r="F43" s="1342"/>
      <c r="G43" s="1342"/>
      <c r="H43" s="1342"/>
      <c r="I43" s="989" t="str">
        <f>IF(AND('7. Overburden Dumps Piles'!AD97&lt;&gt;"",'7. Overburden Dumps Piles'!AD97&lt;'7. Overburden Dumps Piles'!$V$77),"Y","No Alert")</f>
        <v>No Alert</v>
      </c>
      <c r="J43" s="989" t="str">
        <f>IF(AND('7. Overburden Dumps Piles'!BC97&lt;&gt;"",'7. Overburden Dumps Piles'!BC97&lt;'7. Overburden Dumps Piles'!BC$77),"Y","No Alert")</f>
        <v>No Alert</v>
      </c>
      <c r="K43" s="989" t="str">
        <f>IF('7. Overburden Dumps Piles'!CN97&gt;0,"Y","No Alert")</f>
        <v>No Alert</v>
      </c>
      <c r="L43" s="989" t="str">
        <f>IF('7. Overburden Dumps Piles'!CS97="Error","Y","N")</f>
        <v>N</v>
      </c>
      <c r="M43" s="1347"/>
    </row>
    <row r="44" spans="1:13">
      <c r="A44" s="1342"/>
      <c r="B44" s="1342"/>
      <c r="C44" s="1342"/>
      <c r="D44" s="1342"/>
      <c r="E44" s="1342"/>
      <c r="F44" s="1342"/>
      <c r="G44" s="1342"/>
      <c r="H44" s="1342"/>
      <c r="I44" s="1342"/>
      <c r="J44" s="1342"/>
      <c r="K44" s="1342"/>
      <c r="L44" s="1342"/>
      <c r="M44" s="1343"/>
    </row>
    <row r="45" spans="1:13" ht="43.15" customHeight="1">
      <c r="C45" s="1344" t="str">
        <f>'7. Overburden Dumps Piles'!C107</f>
        <v>Growth Media Stockpiles</v>
      </c>
      <c r="D45" s="1342"/>
      <c r="E45" s="1342"/>
      <c r="F45" s="1342"/>
      <c r="G45" s="1342"/>
      <c r="H45" s="1342"/>
      <c r="I45" s="1342"/>
      <c r="J45" s="1339" t="str">
        <f>'7. Overburden Dumps Piles'!M108</f>
        <v>User Growth Media Thickness (m)*</v>
      </c>
      <c r="K45" s="1342"/>
      <c r="L45" s="1340" t="s">
        <v>2685</v>
      </c>
      <c r="M45" s="495"/>
    </row>
    <row r="46" spans="1:13">
      <c r="B46" s="554">
        <v>1</v>
      </c>
      <c r="C46" s="1341">
        <f>'7. Overburden Dumps Piles'!D110</f>
        <v>0</v>
      </c>
      <c r="D46" s="1342"/>
      <c r="E46" s="1342"/>
      <c r="F46" s="1342"/>
      <c r="G46" s="1342"/>
      <c r="H46" s="1342"/>
      <c r="I46" s="1342"/>
      <c r="J46" s="989" t="str">
        <f>IF(AND('7. Overburden Dumps Piles'!M110&lt;&gt;"",'7. Overburden Dumps Piles'!M110&lt;'7. Overburden Dumps Piles'!M$106),"Y","No Alert")</f>
        <v>No Alert</v>
      </c>
      <c r="K46" s="1342"/>
      <c r="L46" s="989" t="str">
        <f>IF('7. Overburden Dumps Piles'!BB110="Error","Y","N")</f>
        <v>N</v>
      </c>
      <c r="M46" s="1347"/>
    </row>
    <row r="47" spans="1:13">
      <c r="B47" s="554">
        <v>2</v>
      </c>
      <c r="C47" s="1341">
        <f>'7. Overburden Dumps Piles'!D111</f>
        <v>0</v>
      </c>
      <c r="D47" s="1342"/>
      <c r="E47" s="1342"/>
      <c r="F47" s="1342"/>
      <c r="G47" s="1342"/>
      <c r="H47" s="1342"/>
      <c r="I47" s="1342"/>
      <c r="J47" s="989" t="str">
        <f>IF(AND('7. Overburden Dumps Piles'!M111&lt;&gt;"",'7. Overburden Dumps Piles'!M111&lt;'7. Overburden Dumps Piles'!M$106),"Y","No Alert")</f>
        <v>No Alert</v>
      </c>
      <c r="L47" s="989" t="str">
        <f>IF('7. Overburden Dumps Piles'!BB111="Error","Y","N")</f>
        <v>N</v>
      </c>
      <c r="M47" s="1347"/>
    </row>
    <row r="48" spans="1:13">
      <c r="B48" s="554">
        <v>3</v>
      </c>
      <c r="C48" s="1341">
        <f>'7. Overburden Dumps Piles'!D112</f>
        <v>0</v>
      </c>
      <c r="D48" s="1342"/>
      <c r="E48" s="1342"/>
      <c r="F48" s="1342"/>
      <c r="G48" s="1342"/>
      <c r="H48" s="1342"/>
      <c r="I48" s="1342"/>
      <c r="J48" s="989" t="str">
        <f>IF(AND('7. Overburden Dumps Piles'!M112&lt;&gt;"",'7. Overburden Dumps Piles'!M112&lt;'7. Overburden Dumps Piles'!M$106),"Y","No Alert")</f>
        <v>No Alert</v>
      </c>
      <c r="L48" s="989" t="str">
        <f>IF('7. Overburden Dumps Piles'!BB112="Error","Y","N")</f>
        <v>N</v>
      </c>
      <c r="M48" s="1347"/>
    </row>
    <row r="49" spans="2:14">
      <c r="B49" s="554">
        <v>4</v>
      </c>
      <c r="C49" s="1341">
        <f>'7. Overburden Dumps Piles'!D113</f>
        <v>0</v>
      </c>
      <c r="J49" s="989" t="str">
        <f>IF(AND('7. Overburden Dumps Piles'!M113&lt;&gt;"",'7. Overburden Dumps Piles'!M113&lt;'7. Overburden Dumps Piles'!M$106),"Y","No Alert")</f>
        <v>No Alert</v>
      </c>
      <c r="L49" s="989" t="str">
        <f>IF('7. Overburden Dumps Piles'!BB113="Error","Y","N")</f>
        <v>N</v>
      </c>
      <c r="M49" s="1347"/>
    </row>
    <row r="50" spans="2:14">
      <c r="B50" s="554">
        <v>5</v>
      </c>
      <c r="C50" s="1341">
        <f>'7. Overburden Dumps Piles'!D114</f>
        <v>0</v>
      </c>
      <c r="J50" s="989" t="str">
        <f>IF(AND('7. Overburden Dumps Piles'!M114&lt;&gt;"",'7. Overburden Dumps Piles'!M114&lt;'7. Overburden Dumps Piles'!M$106),"Y","No Alert")</f>
        <v>No Alert</v>
      </c>
      <c r="L50" s="989" t="str">
        <f>IF('7. Overburden Dumps Piles'!BB114="Error","Y","N")</f>
        <v>N</v>
      </c>
      <c r="M50" s="1347"/>
    </row>
    <row r="51" spans="2:14">
      <c r="B51" s="554">
        <v>6</v>
      </c>
      <c r="C51" s="1341">
        <f>'7. Overburden Dumps Piles'!D115</f>
        <v>0</v>
      </c>
      <c r="J51" s="989" t="str">
        <f>IF(AND('7. Overburden Dumps Piles'!M115&lt;&gt;"",'7. Overburden Dumps Piles'!M115&lt;'7. Overburden Dumps Piles'!M$106),"Y","No Alert")</f>
        <v>No Alert</v>
      </c>
      <c r="L51" s="989" t="str">
        <f>IF('7. Overburden Dumps Piles'!BB115="Error","Y","N")</f>
        <v>N</v>
      </c>
      <c r="M51" s="1347"/>
    </row>
    <row r="52" spans="2:14">
      <c r="B52" s="554">
        <v>7</v>
      </c>
      <c r="C52" s="1341">
        <f>'7. Overburden Dumps Piles'!D116</f>
        <v>0</v>
      </c>
      <c r="J52" s="989" t="str">
        <f>IF(AND('7. Overburden Dumps Piles'!M116&lt;&gt;"",'7. Overburden Dumps Piles'!M116&lt;'7. Overburden Dumps Piles'!M$106),"Y","No Alert")</f>
        <v>No Alert</v>
      </c>
      <c r="L52" s="989" t="str">
        <f>IF('7. Overburden Dumps Piles'!BB116="Error","Y","N")</f>
        <v>N</v>
      </c>
      <c r="M52" s="1347"/>
    </row>
    <row r="53" spans="2:14">
      <c r="B53" s="554">
        <v>8</v>
      </c>
      <c r="C53" s="1341">
        <f>'7. Overburden Dumps Piles'!D117</f>
        <v>0</v>
      </c>
      <c r="J53" s="989" t="str">
        <f>IF(AND('7. Overburden Dumps Piles'!M117&lt;&gt;"",'7. Overburden Dumps Piles'!M117&lt;'7. Overburden Dumps Piles'!M$106),"Y","No Alert")</f>
        <v>No Alert</v>
      </c>
      <c r="L53" s="989" t="str">
        <f>IF('7. Overburden Dumps Piles'!BB117="Error","Y","N")</f>
        <v>N</v>
      </c>
      <c r="M53" s="1347"/>
    </row>
    <row r="54" spans="2:14">
      <c r="B54" s="554">
        <v>9</v>
      </c>
      <c r="C54" s="1341">
        <f>'7. Overburden Dumps Piles'!D118</f>
        <v>0</v>
      </c>
      <c r="J54" s="989" t="str">
        <f>IF(AND('7. Overburden Dumps Piles'!M118&lt;&gt;"",'7. Overburden Dumps Piles'!M118&lt;'7. Overburden Dumps Piles'!M$106),"Y","No Alert")</f>
        <v>No Alert</v>
      </c>
      <c r="L54" s="989" t="str">
        <f>IF('7. Overburden Dumps Piles'!BB118="Error","Y","N")</f>
        <v>N</v>
      </c>
      <c r="M54" s="1347"/>
    </row>
    <row r="55" spans="2:14">
      <c r="B55" s="554">
        <v>10</v>
      </c>
      <c r="C55" s="1341">
        <f>'7. Overburden Dumps Piles'!D119</f>
        <v>0</v>
      </c>
      <c r="J55" s="989" t="str">
        <f>IF(AND('7. Overburden Dumps Piles'!M119&lt;&gt;"",'7. Overburden Dumps Piles'!M119&lt;'7. Overburden Dumps Piles'!M$106),"Y","No Alert")</f>
        <v>No Alert</v>
      </c>
      <c r="L55" s="989" t="str">
        <f>IF('7. Overburden Dumps Piles'!BB119="Error","Y","N")</f>
        <v>N</v>
      </c>
      <c r="M55" s="1347"/>
    </row>
    <row r="56" spans="2:14">
      <c r="B56" s="579"/>
      <c r="C56" s="562"/>
      <c r="J56" s="582"/>
      <c r="L56" s="582"/>
      <c r="M56" s="582"/>
      <c r="N56" s="582"/>
    </row>
    <row r="57" spans="2:14">
      <c r="C57" s="32" t="s">
        <v>2686</v>
      </c>
      <c r="M57" s="1343"/>
    </row>
    <row r="58" spans="2:14" ht="48.6" customHeight="1">
      <c r="C58" s="1338" t="str">
        <f>'8. Heap Leach Pads'!C49</f>
        <v>Heap Leach Pad (User)</v>
      </c>
      <c r="D58" s="1339" t="str">
        <f>'8. Heap Leach Pads'!X50</f>
        <v>User Slope Rock Armour Cover Thickness (m)*</v>
      </c>
      <c r="G58" s="1339" t="str">
        <f>'8. Heap Leach Pads'!AH50</f>
        <v>User Input Thickness of Capillary Break Layer  (m)*</v>
      </c>
      <c r="H58" s="1339" t="str">
        <f>'8. Heap Leach Pads'!AY50</f>
        <v>User Input Thickness of Low Permeability (Clay) Layers  (m)*</v>
      </c>
      <c r="I58" s="1339" t="str">
        <f>'8. Heap Leach Pads'!BN50</f>
        <v>User Input Thickness of Rock Cover Layer  (m)*</v>
      </c>
      <c r="J58" s="1339" t="str">
        <f>'8. Heap Leach Pads'!CV50</f>
        <v>User growth media volume (m3)*</v>
      </c>
      <c r="K58" s="1339" t="str">
        <f>'8. Heap Leach Pads'!EJ50</f>
        <v>User Alternate Rate for Engineering</v>
      </c>
      <c r="L58" s="1340" t="s">
        <v>2685</v>
      </c>
      <c r="M58" s="1345"/>
    </row>
    <row r="59" spans="2:14">
      <c r="B59" s="554">
        <v>1</v>
      </c>
      <c r="C59" s="1341">
        <f>'8. Heap Leach Pads'!D52</f>
        <v>0</v>
      </c>
      <c r="D59" s="989" t="str">
        <f>IF(AND('8. Heap Leach Pads'!X52&lt;&gt;"",'8. Heap Leach Pads'!X52&lt;'8. Heap Leach Pads'!W52),"Y","No Alert")</f>
        <v>No Alert</v>
      </c>
      <c r="E59" s="582"/>
      <c r="F59" s="579"/>
      <c r="G59" s="989" t="str">
        <f>IF(AND('8. Heap Leach Pads'!AH52&lt;&gt;"",'8. Heap Leach Pads'!AH52&lt;'8. Heap Leach Pads'!AG52),"Y","No Alert")</f>
        <v>No Alert</v>
      </c>
      <c r="H59" s="989" t="str">
        <f>IF(AND('8. Heap Leach Pads'!AY52&lt;&gt;"",'8. Heap Leach Pads'!AY52&lt;'8. Heap Leach Pads'!AX52),"Y","No Alert")</f>
        <v>No Alert</v>
      </c>
      <c r="I59" s="989" t="str">
        <f>IF(AND('8. Heap Leach Pads'!BN52&lt;&gt;"",'8. Heap Leach Pads'!BN52&lt;'8. Heap Leach Pads'!BM52),"Y","No Alert")</f>
        <v>No Alert</v>
      </c>
      <c r="J59" s="1164" t="str">
        <f>IF(AND('8. Heap Leach Pads'!CU52&lt;&gt;"",'8. Heap Leach Pads'!CU52&lt;'8. Heap Leach Pads'!CT52),"Y","No Alert")</f>
        <v>No Alert</v>
      </c>
      <c r="K59" s="1164" t="str">
        <f>IF('8. Heap Leach Pads'!EJ52&gt;0,"Y","No Alert")</f>
        <v>No Alert</v>
      </c>
      <c r="L59" s="1164" t="str">
        <f>IF('8. Heap Leach Pads'!EO52="Error","Y","N")</f>
        <v>N</v>
      </c>
      <c r="M59" s="1347"/>
    </row>
    <row r="60" spans="2:14">
      <c r="B60" s="554">
        <f>B59+1</f>
        <v>2</v>
      </c>
      <c r="C60" s="1341">
        <f>'8. Heap Leach Pads'!D53</f>
        <v>0</v>
      </c>
      <c r="D60" s="989" t="str">
        <f>IF(AND('8. Heap Leach Pads'!X53&lt;&gt;"",'8. Heap Leach Pads'!X53&lt;'8. Heap Leach Pads'!W53),"Y","No Alert")</f>
        <v>No Alert</v>
      </c>
      <c r="E60" s="582"/>
      <c r="F60" s="579"/>
      <c r="G60" s="989" t="str">
        <f>IF(AND('8. Heap Leach Pads'!AH53&lt;&gt;"",'8. Heap Leach Pads'!AH53&lt;'8. Heap Leach Pads'!AG53),"Y","No Alert")</f>
        <v>No Alert</v>
      </c>
      <c r="H60" s="989" t="str">
        <f>IF(AND('8. Heap Leach Pads'!AY53&lt;&gt;"",'8. Heap Leach Pads'!AY53&lt;'8. Heap Leach Pads'!AX53),"Y","No Alert")</f>
        <v>No Alert</v>
      </c>
      <c r="I60" s="989" t="str">
        <f>IF(AND('8. Heap Leach Pads'!BN53&lt;&gt;"",'8. Heap Leach Pads'!BN53&lt;'8. Heap Leach Pads'!BM53),"Y","No Alert")</f>
        <v>No Alert</v>
      </c>
      <c r="J60" s="1164" t="str">
        <f>IF(AND('8. Heap Leach Pads'!CU53&lt;&gt;"",'8. Heap Leach Pads'!CU53&lt;'8. Heap Leach Pads'!CT53),"Y","No Alert")</f>
        <v>No Alert</v>
      </c>
      <c r="K60" s="1164" t="str">
        <f>IF('8. Heap Leach Pads'!EJ53&gt;0,"Y","No Alert")</f>
        <v>No Alert</v>
      </c>
      <c r="L60" s="1164" t="str">
        <f>IF('8. Heap Leach Pads'!EO53="Error","Y","N")</f>
        <v>N</v>
      </c>
      <c r="M60" s="1347"/>
    </row>
    <row r="61" spans="2:14">
      <c r="B61" s="554">
        <f t="shared" ref="B61:B75" si="0">B60+1</f>
        <v>3</v>
      </c>
      <c r="C61" s="1341">
        <f>'8. Heap Leach Pads'!D54</f>
        <v>0</v>
      </c>
      <c r="D61" s="989" t="str">
        <f>IF(AND('8. Heap Leach Pads'!X54&lt;&gt;"",'8. Heap Leach Pads'!X54&lt;'8. Heap Leach Pads'!W54),"Y","No Alert")</f>
        <v>No Alert</v>
      </c>
      <c r="E61" s="582"/>
      <c r="F61" s="579"/>
      <c r="G61" s="989" t="str">
        <f>IF(AND('8. Heap Leach Pads'!AH54&lt;&gt;"",'8. Heap Leach Pads'!AH54&lt;'8. Heap Leach Pads'!AG54),"Y","No Alert")</f>
        <v>No Alert</v>
      </c>
      <c r="H61" s="989" t="str">
        <f>IF(AND('8. Heap Leach Pads'!AY54&lt;&gt;"",'8. Heap Leach Pads'!AY54&lt;'8. Heap Leach Pads'!AX54),"Y","No Alert")</f>
        <v>No Alert</v>
      </c>
      <c r="I61" s="989" t="str">
        <f>IF(AND('8. Heap Leach Pads'!BN54&lt;&gt;"",'8. Heap Leach Pads'!BN54&lt;'8. Heap Leach Pads'!BM54),"Y","No Alert")</f>
        <v>No Alert</v>
      </c>
      <c r="J61" s="1164" t="str">
        <f>IF(AND('8. Heap Leach Pads'!CU54&lt;&gt;"",'8. Heap Leach Pads'!CU54&lt;'8. Heap Leach Pads'!CT54),"Y","No Alert")</f>
        <v>No Alert</v>
      </c>
      <c r="K61" s="1164" t="str">
        <f>IF('8. Heap Leach Pads'!EJ54&gt;0,"Y","No Alert")</f>
        <v>No Alert</v>
      </c>
      <c r="L61" s="1164" t="str">
        <f>IF('8. Heap Leach Pads'!EO54="Error","Y","N")</f>
        <v>N</v>
      </c>
      <c r="M61" s="1347"/>
    </row>
    <row r="62" spans="2:14">
      <c r="B62" s="554">
        <f t="shared" si="0"/>
        <v>4</v>
      </c>
      <c r="C62" s="1341">
        <f>'8. Heap Leach Pads'!D55</f>
        <v>0</v>
      </c>
      <c r="D62" s="989" t="str">
        <f>IF(AND('8. Heap Leach Pads'!X55&lt;&gt;"",'8. Heap Leach Pads'!X55&lt;'8. Heap Leach Pads'!W55),"Y","No Alert")</f>
        <v>No Alert</v>
      </c>
      <c r="E62" s="582"/>
      <c r="F62" s="579"/>
      <c r="G62" s="989" t="str">
        <f>IF(AND('8. Heap Leach Pads'!AH55&lt;&gt;"",'8. Heap Leach Pads'!AH55&lt;'8. Heap Leach Pads'!AG55),"Y","No Alert")</f>
        <v>No Alert</v>
      </c>
      <c r="H62" s="989" t="str">
        <f>IF(AND('8. Heap Leach Pads'!AY55&lt;&gt;"",'8. Heap Leach Pads'!AY55&lt;'8. Heap Leach Pads'!AX55),"Y","No Alert")</f>
        <v>No Alert</v>
      </c>
      <c r="I62" s="989" t="str">
        <f>IF(AND('8. Heap Leach Pads'!BN55&lt;&gt;"",'8. Heap Leach Pads'!BN55&lt;'8. Heap Leach Pads'!BM55),"Y","No Alert")</f>
        <v>No Alert</v>
      </c>
      <c r="J62" s="1164" t="str">
        <f>IF(AND('8. Heap Leach Pads'!CU55&lt;&gt;"",'8. Heap Leach Pads'!CU55&lt;'8. Heap Leach Pads'!CT55),"Y","No Alert")</f>
        <v>No Alert</v>
      </c>
      <c r="K62" s="1164" t="str">
        <f>IF('8. Heap Leach Pads'!EJ55&gt;0,"Y","No Alert")</f>
        <v>No Alert</v>
      </c>
      <c r="L62" s="1164" t="str">
        <f>IF('8. Heap Leach Pads'!EO55="Error","Y","N")</f>
        <v>N</v>
      </c>
      <c r="M62" s="1347"/>
    </row>
    <row r="63" spans="2:14">
      <c r="B63" s="554">
        <f t="shared" si="0"/>
        <v>5</v>
      </c>
      <c r="C63" s="1341">
        <f>'8. Heap Leach Pads'!D56</f>
        <v>0</v>
      </c>
      <c r="D63" s="989" t="str">
        <f>IF(AND('8. Heap Leach Pads'!X56&lt;&gt;"",'8. Heap Leach Pads'!X56&lt;'8. Heap Leach Pads'!W56),"Y","No Alert")</f>
        <v>No Alert</v>
      </c>
      <c r="E63" s="582"/>
      <c r="F63" s="579"/>
      <c r="G63" s="989" t="str">
        <f>IF(AND('8. Heap Leach Pads'!AH56&lt;&gt;"",'8. Heap Leach Pads'!AH56&lt;'8. Heap Leach Pads'!AG56),"Y","No Alert")</f>
        <v>No Alert</v>
      </c>
      <c r="H63" s="989" t="str">
        <f>IF(AND('8. Heap Leach Pads'!AY56&lt;&gt;"",'8. Heap Leach Pads'!AY56&lt;'8. Heap Leach Pads'!AX56),"Y","No Alert")</f>
        <v>No Alert</v>
      </c>
      <c r="I63" s="989" t="str">
        <f>IF(AND('8. Heap Leach Pads'!BN56&lt;&gt;"",'8. Heap Leach Pads'!BN56&lt;'8. Heap Leach Pads'!BM56),"Y","No Alert")</f>
        <v>No Alert</v>
      </c>
      <c r="J63" s="1164" t="str">
        <f>IF(AND('8. Heap Leach Pads'!CU56&lt;&gt;"",'8. Heap Leach Pads'!CU56&lt;'8. Heap Leach Pads'!CT56),"Y","No Alert")</f>
        <v>No Alert</v>
      </c>
      <c r="K63" s="1164" t="str">
        <f>IF('8. Heap Leach Pads'!EJ56&gt;0,"Y","No Alert")</f>
        <v>No Alert</v>
      </c>
      <c r="L63" s="1164" t="str">
        <f>IF('8. Heap Leach Pads'!EO56="Error","Y","N")</f>
        <v>N</v>
      </c>
      <c r="M63" s="1347"/>
    </row>
    <row r="64" spans="2:14">
      <c r="B64" s="554">
        <f t="shared" si="0"/>
        <v>6</v>
      </c>
      <c r="C64" s="1341">
        <f>'8. Heap Leach Pads'!D57</f>
        <v>0</v>
      </c>
      <c r="D64" s="989" t="str">
        <f>IF(AND('8. Heap Leach Pads'!X57&lt;&gt;"",'8. Heap Leach Pads'!X57&lt;'8. Heap Leach Pads'!W57),"Y","No Alert")</f>
        <v>No Alert</v>
      </c>
      <c r="E64" s="582"/>
      <c r="F64" s="579"/>
      <c r="G64" s="989" t="str">
        <f>IF(AND('8. Heap Leach Pads'!AH57&lt;&gt;"",'8. Heap Leach Pads'!AH57&lt;'8. Heap Leach Pads'!AG57),"Y","No Alert")</f>
        <v>No Alert</v>
      </c>
      <c r="H64" s="989" t="str">
        <f>IF(AND('8. Heap Leach Pads'!AY57&lt;&gt;"",'8. Heap Leach Pads'!AY57&lt;'8. Heap Leach Pads'!AX57),"Y","No Alert")</f>
        <v>No Alert</v>
      </c>
      <c r="I64" s="989" t="str">
        <f>IF(AND('8. Heap Leach Pads'!BN57&lt;&gt;"",'8. Heap Leach Pads'!BN57&lt;'8. Heap Leach Pads'!BM57),"Y","No Alert")</f>
        <v>No Alert</v>
      </c>
      <c r="J64" s="1164" t="str">
        <f>IF(AND('8. Heap Leach Pads'!CU57&lt;&gt;"",'8. Heap Leach Pads'!CU57&lt;'8. Heap Leach Pads'!CT57),"Y","No Alert")</f>
        <v>No Alert</v>
      </c>
      <c r="K64" s="1164" t="str">
        <f>IF('8. Heap Leach Pads'!EJ57&gt;0,"Y","No Alert")</f>
        <v>No Alert</v>
      </c>
      <c r="L64" s="1164" t="str">
        <f>IF('8. Heap Leach Pads'!EO57="Error","Y","N")</f>
        <v>N</v>
      </c>
      <c r="M64" s="1347"/>
    </row>
    <row r="65" spans="2:13">
      <c r="B65" s="554">
        <f t="shared" si="0"/>
        <v>7</v>
      </c>
      <c r="C65" s="1341">
        <f>'8. Heap Leach Pads'!D58</f>
        <v>0</v>
      </c>
      <c r="D65" s="989" t="str">
        <f>IF(AND('8. Heap Leach Pads'!X58&lt;&gt;"",'8. Heap Leach Pads'!X58&lt;'8. Heap Leach Pads'!W58),"Y","No Alert")</f>
        <v>No Alert</v>
      </c>
      <c r="E65" s="582"/>
      <c r="F65" s="579"/>
      <c r="G65" s="989" t="str">
        <f>IF(AND('8. Heap Leach Pads'!AH58&lt;&gt;"",'8. Heap Leach Pads'!AH58&lt;'8. Heap Leach Pads'!AG58),"Y","No Alert")</f>
        <v>No Alert</v>
      </c>
      <c r="H65" s="989" t="str">
        <f>IF(AND('8. Heap Leach Pads'!AY58&lt;&gt;"",'8. Heap Leach Pads'!AY58&lt;'8. Heap Leach Pads'!AX58),"Y","No Alert")</f>
        <v>No Alert</v>
      </c>
      <c r="I65" s="989" t="str">
        <f>IF(AND('8. Heap Leach Pads'!BN58&lt;&gt;"",'8. Heap Leach Pads'!BN58&lt;'8. Heap Leach Pads'!BM58),"Y","No Alert")</f>
        <v>No Alert</v>
      </c>
      <c r="J65" s="1164" t="str">
        <f>IF(AND('8. Heap Leach Pads'!CU58&lt;&gt;"",'8. Heap Leach Pads'!CU58&lt;'8. Heap Leach Pads'!CT58),"Y","No Alert")</f>
        <v>No Alert</v>
      </c>
      <c r="K65" s="1164" t="str">
        <f>IF('8. Heap Leach Pads'!EJ58&gt;0,"Y","No Alert")</f>
        <v>No Alert</v>
      </c>
      <c r="L65" s="1164" t="str">
        <f>IF('8. Heap Leach Pads'!EO58="Error","Y","N")</f>
        <v>N</v>
      </c>
      <c r="M65" s="1347"/>
    </row>
    <row r="66" spans="2:13">
      <c r="B66" s="554">
        <f t="shared" si="0"/>
        <v>8</v>
      </c>
      <c r="C66" s="1341">
        <f>'8. Heap Leach Pads'!D59</f>
        <v>0</v>
      </c>
      <c r="D66" s="989" t="str">
        <f>IF(AND('8. Heap Leach Pads'!X59&lt;&gt;"",'8. Heap Leach Pads'!X59&lt;'8. Heap Leach Pads'!W59),"Y","No Alert")</f>
        <v>No Alert</v>
      </c>
      <c r="E66" s="582"/>
      <c r="F66" s="579"/>
      <c r="G66" s="989" t="str">
        <f>IF(AND('8. Heap Leach Pads'!AH59&lt;&gt;"",'8. Heap Leach Pads'!AH59&lt;'8. Heap Leach Pads'!AG59),"Y","No Alert")</f>
        <v>No Alert</v>
      </c>
      <c r="H66" s="989" t="str">
        <f>IF(AND('8. Heap Leach Pads'!AY59&lt;&gt;"",'8. Heap Leach Pads'!AY59&lt;'8. Heap Leach Pads'!AX59),"Y","No Alert")</f>
        <v>No Alert</v>
      </c>
      <c r="I66" s="989" t="str">
        <f>IF(AND('8. Heap Leach Pads'!BN59&lt;&gt;"",'8. Heap Leach Pads'!BN59&lt;'8. Heap Leach Pads'!BM59),"Y","No Alert")</f>
        <v>No Alert</v>
      </c>
      <c r="J66" s="1164" t="str">
        <f>IF(AND('8. Heap Leach Pads'!CU59&lt;&gt;"",'8. Heap Leach Pads'!CU59&lt;'8. Heap Leach Pads'!CT59),"Y","No Alert")</f>
        <v>No Alert</v>
      </c>
      <c r="K66" s="1164" t="str">
        <f>IF('8. Heap Leach Pads'!EJ59&gt;0,"Y","No Alert")</f>
        <v>No Alert</v>
      </c>
      <c r="L66" s="1164" t="str">
        <f>IF('8. Heap Leach Pads'!EO59="Error","Y","N")</f>
        <v>N</v>
      </c>
      <c r="M66" s="1347"/>
    </row>
    <row r="67" spans="2:13">
      <c r="B67" s="554">
        <f t="shared" si="0"/>
        <v>9</v>
      </c>
      <c r="C67" s="1341">
        <f>'8. Heap Leach Pads'!D60</f>
        <v>0</v>
      </c>
      <c r="D67" s="989" t="str">
        <f>IF(AND('8. Heap Leach Pads'!X60&lt;&gt;"",'8. Heap Leach Pads'!X60&lt;'8. Heap Leach Pads'!W60),"Y","No Alert")</f>
        <v>No Alert</v>
      </c>
      <c r="E67" s="582"/>
      <c r="F67" s="579"/>
      <c r="G67" s="989" t="str">
        <f>IF(AND('8. Heap Leach Pads'!AH60&lt;&gt;"",'8. Heap Leach Pads'!AH60&lt;'8. Heap Leach Pads'!AG60),"Y","No Alert")</f>
        <v>No Alert</v>
      </c>
      <c r="H67" s="989" t="str">
        <f>IF(AND('8. Heap Leach Pads'!AY60&lt;&gt;"",'8. Heap Leach Pads'!AY60&lt;'8. Heap Leach Pads'!AX60),"Y","No Alert")</f>
        <v>No Alert</v>
      </c>
      <c r="I67" s="989" t="str">
        <f>IF(AND('8. Heap Leach Pads'!BN60&lt;&gt;"",'8. Heap Leach Pads'!BN60&lt;'8. Heap Leach Pads'!BM60),"Y","No Alert")</f>
        <v>No Alert</v>
      </c>
      <c r="J67" s="1164" t="str">
        <f>IF(AND('8. Heap Leach Pads'!CU60&lt;&gt;"",'8. Heap Leach Pads'!CU60&lt;'8. Heap Leach Pads'!CT60),"Y","No Alert")</f>
        <v>No Alert</v>
      </c>
      <c r="K67" s="1164" t="str">
        <f>IF('8. Heap Leach Pads'!EJ60&gt;0,"Y","No Alert")</f>
        <v>No Alert</v>
      </c>
      <c r="L67" s="1164" t="str">
        <f>IF('8. Heap Leach Pads'!EO60="Error","Y","N")</f>
        <v>N</v>
      </c>
      <c r="M67" s="1347"/>
    </row>
    <row r="68" spans="2:13">
      <c r="B68" s="554">
        <f t="shared" si="0"/>
        <v>10</v>
      </c>
      <c r="C68" s="1341">
        <f>'8. Heap Leach Pads'!D61</f>
        <v>0</v>
      </c>
      <c r="D68" s="989" t="str">
        <f>IF(AND('8. Heap Leach Pads'!X61&lt;&gt;"",'8. Heap Leach Pads'!X61&lt;'8. Heap Leach Pads'!W61),"Y","No Alert")</f>
        <v>No Alert</v>
      </c>
      <c r="E68" s="582"/>
      <c r="F68" s="579"/>
      <c r="G68" s="989" t="str">
        <f>IF(AND('8. Heap Leach Pads'!AH61&lt;&gt;"",'8. Heap Leach Pads'!AH61&lt;'8. Heap Leach Pads'!AG61),"Y","No Alert")</f>
        <v>No Alert</v>
      </c>
      <c r="H68" s="989" t="str">
        <f>IF(AND('8. Heap Leach Pads'!AY61&lt;&gt;"",'8. Heap Leach Pads'!AY61&lt;'8. Heap Leach Pads'!AX61),"Y","No Alert")</f>
        <v>No Alert</v>
      </c>
      <c r="I68" s="989" t="str">
        <f>IF(AND('8. Heap Leach Pads'!BN61&lt;&gt;"",'8. Heap Leach Pads'!BN61&lt;'8. Heap Leach Pads'!BM61),"Y","No Alert")</f>
        <v>No Alert</v>
      </c>
      <c r="J68" s="1164" t="str">
        <f>IF(AND('8. Heap Leach Pads'!CU61&lt;&gt;"",'8. Heap Leach Pads'!CU61&lt;'8. Heap Leach Pads'!CT61),"Y","No Alert")</f>
        <v>No Alert</v>
      </c>
      <c r="K68" s="1164" t="str">
        <f>IF('8. Heap Leach Pads'!EJ61&gt;0,"Y","No Alert")</f>
        <v>No Alert</v>
      </c>
      <c r="L68" s="1164" t="str">
        <f>IF('8. Heap Leach Pads'!EO61="Error","Y","N")</f>
        <v>N</v>
      </c>
      <c r="M68" s="1347"/>
    </row>
    <row r="69" spans="2:13">
      <c r="B69" s="554">
        <f t="shared" si="0"/>
        <v>11</v>
      </c>
      <c r="C69" s="1341">
        <f>'8. Heap Leach Pads'!D62</f>
        <v>0</v>
      </c>
      <c r="D69" s="989" t="str">
        <f>IF(AND('8. Heap Leach Pads'!X62&lt;&gt;"",'8. Heap Leach Pads'!X62&lt;'8. Heap Leach Pads'!W62),"Y","No Alert")</f>
        <v>No Alert</v>
      </c>
      <c r="E69" s="582"/>
      <c r="F69" s="579"/>
      <c r="G69" s="989" t="str">
        <f>IF(AND('8. Heap Leach Pads'!AH62&lt;&gt;"",'8. Heap Leach Pads'!AH62&lt;'8. Heap Leach Pads'!AG62),"Y","No Alert")</f>
        <v>No Alert</v>
      </c>
      <c r="H69" s="989" t="str">
        <f>IF(AND('8. Heap Leach Pads'!AY62&lt;&gt;"",'8. Heap Leach Pads'!AY62&lt;'8. Heap Leach Pads'!AX62),"Y","No Alert")</f>
        <v>No Alert</v>
      </c>
      <c r="I69" s="989" t="str">
        <f>IF(AND('8. Heap Leach Pads'!BN62&lt;&gt;"",'8. Heap Leach Pads'!BN62&lt;'8. Heap Leach Pads'!BM62),"Y","No Alert")</f>
        <v>No Alert</v>
      </c>
      <c r="J69" s="1164" t="str">
        <f>IF(AND('8. Heap Leach Pads'!CU62&lt;&gt;"",'8. Heap Leach Pads'!CU62&lt;'8. Heap Leach Pads'!CT62),"Y","No Alert")</f>
        <v>No Alert</v>
      </c>
      <c r="K69" s="1164" t="str">
        <f>IF('8. Heap Leach Pads'!EJ62&gt;0,"Y","No Alert")</f>
        <v>No Alert</v>
      </c>
      <c r="L69" s="1164" t="str">
        <f>IF('8. Heap Leach Pads'!EO62="Error","Y","N")</f>
        <v>N</v>
      </c>
      <c r="M69" s="1347"/>
    </row>
    <row r="70" spans="2:13">
      <c r="B70" s="554">
        <f t="shared" si="0"/>
        <v>12</v>
      </c>
      <c r="C70" s="1341">
        <f>'8. Heap Leach Pads'!D63</f>
        <v>0</v>
      </c>
      <c r="D70" s="989" t="str">
        <f>IF(AND('8. Heap Leach Pads'!X63&lt;&gt;"",'8. Heap Leach Pads'!X63&lt;'8. Heap Leach Pads'!W63),"Y","No Alert")</f>
        <v>No Alert</v>
      </c>
      <c r="E70" s="582"/>
      <c r="F70" s="579"/>
      <c r="G70" s="989" t="str">
        <f>IF(AND('8. Heap Leach Pads'!AH63&lt;&gt;"",'8. Heap Leach Pads'!AH63&lt;'8. Heap Leach Pads'!AG63),"Y","No Alert")</f>
        <v>No Alert</v>
      </c>
      <c r="H70" s="989" t="str">
        <f>IF(AND('8. Heap Leach Pads'!AY63&lt;&gt;"",'8. Heap Leach Pads'!AY63&lt;'8. Heap Leach Pads'!AX63),"Y","No Alert")</f>
        <v>No Alert</v>
      </c>
      <c r="I70" s="989" t="str">
        <f>IF(AND('8. Heap Leach Pads'!BN63&lt;&gt;"",'8. Heap Leach Pads'!BN63&lt;'8. Heap Leach Pads'!BM63),"Y","No Alert")</f>
        <v>No Alert</v>
      </c>
      <c r="J70" s="1164" t="str">
        <f>IF(AND('8. Heap Leach Pads'!CU63&lt;&gt;"",'8. Heap Leach Pads'!CU63&lt;'8. Heap Leach Pads'!CT63),"Y","No Alert")</f>
        <v>No Alert</v>
      </c>
      <c r="K70" s="1164" t="str">
        <f>IF('8. Heap Leach Pads'!EJ63&gt;0,"Y","No Alert")</f>
        <v>No Alert</v>
      </c>
      <c r="L70" s="1164" t="str">
        <f>IF('8. Heap Leach Pads'!EO63="Error","Y","N")</f>
        <v>N</v>
      </c>
      <c r="M70" s="1347"/>
    </row>
    <row r="71" spans="2:13">
      <c r="B71" s="554">
        <f t="shared" si="0"/>
        <v>13</v>
      </c>
      <c r="C71" s="1341">
        <f>'8. Heap Leach Pads'!D64</f>
        <v>0</v>
      </c>
      <c r="D71" s="989" t="str">
        <f>IF(AND('8. Heap Leach Pads'!X64&lt;&gt;"",'8. Heap Leach Pads'!X64&lt;'8. Heap Leach Pads'!W64),"Y","No Alert")</f>
        <v>No Alert</v>
      </c>
      <c r="E71" s="582"/>
      <c r="F71" s="579"/>
      <c r="G71" s="989" t="str">
        <f>IF(AND('8. Heap Leach Pads'!AH64&lt;&gt;"",'8. Heap Leach Pads'!AH64&lt;'8. Heap Leach Pads'!AG64),"Y","No Alert")</f>
        <v>No Alert</v>
      </c>
      <c r="H71" s="989" t="str">
        <f>IF(AND('8. Heap Leach Pads'!AY64&lt;&gt;"",'8. Heap Leach Pads'!AY64&lt;'8. Heap Leach Pads'!AX64),"Y","No Alert")</f>
        <v>No Alert</v>
      </c>
      <c r="I71" s="989" t="str">
        <f>IF(AND('8. Heap Leach Pads'!BN64&lt;&gt;"",'8. Heap Leach Pads'!BN64&lt;'8. Heap Leach Pads'!BM64),"Y","No Alert")</f>
        <v>No Alert</v>
      </c>
      <c r="J71" s="1164" t="str">
        <f>IF(AND('8. Heap Leach Pads'!CU64&lt;&gt;"",'8. Heap Leach Pads'!CU64&lt;'8. Heap Leach Pads'!CT64),"Y","No Alert")</f>
        <v>No Alert</v>
      </c>
      <c r="K71" s="1164" t="str">
        <f>IF('8. Heap Leach Pads'!EJ64&gt;0,"Y","No Alert")</f>
        <v>No Alert</v>
      </c>
      <c r="L71" s="1164" t="str">
        <f>IF('8. Heap Leach Pads'!EO64="Error","Y","N")</f>
        <v>N</v>
      </c>
      <c r="M71" s="1347"/>
    </row>
    <row r="72" spans="2:13">
      <c r="B72" s="554">
        <f t="shared" si="0"/>
        <v>14</v>
      </c>
      <c r="C72" s="1341">
        <f>'8. Heap Leach Pads'!D65</f>
        <v>0</v>
      </c>
      <c r="D72" s="989" t="str">
        <f>IF(AND('8. Heap Leach Pads'!X65&lt;&gt;"",'8. Heap Leach Pads'!X65&lt;'8. Heap Leach Pads'!W65),"Y","No Alert")</f>
        <v>No Alert</v>
      </c>
      <c r="E72" s="582"/>
      <c r="F72" s="579"/>
      <c r="G72" s="989" t="str">
        <f>IF(AND('8. Heap Leach Pads'!AH65&lt;&gt;"",'8. Heap Leach Pads'!AH65&lt;'8. Heap Leach Pads'!AG65),"Y","No Alert")</f>
        <v>No Alert</v>
      </c>
      <c r="H72" s="989" t="str">
        <f>IF(AND('8. Heap Leach Pads'!AY65&lt;&gt;"",'8. Heap Leach Pads'!AY65&lt;'8. Heap Leach Pads'!AX65),"Y","No Alert")</f>
        <v>No Alert</v>
      </c>
      <c r="I72" s="989" t="str">
        <f>IF(AND('8. Heap Leach Pads'!BN65&lt;&gt;"",'8. Heap Leach Pads'!BN65&lt;'8. Heap Leach Pads'!BM65),"Y","No Alert")</f>
        <v>No Alert</v>
      </c>
      <c r="J72" s="1164" t="str">
        <f>IF(AND('8. Heap Leach Pads'!CU65&lt;&gt;"",'8. Heap Leach Pads'!CU65&lt;'8. Heap Leach Pads'!CT65),"Y","No Alert")</f>
        <v>No Alert</v>
      </c>
      <c r="K72" s="1164" t="str">
        <f>IF('8. Heap Leach Pads'!EJ65&gt;0,"Y","No Alert")</f>
        <v>No Alert</v>
      </c>
      <c r="L72" s="1164" t="str">
        <f>IF('8. Heap Leach Pads'!EO65="Error","Y","N")</f>
        <v>N</v>
      </c>
      <c r="M72" s="1347"/>
    </row>
    <row r="73" spans="2:13">
      <c r="B73" s="554">
        <f t="shared" si="0"/>
        <v>15</v>
      </c>
      <c r="C73" s="1341">
        <f>'8. Heap Leach Pads'!D66</f>
        <v>0</v>
      </c>
      <c r="D73" s="989" t="str">
        <f>IF(AND('8. Heap Leach Pads'!X66&lt;&gt;"",'8. Heap Leach Pads'!X66&lt;'8. Heap Leach Pads'!W66),"Y","No Alert")</f>
        <v>No Alert</v>
      </c>
      <c r="E73" s="582"/>
      <c r="F73" s="579"/>
      <c r="G73" s="989" t="str">
        <f>IF(AND('8. Heap Leach Pads'!AH66&lt;&gt;"",'8. Heap Leach Pads'!AH66&lt;'8. Heap Leach Pads'!AG66),"Y","No Alert")</f>
        <v>No Alert</v>
      </c>
      <c r="H73" s="989" t="str">
        <f>IF(AND('8. Heap Leach Pads'!AY66&lt;&gt;"",'8. Heap Leach Pads'!AY66&lt;'8. Heap Leach Pads'!AX66),"Y","No Alert")</f>
        <v>No Alert</v>
      </c>
      <c r="I73" s="989" t="str">
        <f>IF(AND('8. Heap Leach Pads'!BN66&lt;&gt;"",'8. Heap Leach Pads'!BN66&lt;'8. Heap Leach Pads'!BM66),"Y","No Alert")</f>
        <v>No Alert</v>
      </c>
      <c r="J73" s="1164" t="str">
        <f>IF(AND('8. Heap Leach Pads'!CU66&lt;&gt;"",'8. Heap Leach Pads'!CU66&lt;'8. Heap Leach Pads'!CT66),"Y","No Alert")</f>
        <v>No Alert</v>
      </c>
      <c r="K73" s="1164" t="str">
        <f>IF('8. Heap Leach Pads'!EJ66&gt;0,"Y","No Alert")</f>
        <v>No Alert</v>
      </c>
      <c r="L73" s="1164" t="str">
        <f>IF('8. Heap Leach Pads'!EO66="Error","Y","N")</f>
        <v>N</v>
      </c>
      <c r="M73" s="1347"/>
    </row>
    <row r="74" spans="2:13">
      <c r="B74" s="554">
        <f t="shared" si="0"/>
        <v>16</v>
      </c>
      <c r="C74" s="1341">
        <f>'8. Heap Leach Pads'!D67</f>
        <v>0</v>
      </c>
      <c r="D74" s="989" t="str">
        <f>IF(AND('8. Heap Leach Pads'!X67&lt;&gt;"",'8. Heap Leach Pads'!X67&lt;'8. Heap Leach Pads'!W67),"Y","No Alert")</f>
        <v>No Alert</v>
      </c>
      <c r="E74" s="582"/>
      <c r="F74" s="579"/>
      <c r="G74" s="989" t="str">
        <f>IF(AND('8. Heap Leach Pads'!AH67&lt;&gt;"",'8. Heap Leach Pads'!AH67&lt;'8. Heap Leach Pads'!AG67),"Y","No Alert")</f>
        <v>No Alert</v>
      </c>
      <c r="H74" s="989" t="str">
        <f>IF(AND('8. Heap Leach Pads'!AY67&lt;&gt;"",'8. Heap Leach Pads'!AY67&lt;'8. Heap Leach Pads'!AX67),"Y","No Alert")</f>
        <v>No Alert</v>
      </c>
      <c r="I74" s="989" t="str">
        <f>IF(AND('8. Heap Leach Pads'!BN67&lt;&gt;"",'8. Heap Leach Pads'!BN67&lt;'8. Heap Leach Pads'!BM67),"Y","No Alert")</f>
        <v>No Alert</v>
      </c>
      <c r="J74" s="1164" t="str">
        <f>IF(AND('8. Heap Leach Pads'!CU67&lt;&gt;"",'8. Heap Leach Pads'!CU67&lt;'8. Heap Leach Pads'!CT67),"Y","No Alert")</f>
        <v>No Alert</v>
      </c>
      <c r="K74" s="1164" t="str">
        <f>IF('8. Heap Leach Pads'!EJ67&gt;0,"Y","No Alert")</f>
        <v>No Alert</v>
      </c>
      <c r="L74" s="1164" t="str">
        <f>IF('8. Heap Leach Pads'!EO67="Error","Y","N")</f>
        <v>N</v>
      </c>
      <c r="M74" s="1347"/>
    </row>
    <row r="75" spans="2:13">
      <c r="B75" s="554">
        <f t="shared" si="0"/>
        <v>17</v>
      </c>
      <c r="C75" s="1341">
        <f>'8. Heap Leach Pads'!D68</f>
        <v>0</v>
      </c>
      <c r="D75" s="989" t="str">
        <f>IF(AND('8. Heap Leach Pads'!X68&lt;&gt;"",'8. Heap Leach Pads'!X68&lt;'8. Heap Leach Pads'!W68),"Y","No Alert")</f>
        <v>No Alert</v>
      </c>
      <c r="E75" s="582"/>
      <c r="F75" s="579"/>
      <c r="G75" s="989" t="str">
        <f>IF(AND('8. Heap Leach Pads'!AH68&lt;&gt;"",'8. Heap Leach Pads'!AH68&lt;'8. Heap Leach Pads'!AG68),"Y","No Alert")</f>
        <v>No Alert</v>
      </c>
      <c r="H75" s="989" t="str">
        <f>IF(AND('8. Heap Leach Pads'!AY68&lt;&gt;"",'8. Heap Leach Pads'!AY68&lt;'8. Heap Leach Pads'!AX68),"Y","No Alert")</f>
        <v>No Alert</v>
      </c>
      <c r="I75" s="989" t="str">
        <f>IF(AND('8. Heap Leach Pads'!BN68&lt;&gt;"",'8. Heap Leach Pads'!BN68&lt;'8. Heap Leach Pads'!BM68),"Y","No Alert")</f>
        <v>No Alert</v>
      </c>
      <c r="J75" s="1164" t="str">
        <f>IF(AND('8. Heap Leach Pads'!CU68&lt;&gt;"",'8. Heap Leach Pads'!CU68&lt;'8. Heap Leach Pads'!CT68),"Y","No Alert")</f>
        <v>No Alert</v>
      </c>
      <c r="K75" s="1164" t="str">
        <f>IF('8. Heap Leach Pads'!EJ68&gt;0,"Y","No Alert")</f>
        <v>No Alert</v>
      </c>
      <c r="L75" s="1164" t="str">
        <f>IF('8. Heap Leach Pads'!EO68="Error","Y","N")</f>
        <v>N</v>
      </c>
      <c r="M75" s="1347"/>
    </row>
    <row r="76" spans="2:13">
      <c r="B76" s="579"/>
      <c r="C76" s="579"/>
      <c r="D76" s="579"/>
      <c r="E76" s="579"/>
      <c r="F76" s="579"/>
      <c r="G76" s="579"/>
      <c r="H76" s="579"/>
      <c r="I76" s="579"/>
      <c r="J76" s="579"/>
      <c r="K76" s="579"/>
      <c r="L76" s="579"/>
      <c r="M76" s="579"/>
    </row>
    <row r="77" spans="2:13">
      <c r="C77" s="32" t="s">
        <v>2687</v>
      </c>
    </row>
    <row r="78" spans="2:13" ht="61.15" customHeight="1">
      <c r="C78" s="1338" t="str">
        <f>'9. Tailings Storage Facilities'!C50</f>
        <v>Tailings Storage Facilities (User)</v>
      </c>
      <c r="D78" s="1339" t="str">
        <f>'9. Tailings Storage Facilities'!I51</f>
        <v>User Input Thickness of Rock Cover for Embankments (m)</v>
      </c>
      <c r="E78" s="1339" t="str">
        <f>'9. Tailings Storage Facilities'!O51</f>
        <v>User Input Thickness of Rock Cover for Ramps (m)</v>
      </c>
      <c r="F78" s="1339" t="str">
        <f>'9. Tailings Storage Facilities'!AG51</f>
        <v>User Input Thickness of Working Layer Rock Cover for Tailings (m)*</v>
      </c>
      <c r="G78" s="1339" t="str">
        <f>'9. Tailings Storage Facilities'!AW51</f>
        <v>User Input Thickness of Capillary Break Layer  (m)*</v>
      </c>
      <c r="H78" s="1339" t="str">
        <f>'9. Tailings Storage Facilities'!BO51</f>
        <v>User Input Thickness of Low Permeability (Clay) Layers  (m)*</v>
      </c>
      <c r="I78" s="1339" t="str">
        <f>'9. Tailings Storage Facilities'!CD51</f>
        <v>User Input Thickness of Rock Cover Layer  (m)*</v>
      </c>
      <c r="J78" s="1339" t="str">
        <f>'9. Tailings Storage Facilities'!DH51</f>
        <v>User growth media volume (m3)*</v>
      </c>
      <c r="K78" s="1339" t="str">
        <f>'9. Tailings Storage Facilities'!EW51</f>
        <v>User Alternate Rate for Engineering</v>
      </c>
      <c r="L78" s="1340" t="s">
        <v>2685</v>
      </c>
      <c r="M78" s="1346"/>
    </row>
    <row r="79" spans="2:13">
      <c r="B79" s="554">
        <v>1</v>
      </c>
      <c r="C79" s="1341">
        <f>'9. Tailings Storage Facilities'!D53</f>
        <v>0</v>
      </c>
      <c r="D79" s="989" t="str">
        <f>IF(AND('9. Tailings Storage Facilities'!I53&lt;&gt;"",'9. Tailings Storage Facilities'!I53&lt;'9. Tailings Storage Facilities'!H53),"Y","No Alert")</f>
        <v>No Alert</v>
      </c>
      <c r="E79" s="989" t="str">
        <f>IF(AND('9. Tailings Storage Facilities'!O53&lt;&gt;"",'9. Tailings Storage Facilities'!O53&lt;'9. Tailings Storage Facilities'!N53),"Y","No Alert")</f>
        <v>No Alert</v>
      </c>
      <c r="F79" s="989" t="str">
        <f>IF(AND('9. Tailings Storage Facilities'!AG53&lt;&gt;"",'9. Tailings Storage Facilities'!AG53&lt;'9. Tailings Storage Facilities'!AF53),"Y","No Alert")</f>
        <v>No Alert</v>
      </c>
      <c r="G79" s="989" t="str">
        <f>IF(AND('9. Tailings Storage Facilities'!AW53&lt;&gt;"",'9. Tailings Storage Facilities'!AW53&lt;'9. Tailings Storage Facilities'!AV53),"Y","No Alert")</f>
        <v>No Alert</v>
      </c>
      <c r="H79" s="989" t="str">
        <f>IF(AND('9. Tailings Storage Facilities'!BO53&lt;&gt;"",'9. Tailings Storage Facilities'!BO53&lt;'9. Tailings Storage Facilities'!BN53),"Y","No Alert")</f>
        <v>No Alert</v>
      </c>
      <c r="I79" s="989" t="str">
        <f>IF(AND('9. Tailings Storage Facilities'!CD53&lt;&gt;"",'9. Tailings Storage Facilities'!CD53&lt;'9. Tailings Storage Facilities'!CC53),"Y","No Alert")</f>
        <v>No Alert</v>
      </c>
      <c r="J79" s="1164" t="str">
        <f>IF(AND('9. Tailings Storage Facilities'!DG53&lt;&gt;"",'9. Tailings Storage Facilities'!DG53&lt;'9. Tailings Storage Facilities'!DF53),"Y","No Alert")</f>
        <v>No Alert</v>
      </c>
      <c r="K79" s="1164" t="str">
        <f>IF('9. Tailings Storage Facilities'!EW53&gt;0,"Y","No Alert")</f>
        <v>No Alert</v>
      </c>
      <c r="L79" s="1164" t="str">
        <f>IF('9. Tailings Storage Facilities'!FB53="Error","Y","N")</f>
        <v>N</v>
      </c>
      <c r="M79" s="1347"/>
    </row>
    <row r="80" spans="2:13">
      <c r="B80" s="554">
        <f>B79+1</f>
        <v>2</v>
      </c>
      <c r="C80" s="1341">
        <f>'9. Tailings Storage Facilities'!D54</f>
        <v>0</v>
      </c>
      <c r="D80" s="989" t="str">
        <f>IF(AND('9. Tailings Storage Facilities'!I54&lt;&gt;"",'9. Tailings Storage Facilities'!I54&lt;'9. Tailings Storage Facilities'!H54),"Y","No Alert")</f>
        <v>No Alert</v>
      </c>
      <c r="E80" s="989" t="str">
        <f>IF(AND('9. Tailings Storage Facilities'!O54&lt;&gt;"",'9. Tailings Storage Facilities'!O54&lt;'9. Tailings Storage Facilities'!N54),"Y","No Alert")</f>
        <v>No Alert</v>
      </c>
      <c r="F80" s="989" t="str">
        <f>IF(AND('9. Tailings Storage Facilities'!AG54&lt;&gt;"",'9. Tailings Storage Facilities'!AG54&lt;'9. Tailings Storage Facilities'!AF54),"Y","No Alert")</f>
        <v>No Alert</v>
      </c>
      <c r="G80" s="989" t="str">
        <f>IF(AND('9. Tailings Storage Facilities'!AW54&lt;&gt;"",'9. Tailings Storage Facilities'!AW54&lt;'9. Tailings Storage Facilities'!AV54),"Y","No Alert")</f>
        <v>No Alert</v>
      </c>
      <c r="H80" s="989" t="str">
        <f>IF(AND('9. Tailings Storage Facilities'!BO54&lt;&gt;"",'9. Tailings Storage Facilities'!BO54&lt;'9. Tailings Storage Facilities'!BN54),"Y","No Alert")</f>
        <v>No Alert</v>
      </c>
      <c r="I80" s="989" t="str">
        <f>IF(AND('9. Tailings Storage Facilities'!CD54&lt;&gt;"",'9. Tailings Storage Facilities'!CD54&lt;'9. Tailings Storage Facilities'!CC54),"Y","No Alert")</f>
        <v>No Alert</v>
      </c>
      <c r="J80" s="1164" t="str">
        <f>IF(AND('9. Tailings Storage Facilities'!DG54&lt;&gt;"",'9. Tailings Storage Facilities'!DG54&lt;'9. Tailings Storage Facilities'!DF54),"Y","No Alert")</f>
        <v>No Alert</v>
      </c>
      <c r="K80" s="1164" t="str">
        <f>IF('9. Tailings Storage Facilities'!EW54&gt;0,"Y","No Alert")</f>
        <v>No Alert</v>
      </c>
      <c r="L80" s="1164" t="str">
        <f>IF('9. Tailings Storage Facilities'!FB54="Error","Y","N")</f>
        <v>N</v>
      </c>
      <c r="M80" s="1347"/>
    </row>
    <row r="81" spans="2:13">
      <c r="B81" s="554">
        <f t="shared" ref="B81:B95" si="1">B80+1</f>
        <v>3</v>
      </c>
      <c r="C81" s="1341">
        <f>'9. Tailings Storage Facilities'!D55</f>
        <v>0</v>
      </c>
      <c r="D81" s="989" t="str">
        <f>IF(AND('9. Tailings Storage Facilities'!I55&lt;&gt;"",'9. Tailings Storage Facilities'!I55&lt;'9. Tailings Storage Facilities'!H55),"Y","No Alert")</f>
        <v>No Alert</v>
      </c>
      <c r="E81" s="989" t="str">
        <f>IF(AND('9. Tailings Storage Facilities'!O55&lt;&gt;"",'9. Tailings Storage Facilities'!O55&lt;'9. Tailings Storage Facilities'!N55),"Y","No Alert")</f>
        <v>No Alert</v>
      </c>
      <c r="F81" s="989" t="str">
        <f>IF(AND('9. Tailings Storage Facilities'!AG55&lt;&gt;"",'9. Tailings Storage Facilities'!AG55&lt;'9. Tailings Storage Facilities'!AF55),"Y","No Alert")</f>
        <v>No Alert</v>
      </c>
      <c r="G81" s="989" t="str">
        <f>IF(AND('9. Tailings Storage Facilities'!AW55&lt;&gt;"",'9. Tailings Storage Facilities'!AW55&lt;'9. Tailings Storage Facilities'!AV55),"Y","No Alert")</f>
        <v>No Alert</v>
      </c>
      <c r="H81" s="989" t="str">
        <f>IF(AND('9. Tailings Storage Facilities'!BO55&lt;&gt;"",'9. Tailings Storage Facilities'!BO55&lt;'9. Tailings Storage Facilities'!BN55),"Y","No Alert")</f>
        <v>No Alert</v>
      </c>
      <c r="I81" s="989" t="str">
        <f>IF(AND('9. Tailings Storage Facilities'!CD55&lt;&gt;"",'9. Tailings Storage Facilities'!CD55&lt;'9. Tailings Storage Facilities'!CC55),"Y","No Alert")</f>
        <v>No Alert</v>
      </c>
      <c r="J81" s="1164" t="str">
        <f>IF(AND('9. Tailings Storage Facilities'!DG55&lt;&gt;"",'9. Tailings Storage Facilities'!DG55&lt;'9. Tailings Storage Facilities'!DF55),"Y","No Alert")</f>
        <v>No Alert</v>
      </c>
      <c r="K81" s="1164" t="str">
        <f>IF('9. Tailings Storage Facilities'!EW55&gt;0,"Y","No Alert")</f>
        <v>No Alert</v>
      </c>
      <c r="L81" s="1164" t="str">
        <f>IF('9. Tailings Storage Facilities'!FB55="Error","Y","N")</f>
        <v>N</v>
      </c>
      <c r="M81" s="1347"/>
    </row>
    <row r="82" spans="2:13">
      <c r="B82" s="554">
        <f t="shared" si="1"/>
        <v>4</v>
      </c>
      <c r="C82" s="1341">
        <f>'9. Tailings Storage Facilities'!D56</f>
        <v>0</v>
      </c>
      <c r="D82" s="989" t="str">
        <f>IF(AND('9. Tailings Storage Facilities'!I56&lt;&gt;"",'9. Tailings Storage Facilities'!I56&lt;'9. Tailings Storage Facilities'!H56),"Y","No Alert")</f>
        <v>No Alert</v>
      </c>
      <c r="E82" s="989" t="str">
        <f>IF(AND('9. Tailings Storage Facilities'!O56&lt;&gt;"",'9. Tailings Storage Facilities'!O56&lt;'9. Tailings Storage Facilities'!N56),"Y","No Alert")</f>
        <v>No Alert</v>
      </c>
      <c r="F82" s="989" t="str">
        <f>IF(AND('9. Tailings Storage Facilities'!AG56&lt;&gt;"",'9. Tailings Storage Facilities'!AG56&lt;'9. Tailings Storage Facilities'!AF56),"Y","No Alert")</f>
        <v>No Alert</v>
      </c>
      <c r="G82" s="989" t="str">
        <f>IF(AND('9. Tailings Storage Facilities'!AW56&lt;&gt;"",'9. Tailings Storage Facilities'!AW56&lt;'9. Tailings Storage Facilities'!AV56),"Y","No Alert")</f>
        <v>No Alert</v>
      </c>
      <c r="H82" s="989" t="str">
        <f>IF(AND('9. Tailings Storage Facilities'!BO56&lt;&gt;"",'9. Tailings Storage Facilities'!BO56&lt;'9. Tailings Storage Facilities'!BN56),"Y","No Alert")</f>
        <v>No Alert</v>
      </c>
      <c r="I82" s="989" t="str">
        <f>IF(AND('9. Tailings Storage Facilities'!CD56&lt;&gt;"",'9. Tailings Storage Facilities'!CD56&lt;'9. Tailings Storage Facilities'!CC56),"Y","No Alert")</f>
        <v>No Alert</v>
      </c>
      <c r="J82" s="1164" t="str">
        <f>IF(AND('9. Tailings Storage Facilities'!DG56&lt;&gt;"",'9. Tailings Storage Facilities'!DG56&lt;'9. Tailings Storage Facilities'!DF56),"Y","No Alert")</f>
        <v>No Alert</v>
      </c>
      <c r="K82" s="1164" t="str">
        <f>IF('9. Tailings Storage Facilities'!EW56&gt;0,"Y","No Alert")</f>
        <v>No Alert</v>
      </c>
      <c r="L82" s="1164" t="str">
        <f>IF('9. Tailings Storage Facilities'!FB56="Error","Y","N")</f>
        <v>N</v>
      </c>
      <c r="M82" s="1347"/>
    </row>
    <row r="83" spans="2:13">
      <c r="B83" s="554">
        <f t="shared" si="1"/>
        <v>5</v>
      </c>
      <c r="C83" s="1341">
        <f>'9. Tailings Storage Facilities'!D57</f>
        <v>0</v>
      </c>
      <c r="D83" s="989" t="str">
        <f>IF(AND('9. Tailings Storage Facilities'!I57&lt;&gt;"",'9. Tailings Storage Facilities'!I57&lt;'9. Tailings Storage Facilities'!H57),"Y","No Alert")</f>
        <v>No Alert</v>
      </c>
      <c r="E83" s="989" t="str">
        <f>IF(AND('9. Tailings Storage Facilities'!O57&lt;&gt;"",'9. Tailings Storage Facilities'!O57&lt;'9. Tailings Storage Facilities'!N57),"Y","No Alert")</f>
        <v>No Alert</v>
      </c>
      <c r="F83" s="989" t="str">
        <f>IF(AND('9. Tailings Storage Facilities'!AG57&lt;&gt;"",'9. Tailings Storage Facilities'!AG57&lt;'9. Tailings Storage Facilities'!AF57),"Y","No Alert")</f>
        <v>No Alert</v>
      </c>
      <c r="G83" s="989" t="str">
        <f>IF(AND('9. Tailings Storage Facilities'!AW57&lt;&gt;"",'9. Tailings Storage Facilities'!AW57&lt;'9. Tailings Storage Facilities'!AV57),"Y","No Alert")</f>
        <v>No Alert</v>
      </c>
      <c r="H83" s="989" t="str">
        <f>IF(AND('9. Tailings Storage Facilities'!BO57&lt;&gt;"",'9. Tailings Storage Facilities'!BO57&lt;'9. Tailings Storage Facilities'!BN57),"Y","No Alert")</f>
        <v>No Alert</v>
      </c>
      <c r="I83" s="989" t="str">
        <f>IF(AND('9. Tailings Storage Facilities'!CD57&lt;&gt;"",'9. Tailings Storage Facilities'!CD57&lt;'9. Tailings Storage Facilities'!CC57),"Y","No Alert")</f>
        <v>No Alert</v>
      </c>
      <c r="J83" s="1164" t="str">
        <f>IF(AND('9. Tailings Storage Facilities'!DG57&lt;&gt;"",'9. Tailings Storage Facilities'!DG57&lt;'9. Tailings Storage Facilities'!DF57),"Y","No Alert")</f>
        <v>No Alert</v>
      </c>
      <c r="K83" s="1164" t="str">
        <f>IF('9. Tailings Storage Facilities'!EW57&gt;0,"Y","No Alert")</f>
        <v>No Alert</v>
      </c>
      <c r="L83" s="1164" t="str">
        <f>IF('9. Tailings Storage Facilities'!FB57="Error","Y","N")</f>
        <v>N</v>
      </c>
      <c r="M83" s="1347"/>
    </row>
    <row r="84" spans="2:13">
      <c r="B84" s="554">
        <f t="shared" si="1"/>
        <v>6</v>
      </c>
      <c r="C84" s="1341">
        <f>'9. Tailings Storage Facilities'!D58</f>
        <v>0</v>
      </c>
      <c r="D84" s="989" t="str">
        <f>IF(AND('9. Tailings Storage Facilities'!I58&lt;&gt;"",'9. Tailings Storage Facilities'!I58&lt;'9. Tailings Storage Facilities'!H58),"Y","No Alert")</f>
        <v>No Alert</v>
      </c>
      <c r="E84" s="989" t="str">
        <f>IF(AND('9. Tailings Storage Facilities'!O58&lt;&gt;"",'9. Tailings Storage Facilities'!O58&lt;'9. Tailings Storage Facilities'!N58),"Y","No Alert")</f>
        <v>No Alert</v>
      </c>
      <c r="F84" s="989" t="str">
        <f>IF(AND('9. Tailings Storage Facilities'!AG58&lt;&gt;"",'9. Tailings Storage Facilities'!AG58&lt;'9. Tailings Storage Facilities'!AF58),"Y","No Alert")</f>
        <v>No Alert</v>
      </c>
      <c r="G84" s="989" t="str">
        <f>IF(AND('9. Tailings Storage Facilities'!AW58&lt;&gt;"",'9. Tailings Storage Facilities'!AW58&lt;'9. Tailings Storage Facilities'!AV58),"Y","No Alert")</f>
        <v>No Alert</v>
      </c>
      <c r="H84" s="989" t="str">
        <f>IF(AND('9. Tailings Storage Facilities'!BO58&lt;&gt;"",'9. Tailings Storage Facilities'!BO58&lt;'9. Tailings Storage Facilities'!BN58),"Y","No Alert")</f>
        <v>No Alert</v>
      </c>
      <c r="I84" s="989" t="str">
        <f>IF(AND('9. Tailings Storage Facilities'!CD58&lt;&gt;"",'9. Tailings Storage Facilities'!CD58&lt;'9. Tailings Storage Facilities'!CC58),"Y","No Alert")</f>
        <v>No Alert</v>
      </c>
      <c r="J84" s="1164" t="str">
        <f>IF(AND('9. Tailings Storage Facilities'!DG58&lt;&gt;"",'9. Tailings Storage Facilities'!DG58&lt;'9. Tailings Storage Facilities'!DF58),"Y","No Alert")</f>
        <v>No Alert</v>
      </c>
      <c r="K84" s="1164" t="str">
        <f>IF('9. Tailings Storage Facilities'!EW58&gt;0,"Y","No Alert")</f>
        <v>No Alert</v>
      </c>
      <c r="L84" s="1164" t="str">
        <f>IF('9. Tailings Storage Facilities'!FB58="Error","Y","N")</f>
        <v>N</v>
      </c>
      <c r="M84" s="1347"/>
    </row>
    <row r="85" spans="2:13">
      <c r="B85" s="554">
        <f t="shared" si="1"/>
        <v>7</v>
      </c>
      <c r="C85" s="1341">
        <f>'9. Tailings Storage Facilities'!D59</f>
        <v>0</v>
      </c>
      <c r="D85" s="989" t="str">
        <f>IF(AND('9. Tailings Storage Facilities'!I59&lt;&gt;"",'9. Tailings Storage Facilities'!I59&lt;'9. Tailings Storage Facilities'!H59),"Y","No Alert")</f>
        <v>No Alert</v>
      </c>
      <c r="E85" s="989" t="str">
        <f>IF(AND('9. Tailings Storage Facilities'!O59&lt;&gt;"",'9. Tailings Storage Facilities'!O59&lt;'9. Tailings Storage Facilities'!N59),"Y","No Alert")</f>
        <v>No Alert</v>
      </c>
      <c r="F85" s="989" t="str">
        <f>IF(AND('9. Tailings Storage Facilities'!AG59&lt;&gt;"",'9. Tailings Storage Facilities'!AG59&lt;'9. Tailings Storage Facilities'!AF59),"Y","No Alert")</f>
        <v>No Alert</v>
      </c>
      <c r="G85" s="989" t="str">
        <f>IF(AND('9. Tailings Storage Facilities'!AW59&lt;&gt;"",'9. Tailings Storage Facilities'!AW59&lt;'9. Tailings Storage Facilities'!AV59),"Y","No Alert")</f>
        <v>No Alert</v>
      </c>
      <c r="H85" s="989" t="str">
        <f>IF(AND('9. Tailings Storage Facilities'!BO59&lt;&gt;"",'9. Tailings Storage Facilities'!BO59&lt;'9. Tailings Storage Facilities'!BN59),"Y","No Alert")</f>
        <v>No Alert</v>
      </c>
      <c r="I85" s="989" t="str">
        <f>IF(AND('9. Tailings Storage Facilities'!CD59&lt;&gt;"",'9. Tailings Storage Facilities'!CD59&lt;'9. Tailings Storage Facilities'!CC59),"Y","No Alert")</f>
        <v>No Alert</v>
      </c>
      <c r="J85" s="1164" t="str">
        <f>IF(AND('9. Tailings Storage Facilities'!DG59&lt;&gt;"",'9. Tailings Storage Facilities'!DG59&lt;'9. Tailings Storage Facilities'!DF59),"Y","No Alert")</f>
        <v>No Alert</v>
      </c>
      <c r="K85" s="1164" t="str">
        <f>IF('9. Tailings Storage Facilities'!EW59&gt;0,"Y","No Alert")</f>
        <v>No Alert</v>
      </c>
      <c r="L85" s="1164" t="str">
        <f>IF('9. Tailings Storage Facilities'!FB59="Error","Y","N")</f>
        <v>N</v>
      </c>
      <c r="M85" s="1347"/>
    </row>
    <row r="86" spans="2:13">
      <c r="B86" s="554">
        <f t="shared" si="1"/>
        <v>8</v>
      </c>
      <c r="C86" s="1341">
        <f>'9. Tailings Storage Facilities'!D60</f>
        <v>0</v>
      </c>
      <c r="D86" s="989" t="str">
        <f>IF(AND('9. Tailings Storage Facilities'!I60&lt;&gt;"",'9. Tailings Storage Facilities'!I60&lt;'9. Tailings Storage Facilities'!H60),"Y","No Alert")</f>
        <v>No Alert</v>
      </c>
      <c r="E86" s="989" t="str">
        <f>IF(AND('9. Tailings Storage Facilities'!O60&lt;&gt;"",'9. Tailings Storage Facilities'!O60&lt;'9. Tailings Storage Facilities'!N60),"Y","No Alert")</f>
        <v>No Alert</v>
      </c>
      <c r="F86" s="989" t="str">
        <f>IF(AND('9. Tailings Storage Facilities'!AG60&lt;&gt;"",'9. Tailings Storage Facilities'!AG60&lt;'9. Tailings Storage Facilities'!AF60),"Y","No Alert")</f>
        <v>No Alert</v>
      </c>
      <c r="G86" s="989" t="str">
        <f>IF(AND('9. Tailings Storage Facilities'!AW60&lt;&gt;"",'9. Tailings Storage Facilities'!AW60&lt;'9. Tailings Storage Facilities'!AV60),"Y","No Alert")</f>
        <v>No Alert</v>
      </c>
      <c r="H86" s="989" t="str">
        <f>IF(AND('9. Tailings Storage Facilities'!BO60&lt;&gt;"",'9. Tailings Storage Facilities'!BO60&lt;'9. Tailings Storage Facilities'!BN60),"Y","No Alert")</f>
        <v>No Alert</v>
      </c>
      <c r="I86" s="989" t="str">
        <f>IF(AND('9. Tailings Storage Facilities'!CD60&lt;&gt;"",'9. Tailings Storage Facilities'!CD60&lt;'9. Tailings Storage Facilities'!CC60),"Y","No Alert")</f>
        <v>No Alert</v>
      </c>
      <c r="J86" s="1164" t="str">
        <f>IF(AND('9. Tailings Storage Facilities'!DG60&lt;&gt;"",'9. Tailings Storage Facilities'!DG60&lt;'9. Tailings Storage Facilities'!DF60),"Y","No Alert")</f>
        <v>No Alert</v>
      </c>
      <c r="K86" s="1164" t="str">
        <f>IF('9. Tailings Storage Facilities'!EW60&gt;0,"Y","No Alert")</f>
        <v>No Alert</v>
      </c>
      <c r="L86" s="1164" t="str">
        <f>IF('9. Tailings Storage Facilities'!FB60="Error","Y","N")</f>
        <v>N</v>
      </c>
      <c r="M86" s="1347"/>
    </row>
    <row r="87" spans="2:13">
      <c r="B87" s="554">
        <f t="shared" si="1"/>
        <v>9</v>
      </c>
      <c r="C87" s="1341">
        <f>'9. Tailings Storage Facilities'!D61</f>
        <v>0</v>
      </c>
      <c r="D87" s="989" t="str">
        <f>IF(AND('9. Tailings Storage Facilities'!I61&lt;&gt;"",'9. Tailings Storage Facilities'!I61&lt;'9. Tailings Storage Facilities'!H61),"Y","No Alert")</f>
        <v>No Alert</v>
      </c>
      <c r="E87" s="989" t="str">
        <f>IF(AND('9. Tailings Storage Facilities'!O61&lt;&gt;"",'9. Tailings Storage Facilities'!O61&lt;'9. Tailings Storage Facilities'!N61),"Y","No Alert")</f>
        <v>No Alert</v>
      </c>
      <c r="F87" s="989" t="str">
        <f>IF(AND('9. Tailings Storage Facilities'!AG61&lt;&gt;"",'9. Tailings Storage Facilities'!AG61&lt;'9. Tailings Storage Facilities'!AF61),"Y","No Alert")</f>
        <v>No Alert</v>
      </c>
      <c r="G87" s="989" t="str">
        <f>IF(AND('9. Tailings Storage Facilities'!AW61&lt;&gt;"",'9. Tailings Storage Facilities'!AW61&lt;'9. Tailings Storage Facilities'!AV61),"Y","No Alert")</f>
        <v>No Alert</v>
      </c>
      <c r="H87" s="989" t="str">
        <f>IF(AND('9. Tailings Storage Facilities'!BO61&lt;&gt;"",'9. Tailings Storage Facilities'!BO61&lt;'9. Tailings Storage Facilities'!BN61),"Y","No Alert")</f>
        <v>No Alert</v>
      </c>
      <c r="I87" s="989" t="str">
        <f>IF(AND('9. Tailings Storage Facilities'!CD61&lt;&gt;"",'9. Tailings Storage Facilities'!CD61&lt;'9. Tailings Storage Facilities'!CC61),"Y","No Alert")</f>
        <v>No Alert</v>
      </c>
      <c r="J87" s="1164" t="str">
        <f>IF(AND('9. Tailings Storage Facilities'!DG61&lt;&gt;"",'9. Tailings Storage Facilities'!DG61&lt;'9. Tailings Storage Facilities'!DF61),"Y","No Alert")</f>
        <v>No Alert</v>
      </c>
      <c r="K87" s="1164" t="str">
        <f>IF('9. Tailings Storage Facilities'!EW61&gt;0,"Y","No Alert")</f>
        <v>No Alert</v>
      </c>
      <c r="L87" s="1164" t="str">
        <f>IF('9. Tailings Storage Facilities'!FB61="Error","Y","N")</f>
        <v>N</v>
      </c>
      <c r="M87" s="1347"/>
    </row>
    <row r="88" spans="2:13">
      <c r="B88" s="554">
        <f t="shared" si="1"/>
        <v>10</v>
      </c>
      <c r="C88" s="1341">
        <f>'9. Tailings Storage Facilities'!D62</f>
        <v>0</v>
      </c>
      <c r="D88" s="989" t="str">
        <f>IF(AND('9. Tailings Storage Facilities'!I62&lt;&gt;"",'9. Tailings Storage Facilities'!I62&lt;'9. Tailings Storage Facilities'!H62),"Y","No Alert")</f>
        <v>No Alert</v>
      </c>
      <c r="E88" s="989" t="str">
        <f>IF(AND('9. Tailings Storage Facilities'!O62&lt;&gt;"",'9. Tailings Storage Facilities'!O62&lt;'9. Tailings Storage Facilities'!N62),"Y","No Alert")</f>
        <v>No Alert</v>
      </c>
      <c r="F88" s="989" t="str">
        <f>IF(AND('9. Tailings Storage Facilities'!AG62&lt;&gt;"",'9. Tailings Storage Facilities'!AG62&lt;'9. Tailings Storage Facilities'!AF62),"Y","No Alert")</f>
        <v>No Alert</v>
      </c>
      <c r="G88" s="989" t="str">
        <f>IF(AND('9. Tailings Storage Facilities'!AW62&lt;&gt;"",'9. Tailings Storage Facilities'!AW62&lt;'9. Tailings Storage Facilities'!AV62),"Y","No Alert")</f>
        <v>No Alert</v>
      </c>
      <c r="H88" s="989" t="str">
        <f>IF(AND('9. Tailings Storage Facilities'!BO62&lt;&gt;"",'9. Tailings Storage Facilities'!BO62&lt;'9. Tailings Storage Facilities'!BN62),"Y","No Alert")</f>
        <v>No Alert</v>
      </c>
      <c r="I88" s="989" t="str">
        <f>IF(AND('9. Tailings Storage Facilities'!CD62&lt;&gt;"",'9. Tailings Storage Facilities'!CD62&lt;'9. Tailings Storage Facilities'!CC62),"Y","No Alert")</f>
        <v>No Alert</v>
      </c>
      <c r="J88" s="1164" t="str">
        <f>IF(AND('9. Tailings Storage Facilities'!DG62&lt;&gt;"",'9. Tailings Storage Facilities'!DG62&lt;'9. Tailings Storage Facilities'!DF62),"Y","No Alert")</f>
        <v>No Alert</v>
      </c>
      <c r="K88" s="1164" t="str">
        <f>IF('9. Tailings Storage Facilities'!EW62&gt;0,"Y","No Alert")</f>
        <v>No Alert</v>
      </c>
      <c r="L88" s="1164" t="str">
        <f>IF('9. Tailings Storage Facilities'!FB62="Error","Y","N")</f>
        <v>N</v>
      </c>
      <c r="M88" s="1347"/>
    </row>
    <row r="89" spans="2:13">
      <c r="B89" s="554">
        <f t="shared" si="1"/>
        <v>11</v>
      </c>
      <c r="C89" s="1341">
        <f>'9. Tailings Storage Facilities'!D63</f>
        <v>0</v>
      </c>
      <c r="D89" s="989" t="str">
        <f>IF(AND('9. Tailings Storage Facilities'!I63&lt;&gt;"",'9. Tailings Storage Facilities'!I63&lt;'9. Tailings Storage Facilities'!H63),"Y","No Alert")</f>
        <v>No Alert</v>
      </c>
      <c r="E89" s="989" t="str">
        <f>IF(AND('9. Tailings Storage Facilities'!O63&lt;&gt;"",'9. Tailings Storage Facilities'!O63&lt;'9. Tailings Storage Facilities'!N63),"Y","No Alert")</f>
        <v>No Alert</v>
      </c>
      <c r="F89" s="989" t="str">
        <f>IF(AND('9. Tailings Storage Facilities'!AG63&lt;&gt;"",'9. Tailings Storage Facilities'!AG63&lt;'9. Tailings Storage Facilities'!AF63),"Y","No Alert")</f>
        <v>No Alert</v>
      </c>
      <c r="G89" s="989" t="str">
        <f>IF(AND('9. Tailings Storage Facilities'!AW63&lt;&gt;"",'9. Tailings Storage Facilities'!AW63&lt;'9. Tailings Storage Facilities'!AV63),"Y","No Alert")</f>
        <v>No Alert</v>
      </c>
      <c r="H89" s="989" t="str">
        <f>IF(AND('9. Tailings Storage Facilities'!BO63&lt;&gt;"",'9. Tailings Storage Facilities'!BO63&lt;'9. Tailings Storage Facilities'!BN63),"Y","No Alert")</f>
        <v>No Alert</v>
      </c>
      <c r="I89" s="989" t="str">
        <f>IF(AND('9. Tailings Storage Facilities'!CD63&lt;&gt;"",'9. Tailings Storage Facilities'!CD63&lt;'9. Tailings Storage Facilities'!CC63),"Y","No Alert")</f>
        <v>No Alert</v>
      </c>
      <c r="J89" s="1164" t="str">
        <f>IF(AND('9. Tailings Storage Facilities'!DG63&lt;&gt;"",'9. Tailings Storage Facilities'!DG63&lt;'9. Tailings Storage Facilities'!DF63),"Y","No Alert")</f>
        <v>No Alert</v>
      </c>
      <c r="K89" s="1164" t="str">
        <f>IF('9. Tailings Storage Facilities'!EW63&gt;0,"Y","No Alert")</f>
        <v>No Alert</v>
      </c>
      <c r="L89" s="1164" t="str">
        <f>IF('9. Tailings Storage Facilities'!FB63="Error","Y","N")</f>
        <v>N</v>
      </c>
      <c r="M89" s="1347"/>
    </row>
    <row r="90" spans="2:13">
      <c r="B90" s="554">
        <f t="shared" si="1"/>
        <v>12</v>
      </c>
      <c r="C90" s="1341">
        <f>'9. Tailings Storage Facilities'!D64</f>
        <v>0</v>
      </c>
      <c r="D90" s="989" t="str">
        <f>IF(AND('9. Tailings Storage Facilities'!I64&lt;&gt;"",'9. Tailings Storage Facilities'!I64&lt;'9. Tailings Storage Facilities'!H64),"Y","No Alert")</f>
        <v>No Alert</v>
      </c>
      <c r="E90" s="989" t="str">
        <f>IF(AND('9. Tailings Storage Facilities'!O64&lt;&gt;"",'9. Tailings Storage Facilities'!O64&lt;'9. Tailings Storage Facilities'!N64),"Y","No Alert")</f>
        <v>No Alert</v>
      </c>
      <c r="F90" s="989" t="str">
        <f>IF(AND('9. Tailings Storage Facilities'!AG64&lt;&gt;"",'9. Tailings Storage Facilities'!AG64&lt;'9. Tailings Storage Facilities'!AF64),"Y","No Alert")</f>
        <v>No Alert</v>
      </c>
      <c r="G90" s="989" t="str">
        <f>IF(AND('9. Tailings Storage Facilities'!AW64&lt;&gt;"",'9. Tailings Storage Facilities'!AW64&lt;'9. Tailings Storage Facilities'!AV64),"Y","No Alert")</f>
        <v>No Alert</v>
      </c>
      <c r="H90" s="989" t="str">
        <f>IF(AND('9. Tailings Storage Facilities'!BO64&lt;&gt;"",'9. Tailings Storage Facilities'!BO64&lt;'9. Tailings Storage Facilities'!BN64),"Y","No Alert")</f>
        <v>No Alert</v>
      </c>
      <c r="I90" s="989" t="str">
        <f>IF(AND('9. Tailings Storage Facilities'!CD64&lt;&gt;"",'9. Tailings Storage Facilities'!CD64&lt;'9. Tailings Storage Facilities'!CC64),"Y","No Alert")</f>
        <v>No Alert</v>
      </c>
      <c r="J90" s="1164" t="str">
        <f>IF(AND('9. Tailings Storage Facilities'!DG64&lt;&gt;"",'9. Tailings Storage Facilities'!DG64&lt;'9. Tailings Storage Facilities'!DF64),"Y","No Alert")</f>
        <v>No Alert</v>
      </c>
      <c r="K90" s="1164" t="str">
        <f>IF('9. Tailings Storage Facilities'!EW64&gt;0,"Y","No Alert")</f>
        <v>No Alert</v>
      </c>
      <c r="L90" s="1164" t="str">
        <f>IF('9. Tailings Storage Facilities'!FB64="Error","Y","N")</f>
        <v>N</v>
      </c>
      <c r="M90" s="1347"/>
    </row>
    <row r="91" spans="2:13">
      <c r="B91" s="554">
        <f t="shared" si="1"/>
        <v>13</v>
      </c>
      <c r="C91" s="1341">
        <f>'9. Tailings Storage Facilities'!D65</f>
        <v>0</v>
      </c>
      <c r="D91" s="989" t="str">
        <f>IF(AND('9. Tailings Storage Facilities'!I65&lt;&gt;"",'9. Tailings Storage Facilities'!I65&lt;'9. Tailings Storage Facilities'!H65),"Y","No Alert")</f>
        <v>No Alert</v>
      </c>
      <c r="E91" s="989" t="str">
        <f>IF(AND('9. Tailings Storage Facilities'!O65&lt;&gt;"",'9. Tailings Storage Facilities'!O65&lt;'9. Tailings Storage Facilities'!N65),"Y","No Alert")</f>
        <v>No Alert</v>
      </c>
      <c r="F91" s="989" t="str">
        <f>IF(AND('9. Tailings Storage Facilities'!AG65&lt;&gt;"",'9. Tailings Storage Facilities'!AG65&lt;'9. Tailings Storage Facilities'!AF65),"Y","No Alert")</f>
        <v>No Alert</v>
      </c>
      <c r="G91" s="989" t="str">
        <f>IF(AND('9. Tailings Storage Facilities'!AW65&lt;&gt;"",'9. Tailings Storage Facilities'!AW65&lt;'9. Tailings Storage Facilities'!AV65),"Y","No Alert")</f>
        <v>No Alert</v>
      </c>
      <c r="H91" s="989" t="str">
        <f>IF(AND('9. Tailings Storage Facilities'!BO65&lt;&gt;"",'9. Tailings Storage Facilities'!BO65&lt;'9. Tailings Storage Facilities'!BN65),"Y","No Alert")</f>
        <v>No Alert</v>
      </c>
      <c r="I91" s="989" t="str">
        <f>IF(AND('9. Tailings Storage Facilities'!CD65&lt;&gt;"",'9. Tailings Storage Facilities'!CD65&lt;'9. Tailings Storage Facilities'!CC65),"Y","No Alert")</f>
        <v>No Alert</v>
      </c>
      <c r="J91" s="1164" t="str">
        <f>IF(AND('9. Tailings Storage Facilities'!DG65&lt;&gt;"",'9. Tailings Storage Facilities'!DG65&lt;'9. Tailings Storage Facilities'!DF65),"Y","No Alert")</f>
        <v>No Alert</v>
      </c>
      <c r="K91" s="1164" t="str">
        <f>IF('9. Tailings Storage Facilities'!EW65&gt;0,"Y","No Alert")</f>
        <v>No Alert</v>
      </c>
      <c r="L91" s="1164" t="str">
        <f>IF('9. Tailings Storage Facilities'!FB65="Error","Y","N")</f>
        <v>N</v>
      </c>
      <c r="M91" s="1347"/>
    </row>
    <row r="92" spans="2:13">
      <c r="B92" s="554">
        <f t="shared" si="1"/>
        <v>14</v>
      </c>
      <c r="C92" s="1341">
        <f>'9. Tailings Storage Facilities'!D66</f>
        <v>0</v>
      </c>
      <c r="D92" s="989" t="str">
        <f>IF(AND('9. Tailings Storage Facilities'!I66&lt;&gt;"",'9. Tailings Storage Facilities'!I66&lt;'9. Tailings Storage Facilities'!H66),"Y","No Alert")</f>
        <v>No Alert</v>
      </c>
      <c r="E92" s="989" t="str">
        <f>IF(AND('9. Tailings Storage Facilities'!O66&lt;&gt;"",'9. Tailings Storage Facilities'!O66&lt;'9. Tailings Storage Facilities'!N66),"Y","No Alert")</f>
        <v>No Alert</v>
      </c>
      <c r="F92" s="989" t="str">
        <f>IF(AND('9. Tailings Storage Facilities'!AG66&lt;&gt;"",'9. Tailings Storage Facilities'!AG66&lt;'9. Tailings Storage Facilities'!AF66),"Y","No Alert")</f>
        <v>No Alert</v>
      </c>
      <c r="G92" s="989" t="str">
        <f>IF(AND('9. Tailings Storage Facilities'!AW66&lt;&gt;"",'9. Tailings Storage Facilities'!AW66&lt;'9. Tailings Storage Facilities'!AV66),"Y","No Alert")</f>
        <v>No Alert</v>
      </c>
      <c r="H92" s="989" t="str">
        <f>IF(AND('9. Tailings Storage Facilities'!BO66&lt;&gt;"",'9. Tailings Storage Facilities'!BO66&lt;'9. Tailings Storage Facilities'!BN66),"Y","No Alert")</f>
        <v>No Alert</v>
      </c>
      <c r="I92" s="989" t="str">
        <f>IF(AND('9. Tailings Storage Facilities'!CD66&lt;&gt;"",'9. Tailings Storage Facilities'!CD66&lt;'9. Tailings Storage Facilities'!CC66),"Y","No Alert")</f>
        <v>No Alert</v>
      </c>
      <c r="J92" s="1164" t="str">
        <f>IF(AND('9. Tailings Storage Facilities'!DG66&lt;&gt;"",'9. Tailings Storage Facilities'!DG66&lt;'9. Tailings Storage Facilities'!DF66),"Y","No Alert")</f>
        <v>No Alert</v>
      </c>
      <c r="K92" s="1164" t="str">
        <f>IF('9. Tailings Storage Facilities'!EW66&gt;0,"Y","No Alert")</f>
        <v>No Alert</v>
      </c>
      <c r="L92" s="1164" t="str">
        <f>IF('9. Tailings Storage Facilities'!FB66="Error","Y","N")</f>
        <v>N</v>
      </c>
      <c r="M92" s="1347"/>
    </row>
    <row r="93" spans="2:13">
      <c r="B93" s="554">
        <f t="shared" si="1"/>
        <v>15</v>
      </c>
      <c r="C93" s="1341">
        <f>'9. Tailings Storage Facilities'!D67</f>
        <v>0</v>
      </c>
      <c r="D93" s="989" t="str">
        <f>IF(AND('9. Tailings Storage Facilities'!I67&lt;&gt;"",'9. Tailings Storage Facilities'!I67&lt;'9. Tailings Storage Facilities'!H67),"Y","No Alert")</f>
        <v>No Alert</v>
      </c>
      <c r="E93" s="989" t="str">
        <f>IF(AND('9. Tailings Storage Facilities'!O67&lt;&gt;"",'9. Tailings Storage Facilities'!O67&lt;'9. Tailings Storage Facilities'!N67),"Y","No Alert")</f>
        <v>No Alert</v>
      </c>
      <c r="F93" s="989" t="str">
        <f>IF(AND('9. Tailings Storage Facilities'!AG67&lt;&gt;"",'9. Tailings Storage Facilities'!AG67&lt;'9. Tailings Storage Facilities'!AF67),"Y","No Alert")</f>
        <v>No Alert</v>
      </c>
      <c r="G93" s="989" t="str">
        <f>IF(AND('9. Tailings Storage Facilities'!AW67&lt;&gt;"",'9. Tailings Storage Facilities'!AW67&lt;'9. Tailings Storage Facilities'!AV67),"Y","No Alert")</f>
        <v>No Alert</v>
      </c>
      <c r="H93" s="989" t="str">
        <f>IF(AND('9. Tailings Storage Facilities'!BO67&lt;&gt;"",'9. Tailings Storage Facilities'!BO67&lt;'9. Tailings Storage Facilities'!BN67),"Y","No Alert")</f>
        <v>No Alert</v>
      </c>
      <c r="I93" s="989" t="str">
        <f>IF(AND('9. Tailings Storage Facilities'!CD67&lt;&gt;"",'9. Tailings Storage Facilities'!CD67&lt;'9. Tailings Storage Facilities'!CC67),"Y","No Alert")</f>
        <v>No Alert</v>
      </c>
      <c r="J93" s="1164" t="str">
        <f>IF(AND('9. Tailings Storage Facilities'!DG67&lt;&gt;"",'9. Tailings Storage Facilities'!DG67&lt;'9. Tailings Storage Facilities'!DF67),"Y","No Alert")</f>
        <v>No Alert</v>
      </c>
      <c r="K93" s="1164" t="str">
        <f>IF('9. Tailings Storage Facilities'!EW67&gt;0,"Y","No Alert")</f>
        <v>No Alert</v>
      </c>
      <c r="L93" s="1164" t="str">
        <f>IF('9. Tailings Storage Facilities'!FB67="Error","Y","N")</f>
        <v>N</v>
      </c>
      <c r="M93" s="1347"/>
    </row>
    <row r="94" spans="2:13">
      <c r="B94" s="554">
        <f t="shared" si="1"/>
        <v>16</v>
      </c>
      <c r="C94" s="1341">
        <f>'9. Tailings Storage Facilities'!D68</f>
        <v>0</v>
      </c>
      <c r="D94" s="989" t="str">
        <f>IF(AND('9. Tailings Storage Facilities'!I68&lt;&gt;"",'9. Tailings Storage Facilities'!I68&lt;'9. Tailings Storage Facilities'!H68),"Y","No Alert")</f>
        <v>No Alert</v>
      </c>
      <c r="E94" s="989" t="str">
        <f>IF(AND('9. Tailings Storage Facilities'!O68&lt;&gt;"",'9. Tailings Storage Facilities'!O68&lt;'9. Tailings Storage Facilities'!N68),"Y","No Alert")</f>
        <v>No Alert</v>
      </c>
      <c r="F94" s="989" t="str">
        <f>IF(AND('9. Tailings Storage Facilities'!AG68&lt;&gt;"",'9. Tailings Storage Facilities'!AG68&lt;'9. Tailings Storage Facilities'!AF68),"Y","No Alert")</f>
        <v>No Alert</v>
      </c>
      <c r="G94" s="989" t="str">
        <f>IF(AND('9. Tailings Storage Facilities'!AW68&lt;&gt;"",'9. Tailings Storage Facilities'!AW68&lt;'9. Tailings Storage Facilities'!AV68),"Y","No Alert")</f>
        <v>No Alert</v>
      </c>
      <c r="H94" s="989" t="str">
        <f>IF(AND('9. Tailings Storage Facilities'!BO68&lt;&gt;"",'9. Tailings Storage Facilities'!BO68&lt;'9. Tailings Storage Facilities'!BN68),"Y","No Alert")</f>
        <v>No Alert</v>
      </c>
      <c r="I94" s="989" t="str">
        <f>IF(AND('9. Tailings Storage Facilities'!CD68&lt;&gt;"",'9. Tailings Storage Facilities'!CD68&lt;'9. Tailings Storage Facilities'!CC68),"Y","No Alert")</f>
        <v>No Alert</v>
      </c>
      <c r="J94" s="1164" t="str">
        <f>IF(AND('9. Tailings Storage Facilities'!DG68&lt;&gt;"",'9. Tailings Storage Facilities'!DG68&lt;'9. Tailings Storage Facilities'!DF68),"Y","No Alert")</f>
        <v>No Alert</v>
      </c>
      <c r="K94" s="1164" t="str">
        <f>IF('9. Tailings Storage Facilities'!EW68&gt;0,"Y","No Alert")</f>
        <v>No Alert</v>
      </c>
      <c r="L94" s="1164" t="str">
        <f>IF('9. Tailings Storage Facilities'!FB68="Error","Y","N")</f>
        <v>N</v>
      </c>
      <c r="M94" s="1347"/>
    </row>
    <row r="95" spans="2:13">
      <c r="B95" s="554">
        <f t="shared" si="1"/>
        <v>17</v>
      </c>
      <c r="C95" s="1341">
        <f>'9. Tailings Storage Facilities'!D69</f>
        <v>0</v>
      </c>
      <c r="D95" s="989" t="str">
        <f>IF(AND('9. Tailings Storage Facilities'!I69&lt;&gt;"",'9. Tailings Storage Facilities'!I69&lt;'9. Tailings Storage Facilities'!H69),"Y","No Alert")</f>
        <v>No Alert</v>
      </c>
      <c r="E95" s="989" t="str">
        <f>IF(AND('9. Tailings Storage Facilities'!O69&lt;&gt;"",'9. Tailings Storage Facilities'!O69&lt;'9. Tailings Storage Facilities'!N69),"Y","No Alert")</f>
        <v>No Alert</v>
      </c>
      <c r="F95" s="989" t="str">
        <f>IF(AND('9. Tailings Storage Facilities'!AG69&lt;&gt;"",'9. Tailings Storage Facilities'!AG69&lt;'9. Tailings Storage Facilities'!AF69),"Y","No Alert")</f>
        <v>No Alert</v>
      </c>
      <c r="G95" s="989" t="str">
        <f>IF(AND('9. Tailings Storage Facilities'!AW69&lt;&gt;"",'9. Tailings Storage Facilities'!AW69&lt;'9. Tailings Storage Facilities'!AV69),"Y","No Alert")</f>
        <v>No Alert</v>
      </c>
      <c r="H95" s="989" t="str">
        <f>IF(AND('9. Tailings Storage Facilities'!BO69&lt;&gt;"",'9. Tailings Storage Facilities'!BO69&lt;'9. Tailings Storage Facilities'!BN69),"Y","No Alert")</f>
        <v>No Alert</v>
      </c>
      <c r="I95" s="989" t="str">
        <f>IF(AND('9. Tailings Storage Facilities'!CD69&lt;&gt;"",'9. Tailings Storage Facilities'!CD69&lt;'9. Tailings Storage Facilities'!CC69),"Y","No Alert")</f>
        <v>No Alert</v>
      </c>
      <c r="J95" s="1164" t="str">
        <f>IF(AND('9. Tailings Storage Facilities'!DG69&lt;&gt;"",'9. Tailings Storage Facilities'!DG69&lt;'9. Tailings Storage Facilities'!DF69),"Y","No Alert")</f>
        <v>No Alert</v>
      </c>
      <c r="K95" s="1164" t="str">
        <f>IF('9. Tailings Storage Facilities'!EW69&gt;0,"Y","No Alert")</f>
        <v>No Alert</v>
      </c>
      <c r="L95" s="1164" t="str">
        <f>IF('9. Tailings Storage Facilities'!FB69="Error","Y","N")</f>
        <v>N</v>
      </c>
      <c r="M95" s="1347"/>
    </row>
    <row r="96" spans="2:13" ht="16.149999999999999" customHeight="1"/>
  </sheetData>
  <sheetProtection algorithmName="SHA-512" hashValue="WVTmHp3IOOR6foTFrPZl5NXguxkqLotUv826ogAXfeHnvpmMzx7iS0b9YM4rMopEmYsqZUx6H7pKQwZj5h64zg==" saltValue="ua+lb0pBVT1VNYf3BgSCxA==" spinCount="100000" sheet="1" objects="1" scenarios="1" autoFilter="0"/>
  <conditionalFormatting sqref="D8:D24 J47:L48 D49:L56">
    <cfRule type="containsText" dxfId="9" priority="21" operator="containsText" text="Y">
      <formula>NOT(ISERROR(SEARCH("Y",D8)))</formula>
    </cfRule>
  </conditionalFormatting>
  <conditionalFormatting sqref="D27:D32 D33:E43">
    <cfRule type="containsText" dxfId="8" priority="4" operator="containsText" text="Y">
      <formula>NOT(ISERROR(SEARCH("Y",D27)))</formula>
    </cfRule>
  </conditionalFormatting>
  <conditionalFormatting sqref="D59:E75">
    <cfRule type="containsText" dxfId="7" priority="20" operator="containsText" text="Y">
      <formula>NOT(ISERROR(SEARCH("Y",D59)))</formula>
    </cfRule>
  </conditionalFormatting>
  <conditionalFormatting sqref="D79:L95">
    <cfRule type="containsText" dxfId="6" priority="8" operator="containsText" text="Y">
      <formula>NOT(ISERROR(SEARCH("Y",D79)))</formula>
    </cfRule>
  </conditionalFormatting>
  <conditionalFormatting sqref="G8:L24 K47:K56">
    <cfRule type="containsText" dxfId="5" priority="12" operator="containsText" text="Y">
      <formula>NOT(ISERROR(SEARCH("Y",G8)))</formula>
    </cfRule>
  </conditionalFormatting>
  <conditionalFormatting sqref="G59:L75">
    <cfRule type="containsText" dxfId="4" priority="10" operator="containsText" text="Y">
      <formula>NOT(ISERROR(SEARCH("Y",G59)))</formula>
    </cfRule>
  </conditionalFormatting>
  <conditionalFormatting sqref="I27:L43">
    <cfRule type="containsText" dxfId="3" priority="2" operator="containsText" text="Y">
      <formula>NOT(ISERROR(SEARCH("Y",I27)))</formula>
    </cfRule>
  </conditionalFormatting>
  <conditionalFormatting sqref="J46:J56">
    <cfRule type="containsText" dxfId="2" priority="1" operator="containsText" text="Y">
      <formula>NOT(ISERROR(SEARCH("Y",J46)))</formula>
    </cfRule>
  </conditionalFormatting>
  <conditionalFormatting sqref="K26:K43">
    <cfRule type="containsText" dxfId="1" priority="6" operator="containsText" text="Y">
      <formula>NOT(ISERROR(SEARCH("Y",K26)))</formula>
    </cfRule>
  </conditionalFormatting>
  <conditionalFormatting sqref="L46:L56 M56:N56">
    <cfRule type="containsText" dxfId="0" priority="13" operator="containsText" text="Y">
      <formula>NOT(ISERROR(SEARCH("Y",L46)))</formula>
    </cfRule>
  </conditionalFormatting>
  <hyperlinks>
    <hyperlink ref="B2" location="CONTENTS!A1" display="Contents" xr:uid="{8FEF3531-80EC-4B14-B3FB-C92C798B4D91}"/>
    <hyperlink ref="C77" location="_9._TAILING_STORAGE_FACILITIES__REJECTS__SLIMES__SLIMES_STORAGE_FACILITIES" display="TSF Sheet" xr:uid="{6C9AFACB-BCE7-40AF-B0AE-AB0129BE2C1B}"/>
    <hyperlink ref="C57" location="_8._HEAP_LEACH_PADS" display="HLP Sheet" xr:uid="{91DCE6EA-08E6-4112-BD3D-FF7F0557EADD}"/>
    <hyperlink ref="C6" location="_7._WASTE_ROCK_DUMPS__OVERBURDEN_DUMPS__SPOIL_PILES_AND_STOCKPILES" display="WRD Sheet" xr:uid="{EE392BF5-99D7-4E6D-81CA-35BA2D7444D7}"/>
  </hyperlinks>
  <pageMargins left="0.7" right="0.7" top="0.75" bottom="0.75" header="0.3" footer="0.3"/>
  <pageSetup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609"/>
  <sheetViews>
    <sheetView showGridLines="0" zoomScaleNormal="100" workbookViewId="0">
      <pane xSplit="1" ySplit="2" topLeftCell="B3" activePane="bottomRight" state="frozen"/>
      <selection pane="topRight" activeCell="D20" sqref="D20"/>
      <selection pane="bottomLeft" activeCell="D20" sqref="D20"/>
      <selection pane="bottomRight"/>
    </sheetView>
  </sheetViews>
  <sheetFormatPr defaultColWidth="9" defaultRowHeight="12.75"/>
  <cols>
    <col min="1" max="1" width="3.42578125" style="434" customWidth="1"/>
    <col min="2" max="2" width="62.28515625" style="434" customWidth="1"/>
    <col min="3" max="7" width="13.28515625" style="434" customWidth="1"/>
    <col min="8" max="16384" width="9" style="434"/>
  </cols>
  <sheetData>
    <row r="1" spans="1:20" ht="15" customHeight="1">
      <c r="B1" s="433" t="s">
        <v>0</v>
      </c>
      <c r="C1" s="552"/>
      <c r="D1" s="552"/>
      <c r="E1" s="552"/>
      <c r="F1" s="552"/>
      <c r="G1" s="552"/>
    </row>
    <row r="2" spans="1:20" ht="18" customHeight="1">
      <c r="B2" s="1219" t="s">
        <v>2688</v>
      </c>
      <c r="C2" s="286" t="s">
        <v>256</v>
      </c>
      <c r="D2" s="552"/>
      <c r="E2" s="552"/>
      <c r="F2" s="552"/>
      <c r="G2" s="552"/>
    </row>
    <row r="3" spans="1:20">
      <c r="B3" s="1348">
        <v>1</v>
      </c>
      <c r="C3" s="1348">
        <v>2</v>
      </c>
      <c r="D3" s="542">
        <v>3</v>
      </c>
      <c r="E3" s="542">
        <v>4</v>
      </c>
      <c r="F3" s="552"/>
      <c r="G3" s="552"/>
    </row>
    <row r="4" spans="1:20">
      <c r="B4" s="549" t="s">
        <v>2689</v>
      </c>
      <c r="C4" s="434" t="s">
        <v>1726</v>
      </c>
      <c r="D4" s="434" t="s">
        <v>2223</v>
      </c>
    </row>
    <row r="5" spans="1:20">
      <c r="B5" s="550" t="s">
        <v>2690</v>
      </c>
      <c r="C5" s="434" t="s">
        <v>2691</v>
      </c>
      <c r="D5" s="434" t="s">
        <v>2692</v>
      </c>
    </row>
    <row r="6" spans="1:20">
      <c r="B6" s="550" t="s">
        <v>2693</v>
      </c>
    </row>
    <row r="7" spans="1:20">
      <c r="B7" s="550" t="s">
        <v>2694</v>
      </c>
    </row>
    <row r="8" spans="1:20">
      <c r="B8" s="550" t="s">
        <v>2695</v>
      </c>
      <c r="F8" s="571"/>
    </row>
    <row r="9" spans="1:20">
      <c r="A9" s="552"/>
      <c r="B9" s="550"/>
      <c r="D9" s="552"/>
    </row>
    <row r="10" spans="1:20">
      <c r="B10" s="549" t="s">
        <v>2696</v>
      </c>
    </row>
    <row r="11" spans="1:20">
      <c r="B11" s="550" t="s">
        <v>2026</v>
      </c>
      <c r="D11" s="552"/>
    </row>
    <row r="12" spans="1:20">
      <c r="B12" s="550" t="s">
        <v>2049</v>
      </c>
      <c r="D12" s="552"/>
    </row>
    <row r="13" spans="1:20">
      <c r="B13" s="550"/>
      <c r="D13" s="552"/>
    </row>
    <row r="14" spans="1:20">
      <c r="B14" s="549" t="s">
        <v>2697</v>
      </c>
    </row>
    <row r="15" spans="1:20">
      <c r="B15" s="550" t="s">
        <v>2698</v>
      </c>
      <c r="D15" s="552"/>
      <c r="E15" s="552"/>
      <c r="F15" s="552"/>
      <c r="G15" s="552"/>
      <c r="H15" s="552"/>
      <c r="I15" s="552"/>
      <c r="J15" s="552"/>
      <c r="K15" s="552"/>
      <c r="L15" s="552"/>
      <c r="M15" s="552"/>
      <c r="N15" s="552"/>
      <c r="O15" s="552"/>
      <c r="P15" s="552"/>
      <c r="Q15" s="552"/>
      <c r="R15" s="552"/>
      <c r="T15" s="552"/>
    </row>
    <row r="16" spans="1:20">
      <c r="B16" s="550"/>
      <c r="D16" s="552"/>
      <c r="E16" s="552"/>
      <c r="F16" s="552"/>
      <c r="G16" s="552"/>
      <c r="H16" s="552"/>
      <c r="I16" s="552"/>
      <c r="J16" s="552"/>
      <c r="K16" s="552"/>
      <c r="L16" s="552"/>
      <c r="M16" s="552"/>
      <c r="N16" s="552"/>
      <c r="O16" s="552"/>
      <c r="P16" s="552"/>
      <c r="Q16" s="552"/>
      <c r="R16" s="552"/>
      <c r="T16" s="552"/>
    </row>
    <row r="17" spans="2:20">
      <c r="B17" s="549" t="s">
        <v>247</v>
      </c>
      <c r="D17" s="552"/>
      <c r="E17" s="1349"/>
      <c r="F17" s="552"/>
      <c r="H17" s="552"/>
      <c r="I17" s="552"/>
      <c r="J17" s="552"/>
      <c r="K17" s="552"/>
      <c r="L17" s="552"/>
      <c r="M17" s="552"/>
      <c r="N17" s="552"/>
      <c r="O17" s="552"/>
      <c r="P17" s="552"/>
      <c r="Q17" s="552"/>
      <c r="R17" s="552"/>
      <c r="T17" s="552"/>
    </row>
    <row r="18" spans="2:20">
      <c r="B18" s="552" t="s">
        <v>48</v>
      </c>
      <c r="D18" s="552"/>
      <c r="E18" s="552"/>
      <c r="F18" s="552"/>
      <c r="H18" s="552"/>
      <c r="I18" s="552"/>
      <c r="J18" s="552"/>
      <c r="K18" s="552"/>
      <c r="L18" s="552"/>
      <c r="M18" s="552"/>
      <c r="N18" s="552"/>
      <c r="O18" s="552"/>
      <c r="P18" s="552"/>
      <c r="Q18" s="552"/>
      <c r="R18" s="552"/>
      <c r="S18" s="552"/>
      <c r="T18" s="552"/>
    </row>
    <row r="19" spans="2:20">
      <c r="B19" s="552" t="s">
        <v>49</v>
      </c>
      <c r="C19" s="1350" t="s">
        <v>1415</v>
      </c>
      <c r="D19" s="552" t="b">
        <v>1</v>
      </c>
      <c r="E19" s="552"/>
      <c r="F19" s="552"/>
      <c r="H19" s="552"/>
      <c r="I19" s="552"/>
      <c r="J19" s="552"/>
      <c r="K19" s="552"/>
      <c r="L19" s="552"/>
      <c r="M19" s="552"/>
      <c r="N19" s="552"/>
      <c r="O19" s="552"/>
      <c r="P19" s="552"/>
      <c r="Q19" s="552"/>
      <c r="R19" s="552"/>
      <c r="S19" s="552"/>
      <c r="T19" s="552"/>
    </row>
    <row r="20" spans="2:20">
      <c r="B20" s="552" t="s">
        <v>50</v>
      </c>
      <c r="C20" s="1350" t="s">
        <v>1417</v>
      </c>
      <c r="D20" s="552" t="b">
        <v>1</v>
      </c>
      <c r="E20" s="552"/>
      <c r="F20" s="552"/>
      <c r="H20" s="552"/>
      <c r="I20" s="552"/>
      <c r="J20" s="552"/>
      <c r="K20" s="552"/>
      <c r="L20" s="552"/>
      <c r="M20" s="552"/>
      <c r="N20" s="552"/>
      <c r="O20" s="552"/>
      <c r="P20" s="552"/>
      <c r="Q20" s="552"/>
      <c r="R20" s="552"/>
      <c r="S20" s="552"/>
      <c r="T20" s="552"/>
    </row>
    <row r="21" spans="2:20">
      <c r="B21" s="552" t="s">
        <v>51</v>
      </c>
      <c r="C21" s="1350" t="s">
        <v>1419</v>
      </c>
      <c r="D21" s="552" t="b">
        <v>1</v>
      </c>
      <c r="E21" s="552"/>
      <c r="F21" s="552"/>
      <c r="H21" s="552"/>
      <c r="I21" s="552"/>
      <c r="J21" s="552"/>
      <c r="K21" s="552"/>
      <c r="L21" s="552"/>
      <c r="M21" s="552"/>
      <c r="N21" s="552"/>
      <c r="O21" s="552"/>
      <c r="P21" s="552"/>
      <c r="Q21" s="552"/>
      <c r="R21" s="552"/>
      <c r="S21" s="552"/>
      <c r="T21" s="552"/>
    </row>
    <row r="22" spans="2:20">
      <c r="B22" s="552" t="s">
        <v>52</v>
      </c>
      <c r="C22" s="1350" t="s">
        <v>1421</v>
      </c>
      <c r="D22" s="552" t="b">
        <v>1</v>
      </c>
      <c r="E22" s="552"/>
      <c r="F22" s="552"/>
      <c r="H22" s="552"/>
      <c r="I22" s="552"/>
      <c r="J22" s="552"/>
      <c r="K22" s="552"/>
      <c r="L22" s="552"/>
      <c r="M22" s="552"/>
      <c r="N22" s="552"/>
      <c r="O22" s="552"/>
      <c r="P22" s="552"/>
      <c r="Q22" s="552"/>
      <c r="R22" s="552"/>
      <c r="S22" s="552"/>
      <c r="T22" s="552"/>
    </row>
    <row r="23" spans="2:20">
      <c r="B23" s="552" t="s">
        <v>53</v>
      </c>
      <c r="C23" s="1350" t="s">
        <v>1423</v>
      </c>
      <c r="D23" s="552" t="b">
        <v>1</v>
      </c>
      <c r="E23" s="552"/>
      <c r="F23" s="552"/>
      <c r="H23" s="552"/>
      <c r="I23" s="552"/>
      <c r="J23" s="552"/>
      <c r="K23" s="552"/>
      <c r="L23" s="552"/>
      <c r="M23" s="552"/>
      <c r="N23" s="552"/>
      <c r="O23" s="552"/>
      <c r="P23" s="552"/>
      <c r="Q23" s="552"/>
      <c r="R23" s="552"/>
      <c r="S23" s="552"/>
      <c r="T23" s="552"/>
    </row>
    <row r="24" spans="2:20">
      <c r="B24" s="552" t="s">
        <v>54</v>
      </c>
      <c r="C24" s="1350" t="s">
        <v>1425</v>
      </c>
      <c r="D24" s="552" t="b">
        <v>1</v>
      </c>
      <c r="E24" s="552"/>
      <c r="F24" s="552"/>
      <c r="H24" s="552"/>
      <c r="I24" s="552"/>
      <c r="J24" s="552"/>
      <c r="K24" s="552"/>
      <c r="L24" s="552"/>
      <c r="M24" s="552"/>
      <c r="N24" s="552"/>
      <c r="O24" s="552"/>
      <c r="P24" s="552"/>
      <c r="Q24" s="552"/>
      <c r="R24" s="552"/>
      <c r="S24" s="552"/>
      <c r="T24" s="552"/>
    </row>
    <row r="25" spans="2:20">
      <c r="B25" s="552" t="s">
        <v>55</v>
      </c>
      <c r="C25" s="1350" t="s">
        <v>1427</v>
      </c>
      <c r="D25" s="552" t="b">
        <v>1</v>
      </c>
      <c r="E25" s="552"/>
      <c r="F25" s="552"/>
      <c r="G25" s="552"/>
      <c r="H25" s="552"/>
      <c r="I25" s="552"/>
      <c r="J25" s="552"/>
      <c r="K25" s="552"/>
      <c r="L25" s="552"/>
      <c r="M25" s="552"/>
      <c r="N25" s="552"/>
      <c r="O25" s="552"/>
      <c r="P25" s="552"/>
      <c r="Q25" s="552"/>
      <c r="R25" s="552"/>
      <c r="S25" s="552"/>
      <c r="T25" s="552"/>
    </row>
    <row r="26" spans="2:20">
      <c r="B26" s="552" t="s">
        <v>56</v>
      </c>
      <c r="C26" s="1350" t="s">
        <v>1428</v>
      </c>
      <c r="D26" s="552" t="b">
        <v>1</v>
      </c>
      <c r="E26" s="552"/>
      <c r="F26" s="552"/>
      <c r="G26" s="552"/>
      <c r="H26" s="552"/>
      <c r="I26" s="552"/>
      <c r="J26" s="552"/>
      <c r="K26" s="552"/>
      <c r="L26" s="552"/>
      <c r="M26" s="552"/>
      <c r="N26" s="552"/>
      <c r="O26" s="552"/>
      <c r="P26" s="552"/>
      <c r="Q26" s="552"/>
      <c r="R26" s="552"/>
      <c r="S26" s="552"/>
      <c r="T26" s="552"/>
    </row>
    <row r="27" spans="2:20">
      <c r="D27" s="552"/>
      <c r="E27" s="552"/>
      <c r="F27" s="552"/>
      <c r="G27" s="552"/>
      <c r="H27" s="552"/>
      <c r="I27" s="552"/>
      <c r="J27" s="552"/>
      <c r="K27" s="552"/>
      <c r="L27" s="552"/>
      <c r="M27" s="552"/>
      <c r="N27" s="552"/>
      <c r="O27" s="552"/>
      <c r="P27" s="552"/>
      <c r="Q27" s="552"/>
      <c r="R27" s="552"/>
      <c r="S27" s="552"/>
      <c r="T27" s="552"/>
    </row>
    <row r="28" spans="2:20">
      <c r="B28" s="549" t="s">
        <v>115</v>
      </c>
      <c r="D28" s="552"/>
      <c r="E28" s="552"/>
      <c r="F28" s="552"/>
      <c r="G28" s="552"/>
      <c r="H28" s="552"/>
      <c r="I28" s="552"/>
      <c r="J28" s="552"/>
      <c r="K28" s="552"/>
      <c r="L28" s="552"/>
      <c r="M28" s="552"/>
      <c r="N28" s="552"/>
      <c r="O28" s="552"/>
      <c r="P28" s="552"/>
      <c r="Q28" s="552"/>
      <c r="R28" s="552"/>
      <c r="S28" s="552"/>
      <c r="T28" s="552"/>
    </row>
    <row r="29" spans="2:20">
      <c r="B29" s="550" t="s">
        <v>93</v>
      </c>
      <c r="D29" s="552"/>
      <c r="E29" s="552"/>
      <c r="F29" s="552"/>
      <c r="G29" s="552"/>
      <c r="H29" s="552"/>
      <c r="I29" s="552"/>
      <c r="J29" s="552"/>
      <c r="K29" s="552"/>
      <c r="L29" s="552"/>
      <c r="M29" s="552"/>
      <c r="N29" s="552"/>
      <c r="O29" s="552"/>
      <c r="P29" s="552"/>
      <c r="Q29" s="552"/>
      <c r="R29" s="552"/>
      <c r="S29" s="552"/>
      <c r="T29" s="552"/>
    </row>
    <row r="30" spans="2:20">
      <c r="B30" s="550" t="s">
        <v>116</v>
      </c>
      <c r="P30" s="552"/>
    </row>
    <row r="31" spans="2:20">
      <c r="B31" s="550" t="s">
        <v>47</v>
      </c>
    </row>
    <row r="33" spans="2:5">
      <c r="B33" s="549" t="s">
        <v>2699</v>
      </c>
      <c r="C33" s="1351" t="s">
        <v>84</v>
      </c>
      <c r="D33" s="1351" t="s">
        <v>81</v>
      </c>
      <c r="E33" s="1351" t="s">
        <v>80</v>
      </c>
    </row>
    <row r="34" spans="2:5">
      <c r="B34" s="550" t="s">
        <v>1879</v>
      </c>
      <c r="C34" s="1352" t="s">
        <v>1181</v>
      </c>
      <c r="D34" s="1352" t="s">
        <v>1197</v>
      </c>
      <c r="E34" s="1352" t="s">
        <v>1209</v>
      </c>
    </row>
    <row r="35" spans="2:5">
      <c r="B35" s="550" t="s">
        <v>1880</v>
      </c>
      <c r="C35" s="1352" t="s">
        <v>1185</v>
      </c>
      <c r="D35" s="1352" t="s">
        <v>1201</v>
      </c>
      <c r="E35" s="1352" t="s">
        <v>1213</v>
      </c>
    </row>
    <row r="36" spans="2:5">
      <c r="B36" s="550" t="s">
        <v>1881</v>
      </c>
      <c r="C36" s="1352" t="s">
        <v>1188</v>
      </c>
      <c r="D36" s="1352" t="s">
        <v>1203</v>
      </c>
      <c r="E36" s="1352" t="s">
        <v>1215</v>
      </c>
    </row>
    <row r="37" spans="2:5">
      <c r="B37" s="550" t="s">
        <v>1882</v>
      </c>
      <c r="C37" s="1352" t="s">
        <v>1191</v>
      </c>
      <c r="D37" s="1352" t="s">
        <v>1205</v>
      </c>
      <c r="E37" s="1352" t="s">
        <v>1217</v>
      </c>
    </row>
    <row r="38" spans="2:5">
      <c r="B38" s="550" t="s">
        <v>1883</v>
      </c>
      <c r="C38" s="1352" t="s">
        <v>1194</v>
      </c>
      <c r="D38" s="1352" t="s">
        <v>1207</v>
      </c>
      <c r="E38" s="1352" t="s">
        <v>1219</v>
      </c>
    </row>
    <row r="39" spans="2:5">
      <c r="B39" s="550" t="s">
        <v>1222</v>
      </c>
      <c r="C39" s="1353"/>
      <c r="D39" s="1353"/>
      <c r="E39" s="1352" t="s">
        <v>1221</v>
      </c>
    </row>
    <row r="41" spans="2:5">
      <c r="B41" s="549" t="s">
        <v>2700</v>
      </c>
    </row>
    <row r="42" spans="2:5">
      <c r="B42" s="550" t="s">
        <v>2222</v>
      </c>
    </row>
    <row r="43" spans="2:5">
      <c r="B43" s="550" t="s">
        <v>2701</v>
      </c>
    </row>
    <row r="45" spans="2:5">
      <c r="B45" s="549" t="s">
        <v>2702</v>
      </c>
    </row>
    <row r="46" spans="2:5">
      <c r="B46" s="550" t="s">
        <v>2329</v>
      </c>
    </row>
    <row r="47" spans="2:5">
      <c r="B47" s="552" t="s">
        <v>2330</v>
      </c>
    </row>
    <row r="48" spans="2:5">
      <c r="B48" s="552" t="s">
        <v>2331</v>
      </c>
    </row>
    <row r="50" spans="2:2">
      <c r="B50" s="549" t="s">
        <v>1533</v>
      </c>
    </row>
    <row r="51" spans="2:2">
      <c r="B51" s="550" t="s">
        <v>112</v>
      </c>
    </row>
    <row r="52" spans="2:2">
      <c r="B52" s="550" t="s">
        <v>2703</v>
      </c>
    </row>
    <row r="53" spans="2:2">
      <c r="B53" s="550" t="s">
        <v>113</v>
      </c>
    </row>
    <row r="54" spans="2:2">
      <c r="B54" s="550" t="s">
        <v>114</v>
      </c>
    </row>
    <row r="56" spans="2:2">
      <c r="B56" s="550" t="s">
        <v>199</v>
      </c>
    </row>
    <row r="57" spans="2:2">
      <c r="B57" s="552" t="s">
        <v>200</v>
      </c>
    </row>
    <row r="58" spans="2:2">
      <c r="B58" s="550" t="s">
        <v>201</v>
      </c>
    </row>
    <row r="59" spans="2:2">
      <c r="B59" s="550" t="s">
        <v>202</v>
      </c>
    </row>
    <row r="60" spans="2:2">
      <c r="B60" s="550" t="s">
        <v>203</v>
      </c>
    </row>
    <row r="61" spans="2:2">
      <c r="B61" s="550" t="s">
        <v>204</v>
      </c>
    </row>
    <row r="63" spans="2:2">
      <c r="B63" s="550" t="s">
        <v>175</v>
      </c>
    </row>
    <row r="64" spans="2:2">
      <c r="B64" s="550" t="s">
        <v>176</v>
      </c>
    </row>
    <row r="66" spans="2:2">
      <c r="B66" s="549" t="s">
        <v>183</v>
      </c>
    </row>
    <row r="67" spans="2:2">
      <c r="B67" s="550" t="s">
        <v>117</v>
      </c>
    </row>
    <row r="68" spans="2:2">
      <c r="B68" s="550" t="s">
        <v>118</v>
      </c>
    </row>
    <row r="69" spans="2:2">
      <c r="B69" s="550" t="s">
        <v>46</v>
      </c>
    </row>
    <row r="70" spans="2:2">
      <c r="B70" s="550" t="s">
        <v>1647</v>
      </c>
    </row>
    <row r="72" spans="2:2">
      <c r="B72" s="549" t="s">
        <v>2704</v>
      </c>
    </row>
    <row r="73" spans="2:2">
      <c r="B73" s="550" t="s">
        <v>119</v>
      </c>
    </row>
    <row r="74" spans="2:2">
      <c r="B74" s="550" t="s">
        <v>122</v>
      </c>
    </row>
    <row r="75" spans="2:2">
      <c r="B75" s="550" t="s">
        <v>120</v>
      </c>
    </row>
    <row r="76" spans="2:2">
      <c r="B76" s="550" t="s">
        <v>121</v>
      </c>
    </row>
    <row r="77" spans="2:2">
      <c r="B77" s="550"/>
    </row>
    <row r="78" spans="2:2">
      <c r="B78" s="549" t="s">
        <v>92</v>
      </c>
    </row>
    <row r="79" spans="2:2">
      <c r="B79" s="550" t="s">
        <v>235</v>
      </c>
    </row>
    <row r="80" spans="2:2">
      <c r="B80" s="550" t="s">
        <v>236</v>
      </c>
    </row>
    <row r="82" spans="2:2">
      <c r="B82" s="550" t="s">
        <v>2705</v>
      </c>
    </row>
    <row r="83" spans="2:2">
      <c r="B83" s="550" t="s">
        <v>2706</v>
      </c>
    </row>
    <row r="84" spans="2:2">
      <c r="B84" s="549"/>
    </row>
    <row r="85" spans="2:2">
      <c r="B85" s="1349" t="s">
        <v>127</v>
      </c>
    </row>
    <row r="86" spans="2:2">
      <c r="B86" s="550" t="s">
        <v>2431</v>
      </c>
    </row>
    <row r="87" spans="2:2">
      <c r="B87" s="550" t="s">
        <v>2416</v>
      </c>
    </row>
    <row r="88" spans="2:2">
      <c r="B88" s="550" t="s">
        <v>2740</v>
      </c>
    </row>
    <row r="89" spans="2:2">
      <c r="B89" s="550" t="s">
        <v>2741</v>
      </c>
    </row>
    <row r="90" spans="2:2">
      <c r="B90" s="550" t="s">
        <v>2742</v>
      </c>
    </row>
    <row r="91" spans="2:2">
      <c r="B91" s="550" t="s">
        <v>2743</v>
      </c>
    </row>
    <row r="92" spans="2:2">
      <c r="B92" s="550" t="s">
        <v>2744</v>
      </c>
    </row>
    <row r="93" spans="2:2">
      <c r="B93" s="550" t="s">
        <v>2745</v>
      </c>
    </row>
    <row r="94" spans="2:2">
      <c r="B94" s="550" t="s">
        <v>2746</v>
      </c>
    </row>
    <row r="95" spans="2:2">
      <c r="B95" s="550" t="s">
        <v>2747</v>
      </c>
    </row>
    <row r="96" spans="2:2">
      <c r="B96" s="550" t="s">
        <v>2748</v>
      </c>
    </row>
    <row r="97" spans="2:2">
      <c r="B97" s="550" t="s">
        <v>2749</v>
      </c>
    </row>
    <row r="98" spans="2:2">
      <c r="B98" s="550" t="s">
        <v>2750</v>
      </c>
    </row>
    <row r="99" spans="2:2">
      <c r="B99" s="550" t="s">
        <v>2751</v>
      </c>
    </row>
    <row r="100" spans="2:2">
      <c r="B100" s="550" t="s">
        <v>2419</v>
      </c>
    </row>
    <row r="101" spans="2:2">
      <c r="B101" s="550" t="s">
        <v>2423</v>
      </c>
    </row>
    <row r="102" spans="2:2">
      <c r="B102" s="550" t="s">
        <v>2752</v>
      </c>
    </row>
    <row r="103" spans="2:2">
      <c r="B103" s="550" t="s">
        <v>2753</v>
      </c>
    </row>
    <row r="104" spans="2:2">
      <c r="B104" s="550" t="s">
        <v>2754</v>
      </c>
    </row>
    <row r="105" spans="2:2">
      <c r="B105" s="550" t="s">
        <v>2755</v>
      </c>
    </row>
    <row r="106" spans="2:2">
      <c r="B106" s="550" t="s">
        <v>2756</v>
      </c>
    </row>
    <row r="107" spans="2:2">
      <c r="B107" s="550" t="s">
        <v>2757</v>
      </c>
    </row>
    <row r="108" spans="2:2">
      <c r="B108" s="550" t="s">
        <v>2758</v>
      </c>
    </row>
    <row r="109" spans="2:2">
      <c r="B109" s="550" t="s">
        <v>2759</v>
      </c>
    </row>
    <row r="110" spans="2:2">
      <c r="B110" s="550" t="s">
        <v>2760</v>
      </c>
    </row>
    <row r="111" spans="2:2">
      <c r="B111" s="550" t="s">
        <v>2761</v>
      </c>
    </row>
    <row r="112" spans="2:2">
      <c r="B112" s="550" t="s">
        <v>2762</v>
      </c>
    </row>
    <row r="113" spans="2:2">
      <c r="B113" s="550" t="s">
        <v>2763</v>
      </c>
    </row>
    <row r="114" spans="2:2">
      <c r="B114" s="550" t="s">
        <v>2764</v>
      </c>
    </row>
    <row r="115" spans="2:2">
      <c r="B115" s="550" t="s">
        <v>2427</v>
      </c>
    </row>
    <row r="117" spans="2:2">
      <c r="B117" s="550" t="s">
        <v>129</v>
      </c>
    </row>
    <row r="118" spans="2:2">
      <c r="B118" s="550" t="s">
        <v>130</v>
      </c>
    </row>
    <row r="119" spans="2:2">
      <c r="B119" s="550" t="s">
        <v>131</v>
      </c>
    </row>
    <row r="120" spans="2:2">
      <c r="B120" s="550" t="s">
        <v>132</v>
      </c>
    </row>
    <row r="121" spans="2:2">
      <c r="B121" s="550"/>
    </row>
    <row r="122" spans="2:2">
      <c r="B122" s="1349" t="s">
        <v>2707</v>
      </c>
    </row>
    <row r="123" spans="2:2">
      <c r="B123" s="550" t="s">
        <v>2765</v>
      </c>
    </row>
    <row r="124" spans="2:2">
      <c r="B124" s="550" t="s">
        <v>2766</v>
      </c>
    </row>
    <row r="125" spans="2:2">
      <c r="B125" s="550" t="s">
        <v>2767</v>
      </c>
    </row>
    <row r="126" spans="2:2">
      <c r="B126" s="550" t="s">
        <v>2768</v>
      </c>
    </row>
    <row r="127" spans="2:2">
      <c r="B127" s="550" t="s">
        <v>2769</v>
      </c>
    </row>
    <row r="128" spans="2:2">
      <c r="B128" s="550" t="s">
        <v>2770</v>
      </c>
    </row>
    <row r="129" spans="2:2">
      <c r="B129" s="550" t="s">
        <v>2771</v>
      </c>
    </row>
    <row r="130" spans="2:2">
      <c r="B130" s="550" t="s">
        <v>2772</v>
      </c>
    </row>
    <row r="131" spans="2:2">
      <c r="B131" s="550" t="s">
        <v>2773</v>
      </c>
    </row>
    <row r="132" spans="2:2">
      <c r="B132" s="550" t="s">
        <v>2774</v>
      </c>
    </row>
    <row r="133" spans="2:2">
      <c r="B133" s="550" t="s">
        <v>2775</v>
      </c>
    </row>
    <row r="134" spans="2:2">
      <c r="B134" s="550" t="s">
        <v>2776</v>
      </c>
    </row>
    <row r="135" spans="2:2">
      <c r="B135" s="550" t="s">
        <v>2777</v>
      </c>
    </row>
    <row r="136" spans="2:2">
      <c r="B136" s="550" t="s">
        <v>2778</v>
      </c>
    </row>
    <row r="137" spans="2:2">
      <c r="B137" s="550" t="s">
        <v>2779</v>
      </c>
    </row>
    <row r="138" spans="2:2">
      <c r="B138" s="550" t="s">
        <v>2780</v>
      </c>
    </row>
    <row r="139" spans="2:2">
      <c r="B139" s="550" t="s">
        <v>2781</v>
      </c>
    </row>
    <row r="140" spans="2:2">
      <c r="B140" s="550" t="s">
        <v>2782</v>
      </c>
    </row>
    <row r="141" spans="2:2">
      <c r="B141" s="550" t="s">
        <v>2783</v>
      </c>
    </row>
    <row r="142" spans="2:2">
      <c r="B142" s="550" t="s">
        <v>2784</v>
      </c>
    </row>
    <row r="143" spans="2:2">
      <c r="B143" s="550" t="s">
        <v>2785</v>
      </c>
    </row>
    <row r="144" spans="2:2">
      <c r="B144" s="550" t="s">
        <v>2786</v>
      </c>
    </row>
    <row r="145" spans="2:2">
      <c r="B145" s="550" t="s">
        <v>2787</v>
      </c>
    </row>
    <row r="146" spans="2:2">
      <c r="B146" s="550" t="s">
        <v>2788</v>
      </c>
    </row>
    <row r="147" spans="2:2">
      <c r="B147" s="550" t="s">
        <v>2789</v>
      </c>
    </row>
    <row r="148" spans="2:2">
      <c r="B148" s="550" t="s">
        <v>2790</v>
      </c>
    </row>
    <row r="149" spans="2:2">
      <c r="B149" s="550" t="s">
        <v>2791</v>
      </c>
    </row>
    <row r="150" spans="2:2">
      <c r="B150" s="550" t="s">
        <v>2792</v>
      </c>
    </row>
    <row r="151" spans="2:2">
      <c r="B151" s="550" t="s">
        <v>2793</v>
      </c>
    </row>
    <row r="152" spans="2:2">
      <c r="B152" s="550" t="s">
        <v>2794</v>
      </c>
    </row>
    <row r="153" spans="2:2">
      <c r="B153" s="550" t="s">
        <v>2795</v>
      </c>
    </row>
    <row r="154" spans="2:2">
      <c r="B154" s="550" t="s">
        <v>2796</v>
      </c>
    </row>
    <row r="155" spans="2:2">
      <c r="B155" s="550" t="s">
        <v>2797</v>
      </c>
    </row>
    <row r="156" spans="2:2">
      <c r="B156" s="550"/>
    </row>
    <row r="157" spans="2:2">
      <c r="B157" s="550"/>
    </row>
    <row r="159" spans="2:2">
      <c r="B159" s="550" t="s">
        <v>2798</v>
      </c>
    </row>
    <row r="160" spans="2:2">
      <c r="B160" s="550" t="s">
        <v>2799</v>
      </c>
    </row>
    <row r="161" spans="2:2">
      <c r="B161" s="550" t="s">
        <v>2800</v>
      </c>
    </row>
    <row r="162" spans="2:2">
      <c r="B162" s="550" t="s">
        <v>2801</v>
      </c>
    </row>
    <row r="163" spans="2:2">
      <c r="B163" s="550" t="s">
        <v>2802</v>
      </c>
    </row>
    <row r="164" spans="2:2">
      <c r="B164" s="550" t="s">
        <v>2803</v>
      </c>
    </row>
    <row r="165" spans="2:2">
      <c r="B165" s="550" t="s">
        <v>2804</v>
      </c>
    </row>
    <row r="166" spans="2:2">
      <c r="B166" s="550" t="s">
        <v>97</v>
      </c>
    </row>
    <row r="167" spans="2:2">
      <c r="B167" s="550" t="s">
        <v>98</v>
      </c>
    </row>
    <row r="168" spans="2:2">
      <c r="B168" s="550" t="s">
        <v>99</v>
      </c>
    </row>
    <row r="169" spans="2:2">
      <c r="B169" s="550" t="s">
        <v>100</v>
      </c>
    </row>
    <row r="170" spans="2:2">
      <c r="B170" s="550" t="s">
        <v>101</v>
      </c>
    </row>
    <row r="171" spans="2:2">
      <c r="B171" s="550" t="s">
        <v>102</v>
      </c>
    </row>
    <row r="172" spans="2:2">
      <c r="B172" s="550" t="s">
        <v>103</v>
      </c>
    </row>
    <row r="173" spans="2:2">
      <c r="B173" s="550" t="s">
        <v>104</v>
      </c>
    </row>
    <row r="174" spans="2:2">
      <c r="B174" s="550" t="s">
        <v>105</v>
      </c>
    </row>
    <row r="175" spans="2:2">
      <c r="B175" s="550"/>
    </row>
    <row r="176" spans="2:2">
      <c r="B176" s="549" t="s">
        <v>2708</v>
      </c>
    </row>
    <row r="177" spans="2:13">
      <c r="B177" s="550" t="s">
        <v>149</v>
      </c>
    </row>
    <row r="178" spans="2:13">
      <c r="B178" s="550" t="s">
        <v>150</v>
      </c>
    </row>
    <row r="179" spans="2:13">
      <c r="B179" s="550" t="s">
        <v>151</v>
      </c>
    </row>
    <row r="180" spans="2:13">
      <c r="B180" s="550"/>
    </row>
    <row r="181" spans="2:13">
      <c r="B181" s="550" t="s">
        <v>148</v>
      </c>
    </row>
    <row r="182" spans="2:13">
      <c r="B182" s="550"/>
    </row>
    <row r="183" spans="2:13">
      <c r="B183" s="549" t="s">
        <v>2709</v>
      </c>
    </row>
    <row r="184" spans="2:13">
      <c r="B184" s="550" t="s">
        <v>144</v>
      </c>
    </row>
    <row r="185" spans="2:13">
      <c r="B185" s="550" t="s">
        <v>14</v>
      </c>
    </row>
    <row r="186" spans="2:13">
      <c r="B186" s="550" t="s">
        <v>143</v>
      </c>
    </row>
    <row r="187" spans="2:13">
      <c r="B187" s="550" t="s">
        <v>142</v>
      </c>
    </row>
    <row r="188" spans="2:13">
      <c r="B188" s="550"/>
    </row>
    <row r="189" spans="2:13">
      <c r="B189" s="549" t="s">
        <v>2710</v>
      </c>
    </row>
    <row r="190" spans="2:13">
      <c r="B190" s="550" t="s">
        <v>141</v>
      </c>
      <c r="C190" s="550" t="s">
        <v>138</v>
      </c>
      <c r="D190" s="550"/>
      <c r="E190" s="1354" t="s">
        <v>141</v>
      </c>
      <c r="F190" s="1354" t="s">
        <v>2418</v>
      </c>
      <c r="G190" s="1354" t="s">
        <v>2422</v>
      </c>
      <c r="H190" s="1354" t="s">
        <v>2426</v>
      </c>
      <c r="I190" s="1354" t="s">
        <v>2430</v>
      </c>
      <c r="J190" s="1354" t="s">
        <v>2434</v>
      </c>
      <c r="K190" s="550"/>
      <c r="L190" s="550"/>
      <c r="M190" s="550"/>
    </row>
    <row r="191" spans="2:13">
      <c r="B191" s="550" t="s">
        <v>2418</v>
      </c>
      <c r="C191" s="550" t="s">
        <v>36</v>
      </c>
      <c r="D191" s="550"/>
      <c r="E191" s="550"/>
      <c r="F191" s="550"/>
      <c r="G191" s="550"/>
      <c r="H191" s="550"/>
      <c r="I191" s="550"/>
      <c r="J191" s="550"/>
      <c r="K191" s="550"/>
      <c r="L191" s="550"/>
      <c r="M191" s="550"/>
    </row>
    <row r="192" spans="2:13">
      <c r="B192" s="550" t="s">
        <v>2422</v>
      </c>
      <c r="C192" s="550" t="s">
        <v>36</v>
      </c>
      <c r="D192" s="550"/>
      <c r="E192" s="550"/>
      <c r="F192" s="550"/>
      <c r="G192" s="550"/>
      <c r="H192" s="550"/>
      <c r="I192" s="550"/>
      <c r="J192" s="550"/>
      <c r="K192" s="550"/>
      <c r="L192" s="550"/>
      <c r="M192" s="550"/>
    </row>
    <row r="193" spans="2:13">
      <c r="B193" s="550" t="s">
        <v>2426</v>
      </c>
      <c r="C193" s="550" t="s">
        <v>36</v>
      </c>
      <c r="D193" s="550"/>
      <c r="E193" s="550"/>
      <c r="F193" s="550"/>
      <c r="G193" s="550"/>
      <c r="H193" s="550"/>
      <c r="I193" s="550"/>
      <c r="J193" s="550"/>
      <c r="K193" s="550"/>
      <c r="L193" s="550"/>
      <c r="M193" s="550"/>
    </row>
    <row r="194" spans="2:13">
      <c r="B194" s="550" t="s">
        <v>2430</v>
      </c>
      <c r="C194" s="550" t="s">
        <v>36</v>
      </c>
      <c r="D194" s="550"/>
      <c r="E194" s="550"/>
      <c r="F194" s="550"/>
      <c r="G194" s="550"/>
      <c r="H194" s="550"/>
      <c r="I194" s="550"/>
      <c r="J194" s="550"/>
      <c r="K194" s="550"/>
      <c r="L194" s="550"/>
      <c r="M194" s="550"/>
    </row>
    <row r="195" spans="2:13">
      <c r="B195" s="550" t="s">
        <v>2434</v>
      </c>
      <c r="C195" s="550" t="s">
        <v>36</v>
      </c>
    </row>
    <row r="197" spans="2:13">
      <c r="B197" s="549" t="s">
        <v>86</v>
      </c>
    </row>
    <row r="198" spans="2:13">
      <c r="B198" s="550" t="s">
        <v>90</v>
      </c>
    </row>
    <row r="199" spans="2:13">
      <c r="B199" s="550" t="s">
        <v>91</v>
      </c>
    </row>
    <row r="200" spans="2:13">
      <c r="B200" s="552"/>
    </row>
    <row r="201" spans="2:13">
      <c r="B201" s="549" t="s">
        <v>87</v>
      </c>
    </row>
    <row r="202" spans="2:13">
      <c r="B202" s="550" t="s">
        <v>2711</v>
      </c>
    </row>
    <row r="203" spans="2:13">
      <c r="B203" s="550" t="s">
        <v>87</v>
      </c>
    </row>
    <row r="204" spans="2:13">
      <c r="B204" s="550"/>
    </row>
    <row r="205" spans="2:13">
      <c r="B205" s="549" t="s">
        <v>92</v>
      </c>
    </row>
    <row r="206" spans="2:13">
      <c r="B206" s="550" t="s">
        <v>92</v>
      </c>
    </row>
    <row r="207" spans="2:13">
      <c r="B207" s="550" t="s">
        <v>2712</v>
      </c>
    </row>
    <row r="208" spans="2:13">
      <c r="B208" s="550"/>
    </row>
    <row r="209" spans="2:2">
      <c r="B209" s="550" t="s">
        <v>2713</v>
      </c>
    </row>
    <row r="210" spans="2:2">
      <c r="B210" s="550" t="s">
        <v>88</v>
      </c>
    </row>
    <row r="211" spans="2:2">
      <c r="B211" s="550" t="s">
        <v>246</v>
      </c>
    </row>
    <row r="212" spans="2:2">
      <c r="B212" s="550" t="s">
        <v>2714</v>
      </c>
    </row>
    <row r="213" spans="2:2">
      <c r="B213" s="550"/>
    </row>
    <row r="214" spans="2:2">
      <c r="B214" s="549" t="s">
        <v>86</v>
      </c>
    </row>
    <row r="215" spans="2:2">
      <c r="B215" s="550" t="s">
        <v>1867</v>
      </c>
    </row>
    <row r="216" spans="2:2">
      <c r="B216" s="550" t="s">
        <v>1870</v>
      </c>
    </row>
    <row r="217" spans="2:2">
      <c r="B217" s="550" t="s">
        <v>1872</v>
      </c>
    </row>
    <row r="218" spans="2:2">
      <c r="B218" s="550" t="s">
        <v>1874</v>
      </c>
    </row>
    <row r="219" spans="2:2">
      <c r="B219" s="550" t="s">
        <v>2805</v>
      </c>
    </row>
    <row r="220" spans="2:2">
      <c r="B220" s="550" t="s">
        <v>2806</v>
      </c>
    </row>
    <row r="221" spans="2:2">
      <c r="B221" s="550" t="s">
        <v>2807</v>
      </c>
    </row>
    <row r="222" spans="2:2">
      <c r="B222" s="550" t="s">
        <v>2808</v>
      </c>
    </row>
    <row r="223" spans="2:2">
      <c r="B223" s="550"/>
    </row>
    <row r="224" spans="2:2">
      <c r="B224" s="550" t="s">
        <v>2809</v>
      </c>
    </row>
    <row r="225" spans="2:2">
      <c r="B225" s="550" t="s">
        <v>2810</v>
      </c>
    </row>
    <row r="226" spans="2:2">
      <c r="B226" s="550" t="s">
        <v>2811</v>
      </c>
    </row>
    <row r="227" spans="2:2">
      <c r="B227" s="550" t="s">
        <v>2812</v>
      </c>
    </row>
    <row r="228" spans="2:2">
      <c r="B228" s="550" t="s">
        <v>2813</v>
      </c>
    </row>
    <row r="229" spans="2:2">
      <c r="B229" s="550" t="s">
        <v>2814</v>
      </c>
    </row>
    <row r="230" spans="2:2">
      <c r="B230" s="550" t="s">
        <v>2815</v>
      </c>
    </row>
    <row r="231" spans="2:2">
      <c r="B231" s="550" t="s">
        <v>2816</v>
      </c>
    </row>
    <row r="232" spans="2:2">
      <c r="B232" s="550"/>
    </row>
    <row r="233" spans="2:2">
      <c r="B233" s="550" t="s">
        <v>2817</v>
      </c>
    </row>
    <row r="234" spans="2:2">
      <c r="B234" s="550" t="s">
        <v>2818</v>
      </c>
    </row>
    <row r="235" spans="2:2">
      <c r="B235" s="550" t="s">
        <v>2819</v>
      </c>
    </row>
    <row r="236" spans="2:2">
      <c r="B236" s="550" t="s">
        <v>2820</v>
      </c>
    </row>
    <row r="237" spans="2:2">
      <c r="B237" s="550" t="s">
        <v>2821</v>
      </c>
    </row>
    <row r="238" spans="2:2">
      <c r="B238" s="550" t="s">
        <v>2822</v>
      </c>
    </row>
    <row r="239" spans="2:2">
      <c r="B239" s="550" t="s">
        <v>2823</v>
      </c>
    </row>
    <row r="240" spans="2:2">
      <c r="B240" s="550" t="s">
        <v>2824</v>
      </c>
    </row>
    <row r="241" spans="2:3">
      <c r="B241" s="550"/>
    </row>
    <row r="242" spans="2:3">
      <c r="B242" s="550" t="s">
        <v>2825</v>
      </c>
    </row>
    <row r="243" spans="2:3">
      <c r="B243" s="550" t="s">
        <v>2826</v>
      </c>
    </row>
    <row r="244" spans="2:3">
      <c r="B244" s="550" t="s">
        <v>2827</v>
      </c>
    </row>
    <row r="245" spans="2:3">
      <c r="B245" s="550" t="s">
        <v>2828</v>
      </c>
    </row>
    <row r="246" spans="2:3">
      <c r="B246" s="550" t="s">
        <v>2829</v>
      </c>
    </row>
    <row r="247" spans="2:3">
      <c r="B247" s="550" t="s">
        <v>2830</v>
      </c>
    </row>
    <row r="248" spans="2:3">
      <c r="B248" s="550" t="s">
        <v>2831</v>
      </c>
    </row>
    <row r="249" spans="2:3">
      <c r="B249" s="550" t="s">
        <v>2832</v>
      </c>
    </row>
    <row r="250" spans="2:3">
      <c r="B250" s="550"/>
    </row>
    <row r="251" spans="2:3">
      <c r="B251" s="550" t="s">
        <v>1336</v>
      </c>
      <c r="C251" s="1355" t="s">
        <v>1335</v>
      </c>
    </row>
    <row r="252" spans="2:3">
      <c r="B252" s="550" t="s">
        <v>1339</v>
      </c>
      <c r="C252" s="1355" t="s">
        <v>1338</v>
      </c>
    </row>
    <row r="254" spans="2:3">
      <c r="B254" s="549" t="s">
        <v>2715</v>
      </c>
    </row>
    <row r="255" spans="2:3">
      <c r="B255" s="550" t="s">
        <v>207</v>
      </c>
    </row>
    <row r="256" spans="2:3">
      <c r="B256" s="550" t="s">
        <v>208</v>
      </c>
    </row>
    <row r="257" spans="2:2">
      <c r="B257" s="550" t="s">
        <v>209</v>
      </c>
    </row>
    <row r="258" spans="2:2">
      <c r="B258" s="550" t="s">
        <v>210</v>
      </c>
    </row>
    <row r="259" spans="2:2">
      <c r="B259" s="550" t="s">
        <v>211</v>
      </c>
    </row>
    <row r="260" spans="2:2">
      <c r="B260" s="550" t="s">
        <v>212</v>
      </c>
    </row>
    <row r="261" spans="2:2">
      <c r="B261" s="550" t="s">
        <v>213</v>
      </c>
    </row>
    <row r="262" spans="2:2">
      <c r="B262" s="550" t="s">
        <v>214</v>
      </c>
    </row>
    <row r="263" spans="2:2">
      <c r="B263" s="550" t="s">
        <v>215</v>
      </c>
    </row>
    <row r="264" spans="2:2">
      <c r="B264" s="550" t="s">
        <v>216</v>
      </c>
    </row>
    <row r="265" spans="2:2" ht="22.5">
      <c r="B265" s="550" t="s">
        <v>217</v>
      </c>
    </row>
    <row r="266" spans="2:2">
      <c r="B266" s="550" t="s">
        <v>218</v>
      </c>
    </row>
    <row r="267" spans="2:2">
      <c r="B267" s="550" t="s">
        <v>219</v>
      </c>
    </row>
    <row r="268" spans="2:2">
      <c r="B268" s="550" t="s">
        <v>220</v>
      </c>
    </row>
    <row r="269" spans="2:2">
      <c r="B269" s="550" t="s">
        <v>221</v>
      </c>
    </row>
    <row r="270" spans="2:2">
      <c r="B270" s="550" t="s">
        <v>222</v>
      </c>
    </row>
    <row r="271" spans="2:2" ht="22.5">
      <c r="B271" s="550" t="s">
        <v>223</v>
      </c>
    </row>
    <row r="272" spans="2:2" ht="22.5">
      <c r="B272" s="550" t="s">
        <v>224</v>
      </c>
    </row>
    <row r="273" spans="2:2" ht="22.5">
      <c r="B273" s="550" t="s">
        <v>225</v>
      </c>
    </row>
    <row r="274" spans="2:2" ht="22.5">
      <c r="B274" s="550" t="s">
        <v>226</v>
      </c>
    </row>
    <row r="275" spans="2:2" ht="22.5">
      <c r="B275" s="550" t="s">
        <v>227</v>
      </c>
    </row>
    <row r="276" spans="2:2">
      <c r="B276" s="550" t="s">
        <v>228</v>
      </c>
    </row>
    <row r="277" spans="2:2">
      <c r="B277" s="550" t="s">
        <v>229</v>
      </c>
    </row>
    <row r="278" spans="2:2">
      <c r="B278" s="550" t="s">
        <v>230</v>
      </c>
    </row>
    <row r="279" spans="2:2">
      <c r="B279" s="550" t="s">
        <v>231</v>
      </c>
    </row>
    <row r="280" spans="2:2">
      <c r="B280" s="550" t="s">
        <v>232</v>
      </c>
    </row>
    <row r="281" spans="2:2">
      <c r="B281" s="550" t="s">
        <v>233</v>
      </c>
    </row>
    <row r="282" spans="2:2">
      <c r="B282" s="550" t="s">
        <v>234</v>
      </c>
    </row>
    <row r="283" spans="2:2">
      <c r="B283" s="550" t="s">
        <v>235</v>
      </c>
    </row>
    <row r="284" spans="2:2">
      <c r="B284" s="550" t="s">
        <v>236</v>
      </c>
    </row>
    <row r="285" spans="2:2">
      <c r="B285" s="550" t="s">
        <v>237</v>
      </c>
    </row>
    <row r="286" spans="2:2">
      <c r="B286" s="550" t="s">
        <v>238</v>
      </c>
    </row>
    <row r="287" spans="2:2">
      <c r="B287" s="550" t="s">
        <v>239</v>
      </c>
    </row>
    <row r="288" spans="2:2">
      <c r="B288" s="550" t="s">
        <v>240</v>
      </c>
    </row>
    <row r="289" spans="2:12">
      <c r="B289" s="550" t="s">
        <v>241</v>
      </c>
    </row>
    <row r="290" spans="2:12">
      <c r="B290" s="550" t="s">
        <v>242</v>
      </c>
    </row>
    <row r="291" spans="2:12">
      <c r="B291" s="550" t="s">
        <v>243</v>
      </c>
    </row>
    <row r="292" spans="2:12">
      <c r="B292" s="550"/>
    </row>
    <row r="293" spans="2:12">
      <c r="B293" s="549" t="s">
        <v>2716</v>
      </c>
    </row>
    <row r="294" spans="2:12">
      <c r="B294" s="550" t="s">
        <v>187</v>
      </c>
      <c r="D294" s="1354"/>
      <c r="E294" s="1354"/>
      <c r="F294" s="1354"/>
      <c r="G294" s="1354"/>
      <c r="H294" s="1354"/>
      <c r="I294" s="1354"/>
      <c r="J294" s="1354"/>
      <c r="K294" s="1354"/>
      <c r="L294" s="1354"/>
    </row>
    <row r="295" spans="2:12">
      <c r="B295" s="552" t="s">
        <v>188</v>
      </c>
    </row>
    <row r="296" spans="2:12">
      <c r="B296" s="552" t="s">
        <v>189</v>
      </c>
    </row>
    <row r="297" spans="2:12">
      <c r="B297" s="552" t="s">
        <v>190</v>
      </c>
    </row>
    <row r="298" spans="2:12">
      <c r="B298" s="552" t="s">
        <v>191</v>
      </c>
    </row>
    <row r="299" spans="2:12">
      <c r="B299" s="552" t="s">
        <v>192</v>
      </c>
    </row>
    <row r="300" spans="2:12">
      <c r="B300" s="552" t="s">
        <v>193</v>
      </c>
    </row>
    <row r="301" spans="2:12">
      <c r="B301" s="552" t="s">
        <v>194</v>
      </c>
    </row>
    <row r="302" spans="2:12">
      <c r="B302" s="552" t="s">
        <v>195</v>
      </c>
    </row>
    <row r="303" spans="2:12">
      <c r="B303" s="552" t="s">
        <v>198</v>
      </c>
    </row>
    <row r="304" spans="2:12">
      <c r="B304" s="1356"/>
    </row>
    <row r="305" spans="2:18">
      <c r="B305" s="549" t="s">
        <v>2717</v>
      </c>
    </row>
    <row r="306" spans="2:18">
      <c r="B306" s="550" t="s">
        <v>167</v>
      </c>
    </row>
    <row r="307" spans="2:18">
      <c r="B307" s="552" t="s">
        <v>182</v>
      </c>
    </row>
    <row r="309" spans="2:18">
      <c r="B309" s="549" t="s">
        <v>2718</v>
      </c>
    </row>
    <row r="310" spans="2:18">
      <c r="B310" s="550" t="s">
        <v>179</v>
      </c>
    </row>
    <row r="311" spans="2:18">
      <c r="B311" s="552" t="s">
        <v>180</v>
      </c>
    </row>
    <row r="312" spans="2:18">
      <c r="B312" s="552" t="s">
        <v>181</v>
      </c>
    </row>
    <row r="314" spans="2:18">
      <c r="B314" s="549" t="s">
        <v>2719</v>
      </c>
    </row>
    <row r="315" spans="2:18">
      <c r="B315" s="552" t="s">
        <v>2720</v>
      </c>
    </row>
    <row r="316" spans="2:18" ht="36">
      <c r="B316" s="552" t="s">
        <v>2721</v>
      </c>
      <c r="C316" s="282" t="s">
        <v>1761</v>
      </c>
      <c r="D316" s="282" t="s">
        <v>2833</v>
      </c>
      <c r="E316" s="282" t="s">
        <v>2834</v>
      </c>
      <c r="F316" s="282" t="s">
        <v>2835</v>
      </c>
      <c r="G316" s="282" t="s">
        <v>2836</v>
      </c>
      <c r="H316" s="282" t="s">
        <v>2837</v>
      </c>
      <c r="I316" s="282" t="s">
        <v>2838</v>
      </c>
      <c r="J316" s="282" t="s">
        <v>2839</v>
      </c>
      <c r="K316" s="282" t="s">
        <v>2840</v>
      </c>
      <c r="L316" s="282" t="s">
        <v>2841</v>
      </c>
      <c r="M316" s="282" t="s">
        <v>2842</v>
      </c>
      <c r="N316" s="282" t="s">
        <v>2843</v>
      </c>
      <c r="O316" s="282" t="s">
        <v>2844</v>
      </c>
      <c r="P316" s="282" t="s">
        <v>2845</v>
      </c>
      <c r="Q316" s="282" t="s">
        <v>1762</v>
      </c>
    </row>
    <row r="317" spans="2:18">
      <c r="B317" s="550"/>
      <c r="F317" s="571"/>
    </row>
    <row r="318" spans="2:18" ht="39" customHeight="1">
      <c r="B318" s="549" t="s">
        <v>2722</v>
      </c>
      <c r="C318" s="549" t="s">
        <v>2723</v>
      </c>
      <c r="R318" s="282"/>
    </row>
    <row r="319" spans="2:18">
      <c r="B319" s="550" t="s">
        <v>2417</v>
      </c>
      <c r="C319" s="552" t="s">
        <v>1761</v>
      </c>
    </row>
    <row r="320" spans="2:18">
      <c r="B320" s="550" t="s">
        <v>2846</v>
      </c>
      <c r="C320" s="1357" t="s">
        <v>2833</v>
      </c>
    </row>
    <row r="321" spans="2:3">
      <c r="B321" s="550" t="s">
        <v>2847</v>
      </c>
      <c r="C321" s="1357" t="s">
        <v>2834</v>
      </c>
    </row>
    <row r="322" spans="2:3">
      <c r="B322" s="550" t="s">
        <v>2848</v>
      </c>
      <c r="C322" s="1357" t="s">
        <v>2835</v>
      </c>
    </row>
    <row r="323" spans="2:3">
      <c r="B323" s="550" t="s">
        <v>2849</v>
      </c>
      <c r="C323" s="1357" t="s">
        <v>2836</v>
      </c>
    </row>
    <row r="324" spans="2:3">
      <c r="B324" s="550" t="s">
        <v>2850</v>
      </c>
      <c r="C324" s="1357" t="s">
        <v>2837</v>
      </c>
    </row>
    <row r="325" spans="2:3">
      <c r="B325" s="550" t="s">
        <v>1869</v>
      </c>
      <c r="C325" s="1357" t="s">
        <v>2838</v>
      </c>
    </row>
    <row r="326" spans="2:3">
      <c r="B326" s="550" t="s">
        <v>2851</v>
      </c>
      <c r="C326" s="1357" t="s">
        <v>2839</v>
      </c>
    </row>
    <row r="327" spans="2:3">
      <c r="B327" s="550" t="s">
        <v>2852</v>
      </c>
      <c r="C327" s="1357" t="s">
        <v>2840</v>
      </c>
    </row>
    <row r="328" spans="2:3">
      <c r="B328" s="550" t="s">
        <v>2853</v>
      </c>
      <c r="C328" s="1357" t="s">
        <v>2841</v>
      </c>
    </row>
    <row r="329" spans="2:3">
      <c r="B329" s="550" t="s">
        <v>2854</v>
      </c>
      <c r="C329" s="1357" t="s">
        <v>2842</v>
      </c>
    </row>
    <row r="330" spans="2:3">
      <c r="B330" s="550" t="s">
        <v>2855</v>
      </c>
      <c r="C330" s="1357" t="s">
        <v>2843</v>
      </c>
    </row>
    <row r="331" spans="2:3">
      <c r="B331" s="550" t="s">
        <v>2856</v>
      </c>
      <c r="C331" s="1357" t="s">
        <v>2844</v>
      </c>
    </row>
    <row r="332" spans="2:3">
      <c r="B332" s="550" t="s">
        <v>2857</v>
      </c>
      <c r="C332" s="1357" t="s">
        <v>2845</v>
      </c>
    </row>
    <row r="333" spans="2:3">
      <c r="B333" s="550" t="s">
        <v>2421</v>
      </c>
      <c r="C333" s="1357" t="s">
        <v>1762</v>
      </c>
    </row>
    <row r="334" spans="2:3">
      <c r="B334" s="550" t="s">
        <v>2425</v>
      </c>
      <c r="C334" s="1358"/>
    </row>
    <row r="335" spans="2:3">
      <c r="B335" s="550" t="s">
        <v>2858</v>
      </c>
      <c r="C335" s="1358"/>
    </row>
    <row r="336" spans="2:3">
      <c r="B336" s="550" t="s">
        <v>2859</v>
      </c>
      <c r="C336" s="1358"/>
    </row>
    <row r="337" spans="2:3">
      <c r="B337" s="550" t="s">
        <v>2860</v>
      </c>
      <c r="C337" s="1358"/>
    </row>
    <row r="338" spans="2:3">
      <c r="B338" s="550" t="s">
        <v>2861</v>
      </c>
      <c r="C338" s="1358"/>
    </row>
    <row r="339" spans="2:3">
      <c r="B339" s="550" t="s">
        <v>2862</v>
      </c>
      <c r="C339" s="1358"/>
    </row>
    <row r="340" spans="2:3">
      <c r="B340" s="550" t="s">
        <v>2863</v>
      </c>
      <c r="C340" s="1358"/>
    </row>
    <row r="341" spans="2:3">
      <c r="B341" s="550" t="s">
        <v>2864</v>
      </c>
      <c r="C341" s="1358"/>
    </row>
    <row r="342" spans="2:3">
      <c r="B342" s="550" t="s">
        <v>2865</v>
      </c>
      <c r="C342" s="1358"/>
    </row>
    <row r="343" spans="2:3">
      <c r="B343" s="550" t="s">
        <v>2866</v>
      </c>
      <c r="C343" s="1358"/>
    </row>
    <row r="344" spans="2:3">
      <c r="B344" s="550" t="s">
        <v>2867</v>
      </c>
      <c r="C344" s="1358"/>
    </row>
    <row r="345" spans="2:3">
      <c r="B345" s="550" t="s">
        <v>2868</v>
      </c>
      <c r="C345" s="1358"/>
    </row>
    <row r="346" spans="2:3">
      <c r="B346" s="550" t="s">
        <v>2869</v>
      </c>
      <c r="C346" s="1358"/>
    </row>
    <row r="347" spans="2:3">
      <c r="B347" s="550" t="s">
        <v>2870</v>
      </c>
      <c r="C347" s="1358"/>
    </row>
    <row r="348" spans="2:3">
      <c r="B348" s="550" t="s">
        <v>2429</v>
      </c>
      <c r="C348" s="1358"/>
    </row>
    <row r="349" spans="2:3">
      <c r="B349" s="550" t="s">
        <v>2433</v>
      </c>
      <c r="C349" s="1358"/>
    </row>
    <row r="350" spans="2:3">
      <c r="B350" s="550" t="s">
        <v>2871</v>
      </c>
      <c r="C350" s="1358"/>
    </row>
    <row r="351" spans="2:3">
      <c r="B351" s="550" t="s">
        <v>2872</v>
      </c>
      <c r="C351" s="1358"/>
    </row>
    <row r="352" spans="2:3">
      <c r="B352" s="550" t="s">
        <v>2873</v>
      </c>
      <c r="C352" s="1358"/>
    </row>
    <row r="353" spans="2:3">
      <c r="B353" s="550" t="s">
        <v>2874</v>
      </c>
      <c r="C353" s="1358"/>
    </row>
    <row r="354" spans="2:3">
      <c r="B354" s="550" t="s">
        <v>2875</v>
      </c>
      <c r="C354" s="1358"/>
    </row>
    <row r="355" spans="2:3">
      <c r="B355" s="550" t="s">
        <v>2876</v>
      </c>
      <c r="C355" s="1358"/>
    </row>
    <row r="356" spans="2:3">
      <c r="B356" s="550" t="s">
        <v>2877</v>
      </c>
      <c r="C356" s="1358"/>
    </row>
    <row r="357" spans="2:3">
      <c r="B357" s="550" t="s">
        <v>2878</v>
      </c>
      <c r="C357" s="1358"/>
    </row>
    <row r="358" spans="2:3">
      <c r="B358" s="550" t="s">
        <v>2879</v>
      </c>
      <c r="C358" s="1358"/>
    </row>
    <row r="359" spans="2:3">
      <c r="B359" s="550" t="s">
        <v>2880</v>
      </c>
      <c r="C359" s="1358"/>
    </row>
    <row r="360" spans="2:3">
      <c r="B360" s="550" t="s">
        <v>2881</v>
      </c>
      <c r="C360" s="1358"/>
    </row>
    <row r="361" spans="2:3">
      <c r="B361" s="550" t="s">
        <v>2882</v>
      </c>
      <c r="C361" s="1358"/>
    </row>
    <row r="362" spans="2:3">
      <c r="B362" s="550" t="s">
        <v>2883</v>
      </c>
      <c r="C362" s="1358"/>
    </row>
    <row r="363" spans="2:3">
      <c r="B363" s="550" t="s">
        <v>2436</v>
      </c>
      <c r="C363" s="1358"/>
    </row>
    <row r="364" spans="2:3">
      <c r="B364" s="550" t="s">
        <v>2438</v>
      </c>
      <c r="C364" s="1358"/>
    </row>
    <row r="365" spans="2:3">
      <c r="B365" s="550" t="s">
        <v>2884</v>
      </c>
      <c r="C365" s="1358"/>
    </row>
    <row r="366" spans="2:3">
      <c r="B366" s="550" t="s">
        <v>2885</v>
      </c>
      <c r="C366" s="1358"/>
    </row>
    <row r="367" spans="2:3">
      <c r="B367" s="550" t="s">
        <v>2886</v>
      </c>
      <c r="C367" s="1358"/>
    </row>
    <row r="368" spans="2:3">
      <c r="B368" s="550" t="s">
        <v>2887</v>
      </c>
      <c r="C368" s="1358"/>
    </row>
    <row r="369" spans="2:3">
      <c r="B369" s="550" t="s">
        <v>2888</v>
      </c>
      <c r="C369" s="1358"/>
    </row>
    <row r="370" spans="2:3">
      <c r="B370" s="550" t="s">
        <v>2889</v>
      </c>
      <c r="C370" s="1358"/>
    </row>
    <row r="371" spans="2:3">
      <c r="B371" s="550" t="s">
        <v>2890</v>
      </c>
      <c r="C371" s="1358"/>
    </row>
    <row r="372" spans="2:3">
      <c r="B372" s="550" t="s">
        <v>2891</v>
      </c>
      <c r="C372" s="1358"/>
    </row>
    <row r="373" spans="2:3">
      <c r="B373" s="550" t="s">
        <v>2892</v>
      </c>
      <c r="C373" s="1358"/>
    </row>
    <row r="374" spans="2:3">
      <c r="B374" s="550" t="s">
        <v>2893</v>
      </c>
      <c r="C374" s="1358"/>
    </row>
    <row r="375" spans="2:3">
      <c r="B375" s="550" t="s">
        <v>2894</v>
      </c>
      <c r="C375" s="1358"/>
    </row>
    <row r="376" spans="2:3">
      <c r="B376" s="550" t="s">
        <v>2895</v>
      </c>
      <c r="C376" s="1358"/>
    </row>
    <row r="377" spans="2:3">
      <c r="B377" s="550" t="s">
        <v>2896</v>
      </c>
      <c r="C377" s="1358"/>
    </row>
    <row r="378" spans="2:3">
      <c r="B378" s="550" t="s">
        <v>2440</v>
      </c>
      <c r="C378" s="1358"/>
    </row>
    <row r="379" spans="2:3">
      <c r="B379" s="550" t="s">
        <v>2897</v>
      </c>
      <c r="C379" s="1358"/>
    </row>
    <row r="380" spans="2:3">
      <c r="B380" s="550" t="s">
        <v>2898</v>
      </c>
      <c r="C380" s="1358"/>
    </row>
    <row r="381" spans="2:3">
      <c r="B381" s="550" t="s">
        <v>2899</v>
      </c>
      <c r="C381" s="1358"/>
    </row>
    <row r="382" spans="2:3">
      <c r="B382" s="550" t="s">
        <v>2900</v>
      </c>
      <c r="C382" s="1358"/>
    </row>
    <row r="383" spans="2:3">
      <c r="B383" s="550" t="s">
        <v>2901</v>
      </c>
      <c r="C383" s="1358"/>
    </row>
    <row r="384" spans="2:3">
      <c r="B384" s="550" t="s">
        <v>2902</v>
      </c>
      <c r="C384" s="1358"/>
    </row>
    <row r="385" spans="2:3">
      <c r="B385" s="550" t="s">
        <v>2903</v>
      </c>
      <c r="C385" s="1358"/>
    </row>
    <row r="386" spans="2:3">
      <c r="B386" s="550" t="s">
        <v>2904</v>
      </c>
      <c r="C386" s="1358"/>
    </row>
    <row r="387" spans="2:3">
      <c r="B387" s="550" t="s">
        <v>2905</v>
      </c>
      <c r="C387" s="1358"/>
    </row>
    <row r="388" spans="2:3">
      <c r="B388" s="550" t="s">
        <v>2906</v>
      </c>
      <c r="C388" s="1358"/>
    </row>
    <row r="389" spans="2:3">
      <c r="B389" s="550" t="s">
        <v>2907</v>
      </c>
      <c r="C389" s="1358"/>
    </row>
    <row r="390" spans="2:3">
      <c r="B390" s="550" t="s">
        <v>2908</v>
      </c>
      <c r="C390" s="1358"/>
    </row>
    <row r="391" spans="2:3">
      <c r="B391" s="550" t="s">
        <v>2909</v>
      </c>
      <c r="C391" s="1358"/>
    </row>
    <row r="392" spans="2:3">
      <c r="B392" s="550" t="s">
        <v>2910</v>
      </c>
      <c r="C392" s="1358"/>
    </row>
    <row r="393" spans="2:3">
      <c r="B393" s="550" t="s">
        <v>2911</v>
      </c>
      <c r="C393" s="1358"/>
    </row>
    <row r="394" spans="2:3">
      <c r="B394" s="550" t="s">
        <v>2912</v>
      </c>
      <c r="C394" s="1358"/>
    </row>
    <row r="395" spans="2:3">
      <c r="B395" s="550" t="s">
        <v>2913</v>
      </c>
      <c r="C395" s="1358"/>
    </row>
    <row r="396" spans="2:3">
      <c r="B396" s="550" t="s">
        <v>2914</v>
      </c>
      <c r="C396" s="1358"/>
    </row>
    <row r="397" spans="2:3">
      <c r="B397" s="550" t="s">
        <v>2915</v>
      </c>
      <c r="C397" s="1358"/>
    </row>
    <row r="398" spans="2:3">
      <c r="B398" s="550" t="s">
        <v>2916</v>
      </c>
      <c r="C398" s="1358"/>
    </row>
    <row r="399" spans="2:3">
      <c r="B399" s="550" t="s">
        <v>2917</v>
      </c>
      <c r="C399" s="1358"/>
    </row>
    <row r="400" spans="2:3">
      <c r="B400" s="550" t="s">
        <v>2918</v>
      </c>
      <c r="C400" s="1358"/>
    </row>
    <row r="401" spans="2:3">
      <c r="B401" s="550" t="s">
        <v>2919</v>
      </c>
      <c r="C401" s="1358"/>
    </row>
    <row r="402" spans="2:3">
      <c r="B402" s="550" t="s">
        <v>2920</v>
      </c>
      <c r="C402" s="1358"/>
    </row>
    <row r="403" spans="2:3">
      <c r="B403" s="550" t="s">
        <v>2921</v>
      </c>
      <c r="C403" s="1358"/>
    </row>
    <row r="404" spans="2:3">
      <c r="B404" s="550" t="s">
        <v>2922</v>
      </c>
      <c r="C404" s="1358"/>
    </row>
    <row r="405" spans="2:3">
      <c r="B405" s="550" t="s">
        <v>2923</v>
      </c>
      <c r="C405" s="1358"/>
    </row>
    <row r="406" spans="2:3">
      <c r="B406" s="550" t="s">
        <v>2924</v>
      </c>
      <c r="C406" s="1358"/>
    </row>
    <row r="407" spans="2:3">
      <c r="B407" s="550" t="s">
        <v>2925</v>
      </c>
      <c r="C407" s="1358"/>
    </row>
    <row r="408" spans="2:3">
      <c r="B408" s="550" t="s">
        <v>2926</v>
      </c>
      <c r="C408" s="1358"/>
    </row>
    <row r="409" spans="2:3">
      <c r="B409" s="550" t="s">
        <v>2927</v>
      </c>
      <c r="C409" s="1358"/>
    </row>
    <row r="410" spans="2:3">
      <c r="B410" s="550" t="s">
        <v>2928</v>
      </c>
      <c r="C410" s="1358"/>
    </row>
    <row r="411" spans="2:3">
      <c r="B411" s="550" t="s">
        <v>2929</v>
      </c>
      <c r="C411" s="1358"/>
    </row>
    <row r="412" spans="2:3">
      <c r="B412" s="550" t="s">
        <v>2930</v>
      </c>
      <c r="C412" s="1358"/>
    </row>
    <row r="413" spans="2:3">
      <c r="B413" s="550" t="s">
        <v>2931</v>
      </c>
      <c r="C413" s="1358"/>
    </row>
    <row r="414" spans="2:3">
      <c r="B414" s="550" t="s">
        <v>2932</v>
      </c>
      <c r="C414" s="1358"/>
    </row>
    <row r="415" spans="2:3">
      <c r="B415" s="550" t="s">
        <v>2933</v>
      </c>
      <c r="C415" s="1358"/>
    </row>
    <row r="416" spans="2:3">
      <c r="B416" s="550" t="s">
        <v>2934</v>
      </c>
      <c r="C416" s="1358"/>
    </row>
    <row r="417" spans="2:3">
      <c r="B417" s="550" t="s">
        <v>2935</v>
      </c>
      <c r="C417" s="1358"/>
    </row>
    <row r="418" spans="2:3">
      <c r="B418" s="550" t="s">
        <v>2936</v>
      </c>
      <c r="C418" s="1358"/>
    </row>
    <row r="419" spans="2:3">
      <c r="B419" s="550" t="s">
        <v>2937</v>
      </c>
      <c r="C419" s="1358"/>
    </row>
    <row r="420" spans="2:3">
      <c r="B420" s="550" t="s">
        <v>2938</v>
      </c>
      <c r="C420" s="1358"/>
    </row>
    <row r="421" spans="2:3">
      <c r="B421" s="550" t="s">
        <v>2939</v>
      </c>
      <c r="C421" s="1358"/>
    </row>
    <row r="422" spans="2:3">
      <c r="B422" s="550" t="s">
        <v>2940</v>
      </c>
      <c r="C422" s="1358"/>
    </row>
    <row r="423" spans="2:3">
      <c r="B423" s="550" t="s">
        <v>2941</v>
      </c>
      <c r="C423" s="1358"/>
    </row>
    <row r="424" spans="2:3">
      <c r="B424" s="550" t="s">
        <v>2942</v>
      </c>
      <c r="C424" s="1358"/>
    </row>
    <row r="425" spans="2:3">
      <c r="B425" s="550" t="s">
        <v>2943</v>
      </c>
      <c r="C425" s="1358"/>
    </row>
    <row r="426" spans="2:3">
      <c r="B426" s="550" t="s">
        <v>2944</v>
      </c>
      <c r="C426" s="1358"/>
    </row>
    <row r="427" spans="2:3">
      <c r="B427" s="550" t="s">
        <v>2945</v>
      </c>
      <c r="C427" s="1358"/>
    </row>
    <row r="428" spans="2:3">
      <c r="B428" s="550" t="s">
        <v>2946</v>
      </c>
      <c r="C428" s="1358"/>
    </row>
    <row r="429" spans="2:3">
      <c r="B429" s="550" t="s">
        <v>2947</v>
      </c>
      <c r="C429" s="1358"/>
    </row>
    <row r="430" spans="2:3">
      <c r="B430" s="550" t="s">
        <v>2948</v>
      </c>
      <c r="C430" s="1358"/>
    </row>
    <row r="431" spans="2:3">
      <c r="B431" s="550" t="s">
        <v>2949</v>
      </c>
      <c r="C431" s="1358"/>
    </row>
    <row r="432" spans="2:3">
      <c r="B432" s="550" t="s">
        <v>2950</v>
      </c>
      <c r="C432" s="1358"/>
    </row>
    <row r="433" spans="2:3">
      <c r="B433" s="550" t="s">
        <v>2951</v>
      </c>
      <c r="C433" s="1358"/>
    </row>
    <row r="434" spans="2:3">
      <c r="B434" s="550" t="s">
        <v>2952</v>
      </c>
      <c r="C434" s="1358"/>
    </row>
    <row r="435" spans="2:3">
      <c r="B435" s="550" t="s">
        <v>2953</v>
      </c>
      <c r="C435" s="1358"/>
    </row>
    <row r="436" spans="2:3">
      <c r="B436" s="550" t="s">
        <v>2954</v>
      </c>
      <c r="C436" s="1358"/>
    </row>
    <row r="437" spans="2:3">
      <c r="B437" s="550" t="s">
        <v>2955</v>
      </c>
      <c r="C437" s="1358"/>
    </row>
    <row r="438" spans="2:3">
      <c r="B438" s="550" t="s">
        <v>2956</v>
      </c>
      <c r="C438" s="1358"/>
    </row>
    <row r="439" spans="2:3">
      <c r="B439" s="550" t="s">
        <v>2442</v>
      </c>
      <c r="C439" s="1358"/>
    </row>
    <row r="440" spans="2:3">
      <c r="B440" s="550" t="s">
        <v>2957</v>
      </c>
      <c r="C440" s="1358"/>
    </row>
    <row r="441" spans="2:3">
      <c r="B441" s="550" t="s">
        <v>2958</v>
      </c>
      <c r="C441" s="1358"/>
    </row>
    <row r="442" spans="2:3">
      <c r="B442" s="550" t="s">
        <v>2959</v>
      </c>
      <c r="C442" s="1358"/>
    </row>
    <row r="443" spans="2:3">
      <c r="B443" s="550" t="s">
        <v>2960</v>
      </c>
      <c r="C443" s="1358"/>
    </row>
    <row r="444" spans="2:3">
      <c r="B444" s="550" t="s">
        <v>2961</v>
      </c>
      <c r="C444" s="1358"/>
    </row>
    <row r="445" spans="2:3">
      <c r="B445" s="550" t="s">
        <v>2962</v>
      </c>
      <c r="C445" s="1358"/>
    </row>
    <row r="446" spans="2:3">
      <c r="B446" s="550" t="s">
        <v>2963</v>
      </c>
      <c r="C446" s="1358"/>
    </row>
    <row r="447" spans="2:3">
      <c r="B447" s="550" t="s">
        <v>2964</v>
      </c>
      <c r="C447" s="1358"/>
    </row>
    <row r="448" spans="2:3">
      <c r="B448" s="550" t="s">
        <v>2965</v>
      </c>
      <c r="C448" s="1358"/>
    </row>
    <row r="449" spans="2:3">
      <c r="B449" s="550" t="s">
        <v>2966</v>
      </c>
      <c r="C449" s="1358"/>
    </row>
    <row r="450" spans="2:3">
      <c r="B450" s="550" t="s">
        <v>2967</v>
      </c>
      <c r="C450" s="1358"/>
    </row>
    <row r="451" spans="2:3">
      <c r="B451" s="550" t="s">
        <v>2968</v>
      </c>
      <c r="C451" s="1358"/>
    </row>
    <row r="452" spans="2:3">
      <c r="B452" s="550" t="s">
        <v>2969</v>
      </c>
      <c r="C452" s="1358"/>
    </row>
    <row r="453" spans="2:3">
      <c r="B453" s="550" t="s">
        <v>1875</v>
      </c>
      <c r="C453" s="1358"/>
    </row>
    <row r="454" spans="2:3">
      <c r="B454" s="550"/>
      <c r="C454" s="1358"/>
    </row>
    <row r="455" spans="2:3">
      <c r="B455" s="550" t="s">
        <v>1766</v>
      </c>
      <c r="C455" s="1358"/>
    </row>
    <row r="456" spans="2:3">
      <c r="B456" s="550" t="s">
        <v>1767</v>
      </c>
      <c r="C456" s="1358"/>
    </row>
    <row r="457" spans="2:3">
      <c r="B457" s="550" t="s">
        <v>1768</v>
      </c>
      <c r="C457" s="1358"/>
    </row>
    <row r="458" spans="2:3">
      <c r="B458" s="550" t="s">
        <v>1769</v>
      </c>
      <c r="C458" s="1358"/>
    </row>
    <row r="459" spans="2:3">
      <c r="B459" s="550" t="s">
        <v>1770</v>
      </c>
      <c r="C459" s="1358"/>
    </row>
    <row r="460" spans="2:3">
      <c r="B460" s="550" t="s">
        <v>1771</v>
      </c>
      <c r="C460" s="1358"/>
    </row>
    <row r="461" spans="2:3">
      <c r="B461" s="550" t="s">
        <v>1772</v>
      </c>
      <c r="C461" s="1358"/>
    </row>
    <row r="462" spans="2:3">
      <c r="B462" s="550" t="s">
        <v>1773</v>
      </c>
      <c r="C462" s="1358"/>
    </row>
    <row r="463" spans="2:3">
      <c r="B463" s="550" t="s">
        <v>1774</v>
      </c>
      <c r="C463" s="1358"/>
    </row>
    <row r="464" spans="2:3">
      <c r="B464" s="550" t="s">
        <v>1775</v>
      </c>
      <c r="C464" s="1358"/>
    </row>
    <row r="465" spans="2:6">
      <c r="B465" s="550" t="s">
        <v>1776</v>
      </c>
      <c r="C465" s="1358"/>
    </row>
    <row r="466" spans="2:6">
      <c r="B466" s="550" t="s">
        <v>1777</v>
      </c>
      <c r="C466" s="1358"/>
    </row>
    <row r="467" spans="2:6">
      <c r="B467" s="550" t="s">
        <v>1778</v>
      </c>
      <c r="C467" s="1358"/>
    </row>
    <row r="468" spans="2:6">
      <c r="B468" s="550" t="s">
        <v>1779</v>
      </c>
      <c r="C468" s="1358"/>
    </row>
    <row r="469" spans="2:6">
      <c r="B469" s="550"/>
      <c r="C469" s="1358"/>
    </row>
    <row r="470" spans="2:6">
      <c r="B470" s="550"/>
    </row>
    <row r="471" spans="2:6">
      <c r="B471" s="549" t="s">
        <v>2724</v>
      </c>
      <c r="F471" s="571"/>
    </row>
    <row r="472" spans="2:6">
      <c r="B472" s="550" t="s">
        <v>155</v>
      </c>
      <c r="F472" s="571"/>
    </row>
    <row r="473" spans="2:6">
      <c r="B473" s="550" t="s">
        <v>157</v>
      </c>
      <c r="F473" s="571"/>
    </row>
    <row r="474" spans="2:6">
      <c r="B474" s="550" t="s">
        <v>2725</v>
      </c>
      <c r="F474" s="571"/>
    </row>
    <row r="475" spans="2:6">
      <c r="B475" s="550" t="s">
        <v>156</v>
      </c>
      <c r="F475" s="571"/>
    </row>
    <row r="476" spans="2:6">
      <c r="B476" s="550" t="s">
        <v>158</v>
      </c>
      <c r="F476" s="571"/>
    </row>
    <row r="477" spans="2:6">
      <c r="B477" s="550" t="s">
        <v>2726</v>
      </c>
      <c r="F477" s="571"/>
    </row>
    <row r="478" spans="2:6">
      <c r="B478" s="550" t="s">
        <v>159</v>
      </c>
      <c r="F478" s="571"/>
    </row>
    <row r="479" spans="2:6">
      <c r="F479" s="571"/>
    </row>
    <row r="480" spans="2:6">
      <c r="B480" s="549" t="s">
        <v>147</v>
      </c>
      <c r="F480" s="571"/>
    </row>
    <row r="481" spans="2:6">
      <c r="B481" s="550" t="s">
        <v>144</v>
      </c>
      <c r="F481" s="571"/>
    </row>
    <row r="482" spans="2:6">
      <c r="B482" s="550" t="s">
        <v>14</v>
      </c>
      <c r="F482" s="571"/>
    </row>
    <row r="483" spans="2:6">
      <c r="B483" s="550" t="s">
        <v>160</v>
      </c>
      <c r="F483" s="571"/>
    </row>
    <row r="484" spans="2:6">
      <c r="B484" s="550"/>
      <c r="F484" s="571"/>
    </row>
    <row r="485" spans="2:6">
      <c r="B485" s="549" t="s">
        <v>26</v>
      </c>
      <c r="F485" s="571"/>
    </row>
    <row r="486" spans="2:6">
      <c r="B486" s="550" t="s">
        <v>161</v>
      </c>
      <c r="F486" s="571"/>
    </row>
    <row r="487" spans="2:6">
      <c r="B487" s="550" t="s">
        <v>162</v>
      </c>
      <c r="F487" s="571"/>
    </row>
    <row r="488" spans="2:6">
      <c r="B488" s="550"/>
      <c r="F488" s="571"/>
    </row>
    <row r="489" spans="2:6">
      <c r="B489" s="549" t="s">
        <v>163</v>
      </c>
      <c r="F489" s="571"/>
    </row>
    <row r="490" spans="2:6">
      <c r="B490" s="550" t="s">
        <v>164</v>
      </c>
      <c r="F490" s="571"/>
    </row>
    <row r="491" spans="2:6">
      <c r="B491" s="550" t="s">
        <v>165</v>
      </c>
      <c r="F491" s="571"/>
    </row>
    <row r="492" spans="2:6">
      <c r="B492" s="550" t="s">
        <v>144</v>
      </c>
      <c r="F492" s="571"/>
    </row>
    <row r="493" spans="2:6">
      <c r="B493" s="550" t="s">
        <v>14</v>
      </c>
      <c r="F493" s="571"/>
    </row>
    <row r="494" spans="2:6">
      <c r="B494" s="550" t="s">
        <v>160</v>
      </c>
      <c r="F494" s="571"/>
    </row>
    <row r="495" spans="2:6">
      <c r="B495" s="550"/>
      <c r="F495" s="571"/>
    </row>
    <row r="496" spans="2:6">
      <c r="B496" s="550"/>
      <c r="F496" s="571"/>
    </row>
    <row r="497" spans="2:6">
      <c r="B497" s="549" t="s">
        <v>166</v>
      </c>
      <c r="F497" s="571"/>
    </row>
    <row r="498" spans="2:6">
      <c r="B498" s="550" t="s">
        <v>167</v>
      </c>
      <c r="F498" s="571"/>
    </row>
    <row r="499" spans="2:6">
      <c r="B499" s="550" t="s">
        <v>168</v>
      </c>
      <c r="F499" s="571"/>
    </row>
    <row r="500" spans="2:6">
      <c r="B500" s="550"/>
      <c r="F500" s="571"/>
    </row>
    <row r="501" spans="2:6">
      <c r="B501" s="549" t="s">
        <v>2727</v>
      </c>
      <c r="D501" s="549"/>
      <c r="F501" s="571"/>
    </row>
    <row r="502" spans="2:6">
      <c r="B502" s="550" t="s">
        <v>169</v>
      </c>
      <c r="D502" s="550"/>
      <c r="F502" s="571"/>
    </row>
    <row r="503" spans="2:6">
      <c r="B503" s="550" t="s">
        <v>2728</v>
      </c>
      <c r="D503" s="550"/>
      <c r="F503" s="571"/>
    </row>
    <row r="504" spans="2:6">
      <c r="B504" s="550"/>
      <c r="F504" s="571"/>
    </row>
    <row r="505" spans="2:6">
      <c r="B505" s="549" t="s">
        <v>251</v>
      </c>
      <c r="F505" s="571"/>
    </row>
    <row r="506" spans="2:6">
      <c r="B506" s="550" t="s">
        <v>170</v>
      </c>
      <c r="F506" s="571"/>
    </row>
    <row r="507" spans="2:6">
      <c r="B507" s="550" t="s">
        <v>173</v>
      </c>
      <c r="F507" s="571"/>
    </row>
    <row r="508" spans="2:6">
      <c r="B508" s="550" t="s">
        <v>171</v>
      </c>
      <c r="F508" s="571"/>
    </row>
    <row r="509" spans="2:6">
      <c r="B509" s="550" t="s">
        <v>172</v>
      </c>
      <c r="F509" s="571"/>
    </row>
    <row r="510" spans="2:6">
      <c r="B510" s="550" t="s">
        <v>2970</v>
      </c>
      <c r="F510" s="571"/>
    </row>
    <row r="511" spans="2:6">
      <c r="B511" s="550" t="s">
        <v>2971</v>
      </c>
      <c r="F511" s="571"/>
    </row>
    <row r="512" spans="2:6">
      <c r="B512" s="550" t="s">
        <v>174</v>
      </c>
      <c r="F512" s="571"/>
    </row>
    <row r="513" spans="2:6">
      <c r="B513" s="550"/>
      <c r="F513" s="571"/>
    </row>
    <row r="514" spans="2:6">
      <c r="B514" s="549" t="s">
        <v>153</v>
      </c>
    </row>
    <row r="515" spans="2:6">
      <c r="B515" s="550" t="s">
        <v>1873</v>
      </c>
    </row>
    <row r="516" spans="2:6">
      <c r="B516" s="550" t="s">
        <v>2972</v>
      </c>
      <c r="C516" s="1358"/>
    </row>
    <row r="517" spans="2:6">
      <c r="B517" s="550" t="s">
        <v>2973</v>
      </c>
      <c r="C517" s="1358"/>
    </row>
    <row r="518" spans="2:6">
      <c r="B518" s="550" t="s">
        <v>2974</v>
      </c>
      <c r="C518" s="1358"/>
    </row>
    <row r="519" spans="2:6">
      <c r="B519" s="550" t="s">
        <v>2975</v>
      </c>
      <c r="C519" s="1358"/>
    </row>
    <row r="520" spans="2:6">
      <c r="B520" s="550" t="s">
        <v>2976</v>
      </c>
      <c r="C520" s="1358"/>
    </row>
    <row r="521" spans="2:6">
      <c r="B521" s="550" t="s">
        <v>2977</v>
      </c>
      <c r="C521" s="1358"/>
    </row>
    <row r="522" spans="2:6">
      <c r="B522" s="550" t="s">
        <v>2420</v>
      </c>
      <c r="C522" s="1358"/>
    </row>
    <row r="523" spans="2:6">
      <c r="B523" s="550" t="s">
        <v>2424</v>
      </c>
      <c r="C523" s="1358"/>
    </row>
    <row r="524" spans="2:6">
      <c r="B524" s="550" t="s">
        <v>2978</v>
      </c>
      <c r="C524" s="1358"/>
    </row>
    <row r="525" spans="2:6">
      <c r="B525" s="550" t="s">
        <v>2428</v>
      </c>
      <c r="C525" s="1358"/>
    </row>
    <row r="526" spans="2:6">
      <c r="B526" s="550" t="s">
        <v>2432</v>
      </c>
      <c r="C526" s="1358"/>
    </row>
    <row r="527" spans="2:6">
      <c r="B527" s="550" t="s">
        <v>2979</v>
      </c>
      <c r="C527" s="1358"/>
    </row>
    <row r="528" spans="2:6">
      <c r="B528" s="550" t="s">
        <v>2980</v>
      </c>
      <c r="C528" s="1358"/>
    </row>
    <row r="529" spans="2:3">
      <c r="B529" s="550" t="s">
        <v>2981</v>
      </c>
      <c r="C529" s="1358"/>
    </row>
    <row r="530" spans="2:3">
      <c r="B530" s="550" t="s">
        <v>2982</v>
      </c>
      <c r="C530" s="1358"/>
    </row>
    <row r="531" spans="2:3">
      <c r="B531" s="550" t="s">
        <v>2983</v>
      </c>
      <c r="C531" s="1358"/>
    </row>
    <row r="532" spans="2:3">
      <c r="B532" s="550" t="s">
        <v>2984</v>
      </c>
      <c r="C532" s="1358"/>
    </row>
    <row r="533" spans="2:3">
      <c r="B533" s="550" t="s">
        <v>2985</v>
      </c>
      <c r="C533" s="1358"/>
    </row>
    <row r="534" spans="2:3">
      <c r="B534" s="550" t="s">
        <v>2986</v>
      </c>
      <c r="C534" s="1358"/>
    </row>
    <row r="535" spans="2:3">
      <c r="B535" s="550" t="s">
        <v>2987</v>
      </c>
      <c r="C535" s="1358"/>
    </row>
    <row r="536" spans="2:3">
      <c r="B536" s="550" t="s">
        <v>2435</v>
      </c>
      <c r="C536" s="1358"/>
    </row>
    <row r="537" spans="2:3">
      <c r="B537" s="550" t="s">
        <v>2437</v>
      </c>
      <c r="C537" s="1358"/>
    </row>
    <row r="538" spans="2:3">
      <c r="B538" s="550" t="s">
        <v>2988</v>
      </c>
      <c r="C538" s="1358"/>
    </row>
    <row r="539" spans="2:3">
      <c r="B539" s="550" t="s">
        <v>2439</v>
      </c>
      <c r="C539" s="1358"/>
    </row>
    <row r="540" spans="2:3">
      <c r="B540" s="550" t="s">
        <v>2441</v>
      </c>
      <c r="C540" s="1358"/>
    </row>
    <row r="541" spans="2:3">
      <c r="B541" s="550" t="s">
        <v>2989</v>
      </c>
      <c r="C541" s="1358"/>
    </row>
    <row r="542" spans="2:3">
      <c r="B542" s="550" t="s">
        <v>2990</v>
      </c>
      <c r="C542" s="1358"/>
    </row>
    <row r="543" spans="2:3">
      <c r="B543" s="550" t="s">
        <v>1871</v>
      </c>
      <c r="C543" s="1358"/>
    </row>
    <row r="544" spans="2:3">
      <c r="B544" s="550" t="s">
        <v>2991</v>
      </c>
      <c r="C544" s="1358"/>
    </row>
    <row r="545" spans="2:36">
      <c r="B545" s="550" t="s">
        <v>2992</v>
      </c>
      <c r="C545" s="1358"/>
    </row>
    <row r="546" spans="2:36">
      <c r="B546" s="550" t="s">
        <v>2993</v>
      </c>
      <c r="C546" s="1358"/>
    </row>
    <row r="547" spans="2:36">
      <c r="B547" s="550" t="s">
        <v>2994</v>
      </c>
      <c r="C547" s="1358"/>
    </row>
    <row r="548" spans="2:36">
      <c r="B548" s="550" t="s">
        <v>2995</v>
      </c>
      <c r="C548" s="1358"/>
    </row>
    <row r="549" spans="2:36">
      <c r="B549" s="550" t="s">
        <v>2443</v>
      </c>
      <c r="C549" s="1358"/>
    </row>
    <row r="550" spans="2:36">
      <c r="B550" s="550" t="s">
        <v>2996</v>
      </c>
      <c r="C550" s="1358"/>
    </row>
    <row r="551" spans="2:36">
      <c r="B551" s="550" t="s">
        <v>2997</v>
      </c>
      <c r="C551" s="1358"/>
    </row>
    <row r="552" spans="2:36">
      <c r="B552" s="550" t="s">
        <v>2998</v>
      </c>
      <c r="C552" s="1358"/>
    </row>
    <row r="553" spans="2:36">
      <c r="B553" s="550" t="s">
        <v>2999</v>
      </c>
      <c r="C553" s="1358"/>
    </row>
    <row r="554" spans="2:36">
      <c r="B554" s="550" t="s">
        <v>1868</v>
      </c>
      <c r="C554" s="1358"/>
    </row>
    <row r="555" spans="2:36">
      <c r="B555" s="550" t="s">
        <v>3000</v>
      </c>
      <c r="C555" s="1358"/>
    </row>
    <row r="556" spans="2:36">
      <c r="B556" s="550"/>
      <c r="C556" s="1358"/>
    </row>
    <row r="557" spans="2:36">
      <c r="C557" s="552"/>
      <c r="D557" s="552"/>
      <c r="E557" s="552"/>
      <c r="F557" s="552"/>
      <c r="G557" s="552"/>
      <c r="H557" s="552"/>
      <c r="I557" s="552"/>
      <c r="J557" s="552"/>
    </row>
    <row r="558" spans="2:36">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552"/>
      <c r="AD558" s="552"/>
      <c r="AE558" s="552"/>
      <c r="AF558" s="552"/>
      <c r="AG558" s="552"/>
      <c r="AH558" s="552"/>
      <c r="AI558" s="552"/>
      <c r="AJ558" s="552"/>
    </row>
    <row r="560" spans="2:36">
      <c r="B560" s="549" t="s">
        <v>2729</v>
      </c>
    </row>
    <row r="561" spans="2:2">
      <c r="B561" s="550" t="s">
        <v>9</v>
      </c>
    </row>
    <row r="562" spans="2:2">
      <c r="B562" s="550" t="s">
        <v>62</v>
      </c>
    </row>
    <row r="563" spans="2:2">
      <c r="B563" s="550" t="s">
        <v>63</v>
      </c>
    </row>
    <row r="564" spans="2:2">
      <c r="B564" s="550" t="s">
        <v>64</v>
      </c>
    </row>
    <row r="565" spans="2:2">
      <c r="B565" s="550" t="s">
        <v>65</v>
      </c>
    </row>
    <row r="566" spans="2:2">
      <c r="B566" s="550" t="s">
        <v>66</v>
      </c>
    </row>
    <row r="567" spans="2:2">
      <c r="B567" s="550" t="s">
        <v>67</v>
      </c>
    </row>
    <row r="568" spans="2:2">
      <c r="B568" s="550" t="s">
        <v>68</v>
      </c>
    </row>
    <row r="569" spans="2:2">
      <c r="B569" s="550" t="s">
        <v>69</v>
      </c>
    </row>
    <row r="570" spans="2:2">
      <c r="B570" s="550" t="s">
        <v>70</v>
      </c>
    </row>
    <row r="571" spans="2:2">
      <c r="B571" s="550" t="s">
        <v>71</v>
      </c>
    </row>
    <row r="572" spans="2:2">
      <c r="B572" s="550" t="s">
        <v>72</v>
      </c>
    </row>
    <row r="573" spans="2:2">
      <c r="B573" s="550" t="s">
        <v>73</v>
      </c>
    </row>
    <row r="574" spans="2:2">
      <c r="B574" s="550" t="s">
        <v>74</v>
      </c>
    </row>
    <row r="576" spans="2:2">
      <c r="B576" s="549" t="s">
        <v>2730</v>
      </c>
    </row>
    <row r="577" spans="2:7">
      <c r="B577" s="550" t="s">
        <v>14</v>
      </c>
    </row>
    <row r="578" spans="2:7">
      <c r="B578" s="550" t="s">
        <v>2481</v>
      </c>
      <c r="C578" s="1359" t="s">
        <v>1313</v>
      </c>
    </row>
    <row r="579" spans="2:7">
      <c r="B579" s="550" t="s">
        <v>2482</v>
      </c>
      <c r="C579" s="1359" t="s">
        <v>1315</v>
      </c>
      <c r="D579" s="552" t="s">
        <v>2482</v>
      </c>
      <c r="E579" s="552"/>
      <c r="F579" s="552"/>
      <c r="G579" s="552" t="b">
        <v>1</v>
      </c>
    </row>
    <row r="580" spans="2:7">
      <c r="B580" s="552" t="s">
        <v>2483</v>
      </c>
      <c r="C580" s="1359" t="s">
        <v>1317</v>
      </c>
      <c r="D580" s="552" t="s">
        <v>2483</v>
      </c>
      <c r="E580" s="552"/>
      <c r="F580" s="552"/>
      <c r="G580" s="552" t="b">
        <v>1</v>
      </c>
    </row>
    <row r="581" spans="2:7">
      <c r="B581" s="552" t="s">
        <v>2484</v>
      </c>
      <c r="C581" s="1359" t="s">
        <v>1319</v>
      </c>
      <c r="D581" s="552" t="s">
        <v>2484</v>
      </c>
      <c r="E581" s="552"/>
      <c r="F581" s="552"/>
      <c r="G581" s="552" t="b">
        <v>1</v>
      </c>
    </row>
    <row r="582" spans="2:7">
      <c r="B582" s="552" t="s">
        <v>2731</v>
      </c>
      <c r="C582" s="1359" t="s">
        <v>1321</v>
      </c>
      <c r="D582" s="552" t="s">
        <v>2731</v>
      </c>
      <c r="E582" s="552"/>
      <c r="F582" s="552"/>
      <c r="G582" s="552" t="b">
        <v>1</v>
      </c>
    </row>
    <row r="583" spans="2:7">
      <c r="B583" s="552" t="s">
        <v>2732</v>
      </c>
      <c r="C583" s="1359" t="s">
        <v>1322</v>
      </c>
      <c r="D583" s="552" t="s">
        <v>2732</v>
      </c>
      <c r="E583" s="552"/>
      <c r="F583" s="552"/>
      <c r="G583" s="552" t="b">
        <v>1</v>
      </c>
    </row>
    <row r="584" spans="2:7">
      <c r="B584" s="552" t="s">
        <v>23</v>
      </c>
      <c r="C584" s="1359" t="s">
        <v>1323</v>
      </c>
      <c r="D584" s="552" t="s">
        <v>23</v>
      </c>
      <c r="E584" s="552"/>
      <c r="F584" s="552"/>
      <c r="G584" s="552" t="b">
        <v>1</v>
      </c>
    </row>
    <row r="585" spans="2:7">
      <c r="B585" s="552" t="s">
        <v>2487</v>
      </c>
      <c r="C585" s="1359" t="s">
        <v>1325</v>
      </c>
      <c r="D585" s="552" t="s">
        <v>2487</v>
      </c>
      <c r="E585" s="552"/>
      <c r="F585" s="552"/>
      <c r="G585" s="552" t="b">
        <v>1</v>
      </c>
    </row>
    <row r="586" spans="2:7">
      <c r="B586" s="552" t="s">
        <v>2488</v>
      </c>
      <c r="C586" s="1359" t="s">
        <v>1326</v>
      </c>
      <c r="D586" s="552" t="s">
        <v>2488</v>
      </c>
      <c r="E586" s="552"/>
      <c r="F586" s="552"/>
      <c r="G586" s="552" t="b">
        <v>1</v>
      </c>
    </row>
    <row r="587" spans="2:7">
      <c r="B587" s="552" t="s">
        <v>2489</v>
      </c>
      <c r="C587" s="1359" t="s">
        <v>1327</v>
      </c>
      <c r="D587" s="552" t="s">
        <v>2489</v>
      </c>
      <c r="E587" s="552"/>
      <c r="F587" s="552"/>
      <c r="G587" s="552" t="b">
        <v>1</v>
      </c>
    </row>
    <row r="588" spans="2:7">
      <c r="B588" s="552" t="s">
        <v>2733</v>
      </c>
      <c r="C588" s="1350"/>
    </row>
    <row r="589" spans="2:7">
      <c r="B589" s="552" t="s">
        <v>144</v>
      </c>
      <c r="C589" s="579"/>
      <c r="D589" s="579"/>
      <c r="E589" s="579"/>
    </row>
    <row r="590" spans="2:7">
      <c r="B590" s="552" t="s">
        <v>2734</v>
      </c>
    </row>
    <row r="591" spans="2:7">
      <c r="B591" s="552" t="s">
        <v>22</v>
      </c>
    </row>
    <row r="592" spans="2:7">
      <c r="B592" s="552" t="s">
        <v>23</v>
      </c>
    </row>
    <row r="594" spans="2:5">
      <c r="B594" s="552" t="s">
        <v>2735</v>
      </c>
      <c r="C594" s="579"/>
      <c r="D594" s="579"/>
      <c r="E594" s="579"/>
    </row>
    <row r="595" spans="2:5">
      <c r="B595" s="552" t="s">
        <v>2736</v>
      </c>
    </row>
    <row r="596" spans="2:5">
      <c r="B596" s="552"/>
    </row>
    <row r="597" spans="2:5">
      <c r="B597" s="1349" t="s">
        <v>253</v>
      </c>
    </row>
    <row r="598" spans="2:5">
      <c r="B598" s="552" t="s">
        <v>2336</v>
      </c>
      <c r="C598" s="552" t="s">
        <v>11</v>
      </c>
      <c r="D598" s="552" t="s">
        <v>1288</v>
      </c>
    </row>
    <row r="599" spans="2:5">
      <c r="B599" s="552" t="s">
        <v>2337</v>
      </c>
      <c r="C599" s="552" t="s">
        <v>36</v>
      </c>
      <c r="D599" s="552" t="s">
        <v>1290</v>
      </c>
    </row>
    <row r="600" spans="2:5">
      <c r="B600" s="552" t="s">
        <v>2338</v>
      </c>
      <c r="C600" s="552" t="s">
        <v>94</v>
      </c>
      <c r="D600" s="552" t="s">
        <v>1292</v>
      </c>
    </row>
    <row r="601" spans="2:5">
      <c r="B601" s="552" t="s">
        <v>2339</v>
      </c>
      <c r="C601" s="552" t="s">
        <v>94</v>
      </c>
      <c r="D601" s="552" t="s">
        <v>1294</v>
      </c>
    </row>
    <row r="602" spans="2:5">
      <c r="B602" s="552" t="s">
        <v>2340</v>
      </c>
      <c r="C602" s="552" t="s">
        <v>94</v>
      </c>
      <c r="D602" s="552" t="s">
        <v>1296</v>
      </c>
    </row>
    <row r="603" spans="2:5">
      <c r="B603" s="552" t="s">
        <v>2341</v>
      </c>
      <c r="C603" s="552" t="s">
        <v>11</v>
      </c>
      <c r="D603" s="552" t="s">
        <v>1298</v>
      </c>
    </row>
    <row r="604" spans="2:5">
      <c r="B604" s="552" t="s">
        <v>2342</v>
      </c>
      <c r="C604" s="552" t="s">
        <v>11</v>
      </c>
      <c r="D604" s="552" t="s">
        <v>1300</v>
      </c>
    </row>
    <row r="606" spans="2:5">
      <c r="B606" s="1349" t="s">
        <v>2737</v>
      </c>
    </row>
    <row r="607" spans="2:5">
      <c r="B607" s="552" t="s">
        <v>136</v>
      </c>
    </row>
    <row r="608" spans="2:5">
      <c r="B608" s="552" t="s">
        <v>135</v>
      </c>
    </row>
    <row r="609" spans="3:5">
      <c r="C609" s="579"/>
      <c r="D609" s="579"/>
      <c r="E609" s="579"/>
    </row>
  </sheetData>
  <sheetProtection algorithmName="SHA-512" hashValue="v/KS7PNVizuBBC17nSN3aXPkFjeFlr2EWOXUbZ94RxNaM7ccAnhYPd+ztmxCbviad7DxK0RSuerM7+n0xmprmg==" saltValue="qk8Rx33ANcHhXm2pfb9XMw==" spinCount="100000" sheet="1" objects="1" scenarios="1" autoFilter="0"/>
  <phoneticPr fontId="15" type="noConversion"/>
  <hyperlinks>
    <hyperlink ref="C2" location="CONTENTS!A1" display="Contents" xr:uid="{A8AA831D-180B-4DBF-80D8-618C929A971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9" tint="-0.249977111117893"/>
  </sheetPr>
  <dimension ref="A1:L196"/>
  <sheetViews>
    <sheetView showGridLines="0" zoomScaleNormal="100" zoomScaleSheetLayoutView="100" workbookViewId="0">
      <pane xSplit="1" ySplit="2" topLeftCell="B3" activePane="bottomRight" state="frozen"/>
      <selection pane="topRight" activeCell="E33" sqref="E33"/>
      <selection pane="bottomLeft" activeCell="E33" sqref="E33"/>
      <selection pane="bottomRight"/>
    </sheetView>
  </sheetViews>
  <sheetFormatPr defaultColWidth="0" defaultRowHeight="12.75" zeroHeight="1"/>
  <cols>
    <col min="1" max="1" width="3.42578125" style="434" customWidth="1"/>
    <col min="2" max="2" width="29.7109375" style="434" customWidth="1"/>
    <col min="3" max="3" width="39.7109375" style="434" customWidth="1"/>
    <col min="4" max="4" width="26.42578125" style="434" customWidth="1"/>
    <col min="5" max="5" width="39.28515625" style="434" customWidth="1"/>
    <col min="6" max="6" width="3.7109375" style="434" customWidth="1"/>
    <col min="7" max="245" width="9" style="434" customWidth="1"/>
    <col min="246" max="247" width="2.28515625" style="434" customWidth="1"/>
    <col min="248" max="248" width="9" style="434" customWidth="1"/>
    <col min="249" max="249" width="11.28515625" style="434" customWidth="1"/>
    <col min="250" max="252" width="9" style="434" customWidth="1"/>
    <col min="253" max="253" width="4.28515625" style="434" customWidth="1"/>
    <col min="254" max="257" width="9" style="434" customWidth="1"/>
    <col min="258" max="258" width="7.7109375" style="434" customWidth="1"/>
    <col min="259" max="260" width="2.28515625" style="434" customWidth="1"/>
    <col min="261" max="501" width="0" style="434" hidden="1"/>
    <col min="502" max="503" width="2.28515625" style="434" customWidth="1"/>
    <col min="504" max="508" width="9" style="434" customWidth="1"/>
    <col min="509" max="509" width="4.28515625" style="434" customWidth="1"/>
    <col min="510" max="513" width="9" style="434" customWidth="1"/>
    <col min="514" max="514" width="7.7109375" style="434" customWidth="1"/>
    <col min="515" max="516" width="2.28515625" style="434" customWidth="1"/>
    <col min="517" max="757" width="0" style="434" hidden="1"/>
    <col min="758" max="759" width="2.28515625" style="434" customWidth="1"/>
    <col min="760" max="764" width="9" style="434" customWidth="1"/>
    <col min="765" max="765" width="4.28515625" style="434" customWidth="1"/>
    <col min="766" max="769" width="9" style="434" customWidth="1"/>
    <col min="770" max="770" width="7.7109375" style="434" customWidth="1"/>
    <col min="771" max="772" width="2.28515625" style="434" customWidth="1"/>
    <col min="773" max="1013" width="0" style="434" hidden="1"/>
    <col min="1014" max="1015" width="2.28515625" style="434" customWidth="1"/>
    <col min="1016" max="1020" width="9" style="434" customWidth="1"/>
    <col min="1021" max="1021" width="4.28515625" style="434" customWidth="1"/>
    <col min="1022" max="1025" width="9" style="434" customWidth="1"/>
    <col min="1026" max="1026" width="7.7109375" style="434" customWidth="1"/>
    <col min="1027" max="1028" width="2.28515625" style="434" customWidth="1"/>
    <col min="1029" max="1269" width="0" style="434" hidden="1"/>
    <col min="1270" max="1271" width="2.28515625" style="434" customWidth="1"/>
    <col min="1272" max="1276" width="9" style="434" customWidth="1"/>
    <col min="1277" max="1277" width="4.28515625" style="434" customWidth="1"/>
    <col min="1278" max="1281" width="9" style="434" customWidth="1"/>
    <col min="1282" max="1282" width="7.7109375" style="434" customWidth="1"/>
    <col min="1283" max="1284" width="2.28515625" style="434" customWidth="1"/>
    <col min="1285" max="1525" width="0" style="434" hidden="1"/>
    <col min="1526" max="1527" width="2.28515625" style="434" customWidth="1"/>
    <col min="1528" max="1532" width="9" style="434" customWidth="1"/>
    <col min="1533" max="1533" width="4.28515625" style="434" customWidth="1"/>
    <col min="1534" max="1537" width="9" style="434" customWidth="1"/>
    <col min="1538" max="1538" width="7.7109375" style="434" customWidth="1"/>
    <col min="1539" max="1540" width="2.28515625" style="434" customWidth="1"/>
    <col min="1541" max="1781" width="0" style="434" hidden="1"/>
    <col min="1782" max="1783" width="2.28515625" style="434" customWidth="1"/>
    <col min="1784" max="1788" width="9" style="434" customWidth="1"/>
    <col min="1789" max="1789" width="4.28515625" style="434" customWidth="1"/>
    <col min="1790" max="1793" width="9" style="434" customWidth="1"/>
    <col min="1794" max="1794" width="7.7109375" style="434" customWidth="1"/>
    <col min="1795" max="1796" width="2.28515625" style="434" customWidth="1"/>
    <col min="1797" max="2037" width="0" style="434" hidden="1"/>
    <col min="2038" max="2039" width="2.28515625" style="434" customWidth="1"/>
    <col min="2040" max="2044" width="9" style="434" customWidth="1"/>
    <col min="2045" max="2045" width="4.28515625" style="434" customWidth="1"/>
    <col min="2046" max="2049" width="9" style="434" customWidth="1"/>
    <col min="2050" max="2050" width="7.7109375" style="434" customWidth="1"/>
    <col min="2051" max="2052" width="2.28515625" style="434" customWidth="1"/>
    <col min="2053" max="2293" width="0" style="434" hidden="1"/>
    <col min="2294" max="2295" width="2.28515625" style="434" customWidth="1"/>
    <col min="2296" max="2300" width="9" style="434" customWidth="1"/>
    <col min="2301" max="2301" width="4.28515625" style="434" customWidth="1"/>
    <col min="2302" max="2305" width="9" style="434" customWidth="1"/>
    <col min="2306" max="2306" width="7.7109375" style="434" customWidth="1"/>
    <col min="2307" max="2308" width="2.28515625" style="434" customWidth="1"/>
    <col min="2309" max="2549" width="0" style="434" hidden="1"/>
    <col min="2550" max="2551" width="2.28515625" style="434" customWidth="1"/>
    <col min="2552" max="2556" width="9" style="434" customWidth="1"/>
    <col min="2557" max="2557" width="4.28515625" style="434" customWidth="1"/>
    <col min="2558" max="2561" width="9" style="434" customWidth="1"/>
    <col min="2562" max="2562" width="7.7109375" style="434" customWidth="1"/>
    <col min="2563" max="2564" width="2.28515625" style="434" customWidth="1"/>
    <col min="2565" max="2805" width="0" style="434" hidden="1"/>
    <col min="2806" max="2807" width="2.28515625" style="434" customWidth="1"/>
    <col min="2808" max="2812" width="9" style="434" customWidth="1"/>
    <col min="2813" max="2813" width="4.28515625" style="434" customWidth="1"/>
    <col min="2814" max="2817" width="9" style="434" customWidth="1"/>
    <col min="2818" max="2818" width="7.7109375" style="434" customWidth="1"/>
    <col min="2819" max="2820" width="2.28515625" style="434" customWidth="1"/>
    <col min="2821" max="3061" width="0" style="434" hidden="1"/>
    <col min="3062" max="3063" width="2.28515625" style="434" customWidth="1"/>
    <col min="3064" max="3068" width="9" style="434" customWidth="1"/>
    <col min="3069" max="3069" width="4.28515625" style="434" customWidth="1"/>
    <col min="3070" max="3073" width="9" style="434" customWidth="1"/>
    <col min="3074" max="3074" width="7.7109375" style="434" customWidth="1"/>
    <col min="3075" max="3076" width="2.28515625" style="434" customWidth="1"/>
    <col min="3077" max="3317" width="0" style="434" hidden="1"/>
    <col min="3318" max="3319" width="2.28515625" style="434" customWidth="1"/>
    <col min="3320" max="3324" width="9" style="434" customWidth="1"/>
    <col min="3325" max="3325" width="4.28515625" style="434" customWidth="1"/>
    <col min="3326" max="3329" width="9" style="434" customWidth="1"/>
    <col min="3330" max="3330" width="7.7109375" style="434" customWidth="1"/>
    <col min="3331" max="3332" width="2.28515625" style="434" customWidth="1"/>
    <col min="3333" max="3573" width="0" style="434" hidden="1"/>
    <col min="3574" max="3575" width="2.28515625" style="434" customWidth="1"/>
    <col min="3576" max="3580" width="9" style="434" customWidth="1"/>
    <col min="3581" max="3581" width="4.28515625" style="434" customWidth="1"/>
    <col min="3582" max="3585" width="9" style="434" customWidth="1"/>
    <col min="3586" max="3586" width="7.7109375" style="434" customWidth="1"/>
    <col min="3587" max="3588" width="2.28515625" style="434" customWidth="1"/>
    <col min="3589" max="3829" width="0" style="434" hidden="1"/>
    <col min="3830" max="3831" width="2.28515625" style="434" customWidth="1"/>
    <col min="3832" max="3836" width="9" style="434" customWidth="1"/>
    <col min="3837" max="3837" width="4.28515625" style="434" customWidth="1"/>
    <col min="3838" max="3841" width="9" style="434" customWidth="1"/>
    <col min="3842" max="3842" width="7.7109375" style="434" customWidth="1"/>
    <col min="3843" max="3844" width="2.28515625" style="434" customWidth="1"/>
    <col min="3845" max="4085" width="0" style="434" hidden="1"/>
    <col min="4086" max="4087" width="2.28515625" style="434" customWidth="1"/>
    <col min="4088" max="4092" width="9" style="434" customWidth="1"/>
    <col min="4093" max="4093" width="4.28515625" style="434" customWidth="1"/>
    <col min="4094" max="4097" width="9" style="434" customWidth="1"/>
    <col min="4098" max="4098" width="7.7109375" style="434" customWidth="1"/>
    <col min="4099" max="4100" width="2.28515625" style="434" customWidth="1"/>
    <col min="4101" max="4341" width="0" style="434" hidden="1"/>
    <col min="4342" max="4343" width="2.28515625" style="434" customWidth="1"/>
    <col min="4344" max="4348" width="9" style="434" customWidth="1"/>
    <col min="4349" max="4349" width="4.28515625" style="434" customWidth="1"/>
    <col min="4350" max="4353" width="9" style="434" customWidth="1"/>
    <col min="4354" max="4354" width="7.7109375" style="434" customWidth="1"/>
    <col min="4355" max="4356" width="2.28515625" style="434" customWidth="1"/>
    <col min="4357" max="4597" width="0" style="434" hidden="1"/>
    <col min="4598" max="4599" width="2.28515625" style="434" customWidth="1"/>
    <col min="4600" max="4604" width="9" style="434" customWidth="1"/>
    <col min="4605" max="4605" width="4.28515625" style="434" customWidth="1"/>
    <col min="4606" max="4609" width="9" style="434" customWidth="1"/>
    <col min="4610" max="4610" width="7.7109375" style="434" customWidth="1"/>
    <col min="4611" max="4612" width="2.28515625" style="434" customWidth="1"/>
    <col min="4613" max="4853" width="0" style="434" hidden="1"/>
    <col min="4854" max="4855" width="2.28515625" style="434" customWidth="1"/>
    <col min="4856" max="4860" width="9" style="434" customWidth="1"/>
    <col min="4861" max="4861" width="4.28515625" style="434" customWidth="1"/>
    <col min="4862" max="4865" width="9" style="434" customWidth="1"/>
    <col min="4866" max="4866" width="7.7109375" style="434" customWidth="1"/>
    <col min="4867" max="4868" width="2.28515625" style="434" customWidth="1"/>
    <col min="4869" max="5109" width="0" style="434" hidden="1"/>
    <col min="5110" max="5111" width="2.28515625" style="434" customWidth="1"/>
    <col min="5112" max="5116" width="9" style="434" customWidth="1"/>
    <col min="5117" max="5117" width="4.28515625" style="434" customWidth="1"/>
    <col min="5118" max="5121" width="9" style="434" customWidth="1"/>
    <col min="5122" max="5122" width="7.7109375" style="434" customWidth="1"/>
    <col min="5123" max="5124" width="2.28515625" style="434" customWidth="1"/>
    <col min="5125" max="5365" width="0" style="434" hidden="1"/>
    <col min="5366" max="5367" width="2.28515625" style="434" customWidth="1"/>
    <col min="5368" max="5372" width="9" style="434" customWidth="1"/>
    <col min="5373" max="5373" width="4.28515625" style="434" customWidth="1"/>
    <col min="5374" max="5377" width="9" style="434" customWidth="1"/>
    <col min="5378" max="5378" width="7.7109375" style="434" customWidth="1"/>
    <col min="5379" max="5380" width="2.28515625" style="434" customWidth="1"/>
    <col min="5381" max="5621" width="0" style="434" hidden="1"/>
    <col min="5622" max="5623" width="2.28515625" style="434" customWidth="1"/>
    <col min="5624" max="5628" width="9" style="434" customWidth="1"/>
    <col min="5629" max="5629" width="4.28515625" style="434" customWidth="1"/>
    <col min="5630" max="5633" width="9" style="434" customWidth="1"/>
    <col min="5634" max="5634" width="7.7109375" style="434" customWidth="1"/>
    <col min="5635" max="5636" width="2.28515625" style="434" customWidth="1"/>
    <col min="5637" max="5877" width="0" style="434" hidden="1"/>
    <col min="5878" max="5879" width="2.28515625" style="434" customWidth="1"/>
    <col min="5880" max="5884" width="9" style="434" customWidth="1"/>
    <col min="5885" max="5885" width="4.28515625" style="434" customWidth="1"/>
    <col min="5886" max="5889" width="9" style="434" customWidth="1"/>
    <col min="5890" max="5890" width="7.7109375" style="434" customWidth="1"/>
    <col min="5891" max="5892" width="2.28515625" style="434" customWidth="1"/>
    <col min="5893" max="6133" width="0" style="434" hidden="1"/>
    <col min="6134" max="6135" width="2.28515625" style="434" customWidth="1"/>
    <col min="6136" max="6140" width="9" style="434" customWidth="1"/>
    <col min="6141" max="6141" width="4.28515625" style="434" customWidth="1"/>
    <col min="6142" max="6145" width="9" style="434" customWidth="1"/>
    <col min="6146" max="6146" width="7.7109375" style="434" customWidth="1"/>
    <col min="6147" max="6148" width="2.28515625" style="434" customWidth="1"/>
    <col min="6149" max="6389" width="0" style="434" hidden="1"/>
    <col min="6390" max="6391" width="2.28515625" style="434" customWidth="1"/>
    <col min="6392" max="6396" width="9" style="434" customWidth="1"/>
    <col min="6397" max="6397" width="4.28515625" style="434" customWidth="1"/>
    <col min="6398" max="6401" width="9" style="434" customWidth="1"/>
    <col min="6402" max="6402" width="7.7109375" style="434" customWidth="1"/>
    <col min="6403" max="6404" width="2.28515625" style="434" customWidth="1"/>
    <col min="6405" max="6645" width="0" style="434" hidden="1"/>
    <col min="6646" max="6647" width="2.28515625" style="434" customWidth="1"/>
    <col min="6648" max="6652" width="9" style="434" customWidth="1"/>
    <col min="6653" max="6653" width="4.28515625" style="434" customWidth="1"/>
    <col min="6654" max="6657" width="9" style="434" customWidth="1"/>
    <col min="6658" max="6658" width="7.7109375" style="434" customWidth="1"/>
    <col min="6659" max="6660" width="2.28515625" style="434" customWidth="1"/>
    <col min="6661" max="6901" width="0" style="434" hidden="1"/>
    <col min="6902" max="6903" width="2.28515625" style="434" customWidth="1"/>
    <col min="6904" max="6908" width="9" style="434" customWidth="1"/>
    <col min="6909" max="6909" width="4.28515625" style="434" customWidth="1"/>
    <col min="6910" max="6913" width="9" style="434" customWidth="1"/>
    <col min="6914" max="6914" width="7.7109375" style="434" customWidth="1"/>
    <col min="6915" max="6916" width="2.28515625" style="434" customWidth="1"/>
    <col min="6917" max="7157" width="0" style="434" hidden="1"/>
    <col min="7158" max="7159" width="2.28515625" style="434" customWidth="1"/>
    <col min="7160" max="7164" width="9" style="434" customWidth="1"/>
    <col min="7165" max="7165" width="4.28515625" style="434" customWidth="1"/>
    <col min="7166" max="7169" width="9" style="434" customWidth="1"/>
    <col min="7170" max="7170" width="7.7109375" style="434" customWidth="1"/>
    <col min="7171" max="7172" width="2.28515625" style="434" customWidth="1"/>
    <col min="7173" max="7413" width="0" style="434" hidden="1"/>
    <col min="7414" max="7415" width="2.28515625" style="434" customWidth="1"/>
    <col min="7416" max="7420" width="9" style="434" customWidth="1"/>
    <col min="7421" max="7421" width="4.28515625" style="434" customWidth="1"/>
    <col min="7422" max="7425" width="9" style="434" customWidth="1"/>
    <col min="7426" max="7426" width="7.7109375" style="434" customWidth="1"/>
    <col min="7427" max="7428" width="2.28515625" style="434" customWidth="1"/>
    <col min="7429" max="7669" width="0" style="434" hidden="1"/>
    <col min="7670" max="7671" width="2.28515625" style="434" customWidth="1"/>
    <col min="7672" max="7676" width="9" style="434" customWidth="1"/>
    <col min="7677" max="7677" width="4.28515625" style="434" customWidth="1"/>
    <col min="7678" max="7681" width="9" style="434" customWidth="1"/>
    <col min="7682" max="7682" width="7.7109375" style="434" customWidth="1"/>
    <col min="7683" max="7684" width="2.28515625" style="434" customWidth="1"/>
    <col min="7685" max="7925" width="0" style="434" hidden="1"/>
    <col min="7926" max="7927" width="2.28515625" style="434" customWidth="1"/>
    <col min="7928" max="7932" width="9" style="434" customWidth="1"/>
    <col min="7933" max="7933" width="4.28515625" style="434" customWidth="1"/>
    <col min="7934" max="7937" width="9" style="434" customWidth="1"/>
    <col min="7938" max="7938" width="7.7109375" style="434" customWidth="1"/>
    <col min="7939" max="7940" width="2.28515625" style="434" customWidth="1"/>
    <col min="7941" max="8181" width="0" style="434" hidden="1"/>
    <col min="8182" max="8183" width="2.28515625" style="434" customWidth="1"/>
    <col min="8184" max="8188" width="9" style="434" customWidth="1"/>
    <col min="8189" max="8189" width="4.28515625" style="434" customWidth="1"/>
    <col min="8190" max="8193" width="9" style="434" customWidth="1"/>
    <col min="8194" max="8194" width="7.7109375" style="434" customWidth="1"/>
    <col min="8195" max="8196" width="2.28515625" style="434" customWidth="1"/>
    <col min="8197" max="8437" width="0" style="434" hidden="1"/>
    <col min="8438" max="8439" width="2.28515625" style="434" customWidth="1"/>
    <col min="8440" max="8444" width="9" style="434" customWidth="1"/>
    <col min="8445" max="8445" width="4.28515625" style="434" customWidth="1"/>
    <col min="8446" max="8449" width="9" style="434" customWidth="1"/>
    <col min="8450" max="8450" width="7.7109375" style="434" customWidth="1"/>
    <col min="8451" max="8452" width="2.28515625" style="434" customWidth="1"/>
    <col min="8453" max="8693" width="0" style="434" hidden="1"/>
    <col min="8694" max="8695" width="2.28515625" style="434" customWidth="1"/>
    <col min="8696" max="8700" width="9" style="434" customWidth="1"/>
    <col min="8701" max="8701" width="4.28515625" style="434" customWidth="1"/>
    <col min="8702" max="8705" width="9" style="434" customWidth="1"/>
    <col min="8706" max="8706" width="7.7109375" style="434" customWidth="1"/>
    <col min="8707" max="8708" width="2.28515625" style="434" customWidth="1"/>
    <col min="8709" max="8949" width="0" style="434" hidden="1"/>
    <col min="8950" max="8951" width="2.28515625" style="434" customWidth="1"/>
    <col min="8952" max="8956" width="9" style="434" customWidth="1"/>
    <col min="8957" max="8957" width="4.28515625" style="434" customWidth="1"/>
    <col min="8958" max="8961" width="9" style="434" customWidth="1"/>
    <col min="8962" max="8962" width="7.7109375" style="434" customWidth="1"/>
    <col min="8963" max="8964" width="2.28515625" style="434" customWidth="1"/>
    <col min="8965" max="9205" width="0" style="434" hidden="1"/>
    <col min="9206" max="9207" width="2.28515625" style="434" customWidth="1"/>
    <col min="9208" max="9212" width="9" style="434" customWidth="1"/>
    <col min="9213" max="9213" width="4.28515625" style="434" customWidth="1"/>
    <col min="9214" max="9217" width="9" style="434" customWidth="1"/>
    <col min="9218" max="9218" width="7.7109375" style="434" customWidth="1"/>
    <col min="9219" max="9220" width="2.28515625" style="434" customWidth="1"/>
    <col min="9221" max="9461" width="0" style="434" hidden="1"/>
    <col min="9462" max="9463" width="2.28515625" style="434" customWidth="1"/>
    <col min="9464" max="9468" width="9" style="434" customWidth="1"/>
    <col min="9469" max="9469" width="4.28515625" style="434" customWidth="1"/>
    <col min="9470" max="9473" width="9" style="434" customWidth="1"/>
    <col min="9474" max="9474" width="7.7109375" style="434" customWidth="1"/>
    <col min="9475" max="9476" width="2.28515625" style="434" customWidth="1"/>
    <col min="9477" max="9717" width="0" style="434" hidden="1"/>
    <col min="9718" max="9719" width="2.28515625" style="434" customWidth="1"/>
    <col min="9720" max="9724" width="9" style="434" customWidth="1"/>
    <col min="9725" max="9725" width="4.28515625" style="434" customWidth="1"/>
    <col min="9726" max="9729" width="9" style="434" customWidth="1"/>
    <col min="9730" max="9730" width="7.7109375" style="434" customWidth="1"/>
    <col min="9731" max="9732" width="2.28515625" style="434" customWidth="1"/>
    <col min="9733" max="9973" width="0" style="434" hidden="1"/>
    <col min="9974" max="9975" width="2.28515625" style="434" customWidth="1"/>
    <col min="9976" max="9980" width="9" style="434" customWidth="1"/>
    <col min="9981" max="9981" width="4.28515625" style="434" customWidth="1"/>
    <col min="9982" max="9985" width="9" style="434" customWidth="1"/>
    <col min="9986" max="9986" width="7.7109375" style="434" customWidth="1"/>
    <col min="9987" max="9988" width="2.28515625" style="434" customWidth="1"/>
    <col min="9989" max="10229" width="0" style="434" hidden="1"/>
    <col min="10230" max="10231" width="2.28515625" style="434" customWidth="1"/>
    <col min="10232" max="10236" width="9" style="434" customWidth="1"/>
    <col min="10237" max="10237" width="4.28515625" style="434" customWidth="1"/>
    <col min="10238" max="10241" width="9" style="434" customWidth="1"/>
    <col min="10242" max="10242" width="7.7109375" style="434" customWidth="1"/>
    <col min="10243" max="10244" width="2.28515625" style="434" customWidth="1"/>
    <col min="10245" max="10485" width="0" style="434" hidden="1"/>
    <col min="10486" max="10487" width="2.28515625" style="434" customWidth="1"/>
    <col min="10488" max="10492" width="9" style="434" customWidth="1"/>
    <col min="10493" max="10493" width="4.28515625" style="434" customWidth="1"/>
    <col min="10494" max="10497" width="9" style="434" customWidth="1"/>
    <col min="10498" max="10498" width="7.7109375" style="434" customWidth="1"/>
    <col min="10499" max="10500" width="2.28515625" style="434" customWidth="1"/>
    <col min="10501" max="10741" width="0" style="434" hidden="1"/>
    <col min="10742" max="10743" width="2.28515625" style="434" customWidth="1"/>
    <col min="10744" max="10748" width="9" style="434" customWidth="1"/>
    <col min="10749" max="10749" width="4.28515625" style="434" customWidth="1"/>
    <col min="10750" max="10753" width="9" style="434" customWidth="1"/>
    <col min="10754" max="10754" width="7.7109375" style="434" customWidth="1"/>
    <col min="10755" max="10756" width="2.28515625" style="434" customWidth="1"/>
    <col min="10757" max="10997" width="0" style="434" hidden="1"/>
    <col min="10998" max="10999" width="2.28515625" style="434" customWidth="1"/>
    <col min="11000" max="11004" width="9" style="434" customWidth="1"/>
    <col min="11005" max="11005" width="4.28515625" style="434" customWidth="1"/>
    <col min="11006" max="11009" width="9" style="434" customWidth="1"/>
    <col min="11010" max="11010" width="7.7109375" style="434" customWidth="1"/>
    <col min="11011" max="11012" width="2.28515625" style="434" customWidth="1"/>
    <col min="11013" max="11253" width="0" style="434" hidden="1"/>
    <col min="11254" max="11255" width="2.28515625" style="434" customWidth="1"/>
    <col min="11256" max="11260" width="9" style="434" customWidth="1"/>
    <col min="11261" max="11261" width="4.28515625" style="434" customWidth="1"/>
    <col min="11262" max="11265" width="9" style="434" customWidth="1"/>
    <col min="11266" max="11266" width="7.7109375" style="434" customWidth="1"/>
    <col min="11267" max="11268" width="2.28515625" style="434" customWidth="1"/>
    <col min="11269" max="11509" width="0" style="434" hidden="1"/>
    <col min="11510" max="11511" width="2.28515625" style="434" customWidth="1"/>
    <col min="11512" max="11516" width="9" style="434" customWidth="1"/>
    <col min="11517" max="11517" width="4.28515625" style="434" customWidth="1"/>
    <col min="11518" max="11521" width="9" style="434" customWidth="1"/>
    <col min="11522" max="11522" width="7.7109375" style="434" customWidth="1"/>
    <col min="11523" max="11524" width="2.28515625" style="434" customWidth="1"/>
    <col min="11525" max="11765" width="0" style="434" hidden="1"/>
    <col min="11766" max="11767" width="2.28515625" style="434" customWidth="1"/>
    <col min="11768" max="11772" width="9" style="434" customWidth="1"/>
    <col min="11773" max="11773" width="4.28515625" style="434" customWidth="1"/>
    <col min="11774" max="11777" width="9" style="434" customWidth="1"/>
    <col min="11778" max="11778" width="7.7109375" style="434" customWidth="1"/>
    <col min="11779" max="11780" width="2.28515625" style="434" customWidth="1"/>
    <col min="11781" max="12021" width="0" style="434" hidden="1"/>
    <col min="12022" max="12023" width="2.28515625" style="434" customWidth="1"/>
    <col min="12024" max="12028" width="9" style="434" customWidth="1"/>
    <col min="12029" max="12029" width="4.28515625" style="434" customWidth="1"/>
    <col min="12030" max="12033" width="9" style="434" customWidth="1"/>
    <col min="12034" max="12034" width="7.7109375" style="434" customWidth="1"/>
    <col min="12035" max="12036" width="2.28515625" style="434" customWidth="1"/>
    <col min="12037" max="12277" width="0" style="434" hidden="1"/>
    <col min="12278" max="12279" width="2.28515625" style="434" customWidth="1"/>
    <col min="12280" max="12284" width="9" style="434" customWidth="1"/>
    <col min="12285" max="12285" width="4.28515625" style="434" customWidth="1"/>
    <col min="12286" max="12289" width="9" style="434" customWidth="1"/>
    <col min="12290" max="12290" width="7.7109375" style="434" customWidth="1"/>
    <col min="12291" max="12292" width="2.28515625" style="434" customWidth="1"/>
    <col min="12293" max="12533" width="0" style="434" hidden="1"/>
    <col min="12534" max="12535" width="2.28515625" style="434" customWidth="1"/>
    <col min="12536" max="12540" width="9" style="434" customWidth="1"/>
    <col min="12541" max="12541" width="4.28515625" style="434" customWidth="1"/>
    <col min="12542" max="12545" width="9" style="434" customWidth="1"/>
    <col min="12546" max="12546" width="7.7109375" style="434" customWidth="1"/>
    <col min="12547" max="12548" width="2.28515625" style="434" customWidth="1"/>
    <col min="12549" max="12789" width="0" style="434" hidden="1"/>
    <col min="12790" max="12791" width="2.28515625" style="434" customWidth="1"/>
    <col min="12792" max="12796" width="9" style="434" customWidth="1"/>
    <col min="12797" max="12797" width="4.28515625" style="434" customWidth="1"/>
    <col min="12798" max="12801" width="9" style="434" customWidth="1"/>
    <col min="12802" max="12802" width="7.7109375" style="434" customWidth="1"/>
    <col min="12803" max="12804" width="2.28515625" style="434" customWidth="1"/>
    <col min="12805" max="13045" width="0" style="434" hidden="1"/>
    <col min="13046" max="13047" width="2.28515625" style="434" customWidth="1"/>
    <col min="13048" max="13052" width="9" style="434" customWidth="1"/>
    <col min="13053" max="13053" width="4.28515625" style="434" customWidth="1"/>
    <col min="13054" max="13057" width="9" style="434" customWidth="1"/>
    <col min="13058" max="13058" width="7.7109375" style="434" customWidth="1"/>
    <col min="13059" max="13060" width="2.28515625" style="434" customWidth="1"/>
    <col min="13061" max="13301" width="0" style="434" hidden="1"/>
    <col min="13302" max="13303" width="2.28515625" style="434" customWidth="1"/>
    <col min="13304" max="13308" width="9" style="434" customWidth="1"/>
    <col min="13309" max="13309" width="4.28515625" style="434" customWidth="1"/>
    <col min="13310" max="13313" width="9" style="434" customWidth="1"/>
    <col min="13314" max="13314" width="7.7109375" style="434" customWidth="1"/>
    <col min="13315" max="13316" width="2.28515625" style="434" customWidth="1"/>
    <col min="13317" max="13557" width="0" style="434" hidden="1"/>
    <col min="13558" max="13559" width="2.28515625" style="434" customWidth="1"/>
    <col min="13560" max="13564" width="9" style="434" customWidth="1"/>
    <col min="13565" max="13565" width="4.28515625" style="434" customWidth="1"/>
    <col min="13566" max="13569" width="9" style="434" customWidth="1"/>
    <col min="13570" max="13570" width="7.7109375" style="434" customWidth="1"/>
    <col min="13571" max="13572" width="2.28515625" style="434" customWidth="1"/>
    <col min="13573" max="13813" width="0" style="434" hidden="1"/>
    <col min="13814" max="13815" width="2.28515625" style="434" customWidth="1"/>
    <col min="13816" max="13820" width="9" style="434" customWidth="1"/>
    <col min="13821" max="13821" width="4.28515625" style="434" customWidth="1"/>
    <col min="13822" max="13825" width="9" style="434" customWidth="1"/>
    <col min="13826" max="13826" width="7.7109375" style="434" customWidth="1"/>
    <col min="13827" max="13828" width="2.28515625" style="434" customWidth="1"/>
    <col min="13829" max="14069" width="0" style="434" hidden="1"/>
    <col min="14070" max="14071" width="2.28515625" style="434" customWidth="1"/>
    <col min="14072" max="14076" width="9" style="434" customWidth="1"/>
    <col min="14077" max="14077" width="4.28515625" style="434" customWidth="1"/>
    <col min="14078" max="14081" width="9" style="434" customWidth="1"/>
    <col min="14082" max="14082" width="7.7109375" style="434" customWidth="1"/>
    <col min="14083" max="14084" width="2.28515625" style="434" customWidth="1"/>
    <col min="14085" max="14325" width="0" style="434" hidden="1"/>
    <col min="14326" max="14327" width="2.28515625" style="434" customWidth="1"/>
    <col min="14328" max="14332" width="9" style="434" customWidth="1"/>
    <col min="14333" max="14333" width="4.28515625" style="434" customWidth="1"/>
    <col min="14334" max="14337" width="9" style="434" customWidth="1"/>
    <col min="14338" max="14338" width="7.7109375" style="434" customWidth="1"/>
    <col min="14339" max="14340" width="2.28515625" style="434" customWidth="1"/>
    <col min="14341" max="14581" width="0" style="434" hidden="1"/>
    <col min="14582" max="14583" width="2.28515625" style="434" customWidth="1"/>
    <col min="14584" max="14588" width="9" style="434" customWidth="1"/>
    <col min="14589" max="14589" width="4.28515625" style="434" customWidth="1"/>
    <col min="14590" max="14593" width="9" style="434" customWidth="1"/>
    <col min="14594" max="14594" width="7.7109375" style="434" customWidth="1"/>
    <col min="14595" max="14596" width="2.28515625" style="434" customWidth="1"/>
    <col min="14597" max="14837" width="0" style="434" hidden="1"/>
    <col min="14838" max="14839" width="2.28515625" style="434" customWidth="1"/>
    <col min="14840" max="14844" width="9" style="434" customWidth="1"/>
    <col min="14845" max="14845" width="4.28515625" style="434" customWidth="1"/>
    <col min="14846" max="14849" width="9" style="434" customWidth="1"/>
    <col min="14850" max="14850" width="7.7109375" style="434" customWidth="1"/>
    <col min="14851" max="14852" width="2.28515625" style="434" customWidth="1"/>
    <col min="14853" max="15093" width="0" style="434" hidden="1"/>
    <col min="15094" max="15095" width="2.28515625" style="434" customWidth="1"/>
    <col min="15096" max="15100" width="9" style="434" customWidth="1"/>
    <col min="15101" max="15101" width="4.28515625" style="434" customWidth="1"/>
    <col min="15102" max="15105" width="9" style="434" customWidth="1"/>
    <col min="15106" max="15106" width="7.7109375" style="434" customWidth="1"/>
    <col min="15107" max="15108" width="2.28515625" style="434" customWidth="1"/>
    <col min="15109" max="15349" width="0" style="434" hidden="1"/>
    <col min="15350" max="15351" width="2.28515625" style="434" customWidth="1"/>
    <col min="15352" max="15356" width="9" style="434" customWidth="1"/>
    <col min="15357" max="15357" width="4.28515625" style="434" customWidth="1"/>
    <col min="15358" max="15361" width="9" style="434" customWidth="1"/>
    <col min="15362" max="15362" width="7.7109375" style="434" customWidth="1"/>
    <col min="15363" max="15364" width="2.28515625" style="434" customWidth="1"/>
    <col min="15365" max="15605" width="0" style="434" hidden="1"/>
    <col min="15606" max="15607" width="2.28515625" style="434" customWidth="1"/>
    <col min="15608" max="15612" width="9" style="434" customWidth="1"/>
    <col min="15613" max="15613" width="4.28515625" style="434" customWidth="1"/>
    <col min="15614" max="15617" width="9" style="434" customWidth="1"/>
    <col min="15618" max="15618" width="7.7109375" style="434" customWidth="1"/>
    <col min="15619" max="15620" width="2.28515625" style="434" customWidth="1"/>
    <col min="15621" max="15861" width="0" style="434" hidden="1"/>
    <col min="15862" max="15863" width="2.28515625" style="434" customWidth="1"/>
    <col min="15864" max="15868" width="9" style="434" customWidth="1"/>
    <col min="15869" max="15869" width="4.28515625" style="434" customWidth="1"/>
    <col min="15870" max="15873" width="9" style="434" customWidth="1"/>
    <col min="15874" max="15874" width="7.7109375" style="434" customWidth="1"/>
    <col min="15875" max="15876" width="2.28515625" style="434" customWidth="1"/>
    <col min="15877" max="16117" width="0" style="434" hidden="1"/>
    <col min="16118" max="16119" width="2.28515625" style="434" customWidth="1"/>
    <col min="16120" max="16124" width="9" style="434" customWidth="1"/>
    <col min="16125" max="16125" width="4.28515625" style="434" customWidth="1"/>
    <col min="16126" max="16129" width="9" style="434" customWidth="1"/>
    <col min="16130" max="16130" width="7.7109375" style="434" customWidth="1"/>
    <col min="16131" max="16132" width="2.28515625" style="434" customWidth="1"/>
    <col min="16133" max="16384" width="0" style="434" hidden="1"/>
  </cols>
  <sheetData>
    <row r="1" spans="1:12" s="475" customFormat="1" ht="15" customHeight="1">
      <c r="B1" s="433" t="s">
        <v>0</v>
      </c>
      <c r="F1" s="513"/>
      <c r="G1" s="474"/>
      <c r="H1" s="474"/>
      <c r="I1" s="474"/>
      <c r="J1" s="474"/>
      <c r="K1" s="474"/>
      <c r="L1" s="474"/>
    </row>
    <row r="2" spans="1:12" s="475" customFormat="1" ht="18" customHeight="1" thickBot="1">
      <c r="B2" s="476" t="s">
        <v>315</v>
      </c>
      <c r="C2" s="514"/>
      <c r="D2" s="515"/>
      <c r="E2" s="516" t="s">
        <v>256</v>
      </c>
      <c r="F2" s="517"/>
      <c r="G2" s="474"/>
      <c r="H2" s="474"/>
      <c r="I2" s="474"/>
      <c r="J2" s="474"/>
      <c r="K2" s="474"/>
      <c r="L2" s="474"/>
    </row>
    <row r="3" spans="1:12" s="475" customFormat="1" ht="24.6" customHeight="1">
      <c r="D3" s="518" t="s">
        <v>316</v>
      </c>
      <c r="E3" s="286" t="str">
        <f>TERMS_AND_CONDITIONS_OF_USE</f>
        <v>Terms and Conditions of Use</v>
      </c>
      <c r="F3" s="519"/>
      <c r="G3" s="474"/>
      <c r="H3" s="474"/>
      <c r="I3" s="474"/>
      <c r="J3" s="474"/>
      <c r="K3" s="474"/>
      <c r="L3" s="474"/>
    </row>
    <row r="4" spans="1:12" s="475" customFormat="1" ht="13.15" customHeight="1">
      <c r="B4" s="520"/>
      <c r="E4" s="513"/>
      <c r="F4" s="519"/>
      <c r="G4" s="474"/>
      <c r="H4" s="474"/>
      <c r="I4" s="474"/>
      <c r="J4" s="474"/>
      <c r="K4" s="474"/>
      <c r="L4" s="474"/>
    </row>
    <row r="5" spans="1:12" s="475" customFormat="1" ht="18" customHeight="1">
      <c r="B5" s="521" t="s">
        <v>317</v>
      </c>
      <c r="C5" s="176"/>
      <c r="D5" s="521" t="s">
        <v>318</v>
      </c>
      <c r="E5" s="176"/>
      <c r="F5" s="522"/>
      <c r="G5" s="474"/>
      <c r="H5" s="474"/>
      <c r="I5" s="474"/>
      <c r="J5" s="474"/>
      <c r="K5" s="474"/>
      <c r="L5" s="474"/>
    </row>
    <row r="6" spans="1:12" ht="18" customHeight="1">
      <c r="B6" s="523"/>
      <c r="C6" s="495"/>
      <c r="D6" s="524"/>
      <c r="E6" s="525"/>
      <c r="F6" s="489"/>
    </row>
    <row r="7" spans="1:12" ht="18" customHeight="1">
      <c r="A7" s="431"/>
      <c r="B7" s="521" t="s">
        <v>319</v>
      </c>
      <c r="C7" s="176"/>
      <c r="D7" s="521" t="s">
        <v>320</v>
      </c>
      <c r="E7" s="176"/>
      <c r="F7" s="489"/>
    </row>
    <row r="8" spans="1:12" ht="18" customHeight="1">
      <c r="A8" s="431"/>
      <c r="B8" s="524"/>
      <c r="C8" s="177"/>
      <c r="D8" s="495"/>
      <c r="E8" s="495"/>
      <c r="F8" s="489"/>
    </row>
    <row r="9" spans="1:12" ht="18" customHeight="1">
      <c r="A9" s="431"/>
      <c r="B9" s="524"/>
      <c r="C9" s="525"/>
      <c r="D9" s="524"/>
      <c r="E9" s="526"/>
      <c r="F9" s="489"/>
    </row>
    <row r="10" spans="1:12" ht="18" customHeight="1">
      <c r="A10" s="431"/>
      <c r="B10" s="521" t="s">
        <v>321</v>
      </c>
      <c r="C10" s="96"/>
      <c r="D10" s="521" t="s">
        <v>322</v>
      </c>
      <c r="E10" s="179">
        <v>0</v>
      </c>
      <c r="F10" s="489"/>
    </row>
    <row r="11" spans="1:12" ht="18" customHeight="1">
      <c r="A11" s="431"/>
      <c r="B11" s="524"/>
      <c r="C11" s="525"/>
      <c r="D11" s="524"/>
      <c r="E11" s="526"/>
      <c r="F11" s="489"/>
    </row>
    <row r="12" spans="1:12" ht="18" customHeight="1">
      <c r="A12" s="431"/>
      <c r="B12" s="521" t="s">
        <v>323</v>
      </c>
      <c r="C12" s="176"/>
      <c r="D12" s="521" t="s">
        <v>324</v>
      </c>
      <c r="E12" s="176"/>
      <c r="F12" s="489"/>
    </row>
    <row r="13" spans="1:12" ht="18" customHeight="1">
      <c r="A13" s="431"/>
      <c r="B13" s="524"/>
      <c r="C13" s="525"/>
      <c r="D13" s="524"/>
      <c r="E13" s="525"/>
      <c r="F13" s="489"/>
    </row>
    <row r="14" spans="1:12" ht="18" customHeight="1">
      <c r="A14" s="431"/>
      <c r="B14" s="521" t="s">
        <v>325</v>
      </c>
      <c r="C14" s="176"/>
      <c r="D14" s="521" t="s">
        <v>326</v>
      </c>
      <c r="E14" s="176"/>
      <c r="F14" s="489"/>
    </row>
    <row r="15" spans="1:12" ht="18" customHeight="1">
      <c r="A15" s="431"/>
      <c r="B15" s="521"/>
      <c r="C15" s="176"/>
      <c r="D15" s="521"/>
      <c r="E15" s="527"/>
      <c r="F15" s="489"/>
    </row>
    <row r="16" spans="1:12" ht="18" customHeight="1">
      <c r="A16" s="431"/>
      <c r="B16" s="521"/>
      <c r="C16" s="178"/>
      <c r="D16" s="521" t="s">
        <v>327</v>
      </c>
      <c r="E16" s="176"/>
      <c r="F16" s="489"/>
    </row>
    <row r="17" spans="1:6" ht="18" customHeight="1">
      <c r="A17" s="431"/>
      <c r="B17" s="496"/>
      <c r="C17" s="496"/>
      <c r="D17" s="496"/>
      <c r="E17" s="528"/>
      <c r="F17" s="443"/>
    </row>
    <row r="18" spans="1:6" ht="18" customHeight="1">
      <c r="A18" s="431"/>
      <c r="B18" s="529" t="s">
        <v>328</v>
      </c>
      <c r="C18" s="95"/>
      <c r="D18" s="529" t="s">
        <v>329</v>
      </c>
      <c r="E18" s="95"/>
      <c r="F18" s="489"/>
    </row>
    <row r="19" spans="1:6" ht="18" customHeight="1">
      <c r="A19" s="431"/>
      <c r="B19" s="529" t="s">
        <v>330</v>
      </c>
      <c r="C19" s="95"/>
      <c r="D19" s="529" t="s">
        <v>330</v>
      </c>
      <c r="E19" s="95"/>
      <c r="F19" s="489"/>
    </row>
    <row r="20" spans="1:6" ht="18" customHeight="1">
      <c r="A20" s="431"/>
      <c r="B20" s="529" t="s">
        <v>331</v>
      </c>
      <c r="C20" s="96"/>
      <c r="D20" s="529" t="s">
        <v>331</v>
      </c>
      <c r="E20" s="96"/>
      <c r="F20" s="489"/>
    </row>
    <row r="21" spans="1:6" ht="18" customHeight="1">
      <c r="A21" s="431"/>
      <c r="B21" s="530"/>
      <c r="C21" s="531"/>
      <c r="D21" s="530"/>
      <c r="E21" s="531"/>
      <c r="F21" s="532"/>
    </row>
    <row r="22" spans="1:6" ht="18" customHeight="1">
      <c r="A22" s="431"/>
      <c r="B22" s="524"/>
      <c r="C22" s="533" t="str">
        <f>IF(C23="","Select from dropdown (must not be left blank)","")</f>
        <v>Select from dropdown (must not be left blank)</v>
      </c>
      <c r="D22" s="524"/>
      <c r="E22" s="526"/>
      <c r="F22" s="489"/>
    </row>
    <row r="23" spans="1:6" ht="48">
      <c r="A23" s="431"/>
      <c r="B23" s="521" t="s">
        <v>332</v>
      </c>
      <c r="C23" s="126"/>
      <c r="D23" s="529" t="s">
        <v>333</v>
      </c>
      <c r="E23" s="177"/>
      <c r="F23" s="443"/>
    </row>
    <row r="24" spans="1:6" ht="45" customHeight="1">
      <c r="A24" s="431"/>
      <c r="B24" s="495"/>
      <c r="C24" s="340" t="s">
        <v>334</v>
      </c>
      <c r="D24" s="495"/>
      <c r="E24" s="534" t="s">
        <v>335</v>
      </c>
      <c r="F24" s="443"/>
    </row>
    <row r="25" spans="1:6" ht="18" customHeight="1" thickBot="1">
      <c r="A25" s="431"/>
      <c r="B25" s="535" t="s">
        <v>336</v>
      </c>
      <c r="C25" s="536"/>
      <c r="D25" s="536"/>
      <c r="E25" s="535"/>
      <c r="F25" s="537"/>
    </row>
    <row r="26" spans="1:6" ht="18" customHeight="1">
      <c r="A26" s="431"/>
      <c r="B26" s="431"/>
      <c r="C26" s="431"/>
      <c r="D26" s="431"/>
      <c r="E26" s="538"/>
      <c r="F26" s="443"/>
    </row>
    <row r="27" spans="1:6" ht="18" customHeight="1">
      <c r="A27" s="431"/>
      <c r="B27" s="529" t="s">
        <v>337</v>
      </c>
      <c r="C27" s="95"/>
      <c r="D27" s="521" t="s">
        <v>338</v>
      </c>
      <c r="E27" s="95"/>
      <c r="F27" s="489"/>
    </row>
    <row r="28" spans="1:6" ht="18" customHeight="1">
      <c r="A28" s="431"/>
      <c r="B28" s="529" t="s">
        <v>330</v>
      </c>
      <c r="C28" s="95"/>
      <c r="D28" s="529" t="s">
        <v>330</v>
      </c>
      <c r="E28" s="95"/>
      <c r="F28" s="489"/>
    </row>
    <row r="29" spans="1:6" ht="18" customHeight="1">
      <c r="A29" s="431"/>
      <c r="B29" s="529" t="s">
        <v>331</v>
      </c>
      <c r="C29" s="96"/>
      <c r="D29" s="529" t="s">
        <v>331</v>
      </c>
      <c r="E29" s="96"/>
      <c r="F29" s="489"/>
    </row>
    <row r="30" spans="1:6" ht="18" customHeight="1">
      <c r="A30" s="431"/>
      <c r="B30" s="471"/>
      <c r="C30" s="471"/>
      <c r="D30" s="471"/>
      <c r="E30" s="539"/>
      <c r="F30" s="472"/>
    </row>
    <row r="31" spans="1:6"/>
    <row r="32" spans="1: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sheetData>
  <sheetProtection algorithmName="SHA-512" hashValue="v3DcTdts9TQv6U5PDjgC/WFYhovgV4IxjQ3awgEOD52b4ISHWKmt76DQT7APopunk5rBEstLULoYx5WVZrnl8w==" saltValue="KkPI3WGst8OsEoKecwaGQQ==" spinCount="100000" sheet="1" objects="1" scenarios="1" autoFilter="0"/>
  <conditionalFormatting sqref="C23">
    <cfRule type="cellIs" dxfId="491" priority="1" operator="equal">
      <formula>""</formula>
    </cfRule>
  </conditionalFormatting>
  <hyperlinks>
    <hyperlink ref="E2" location="CONTENTS!A1" display="Contents" xr:uid="{00000000-0004-0000-0100-000000000000}"/>
    <hyperlink ref="E3" location="TERMS_AND_CONDITIONS_OF_USE" display="TERMS AND CONDITIONS OF USE" xr:uid="{D302EB03-5C7E-47CC-B7DE-09946C368F38}"/>
    <hyperlink ref="C24" location="_13._INVESTIGATION_CONTAMINATION_SCRAP_LEVY" display="Waste Levy Summary" xr:uid="{98F2ED80-C7B7-4250-9BAB-CCD7D648F838}"/>
  </hyperlinks>
  <pageMargins left="0.74803149606299213" right="0.74803149606299213" top="0.98425196850393704" bottom="0.98425196850393704" header="0.51181102362204722" footer="0.51181102362204722"/>
  <pageSetup paperSize="9" orientation="landscape"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3D7EB3D-9FA1-4ABA-A0D3-5B8BF80715CC}">
          <x14:formula1>
            <xm:f>Lists!$B$5:$B$9</xm:f>
          </x14:formula1>
          <xm:sqref>C23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39481-2356-4825-8B70-2422BA9126AF}">
  <sheetPr codeName="Sheet59"/>
  <dimension ref="B1:M208"/>
  <sheetViews>
    <sheetView showGridLines="0" zoomScaleNormal="100" workbookViewId="0">
      <pane ySplit="2" topLeftCell="A3" activePane="bottomLeft" state="frozen"/>
      <selection pane="bottomLeft"/>
    </sheetView>
  </sheetViews>
  <sheetFormatPr defaultColWidth="9.28515625" defaultRowHeight="12.75"/>
  <cols>
    <col min="1" max="1" width="3.42578125" style="434" customWidth="1"/>
    <col min="2" max="2" width="58.7109375" style="434" customWidth="1"/>
    <col min="3" max="8" width="18.28515625" style="434" customWidth="1"/>
    <col min="9" max="18" width="12.7109375" style="434" customWidth="1"/>
    <col min="19" max="16384" width="9.28515625" style="434"/>
  </cols>
  <sheetData>
    <row r="1" spans="2:13" ht="15" customHeight="1">
      <c r="B1" s="433" t="s">
        <v>0</v>
      </c>
    </row>
    <row r="2" spans="2:13" ht="18" customHeight="1">
      <c r="B2" s="540" t="s">
        <v>339</v>
      </c>
      <c r="C2" s="541" t="s">
        <v>256</v>
      </c>
    </row>
    <row r="3" spans="2:13" ht="76.5" customHeight="1"/>
    <row r="4" spans="2:13" ht="12.75" customHeight="1"/>
    <row r="5" spans="2:13">
      <c r="B5" s="542">
        <v>1</v>
      </c>
      <c r="C5" s="542">
        <v>2</v>
      </c>
      <c r="D5" s="542">
        <v>3</v>
      </c>
      <c r="E5" s="542">
        <v>4</v>
      </c>
      <c r="F5" s="542">
        <v>5</v>
      </c>
      <c r="G5" s="542">
        <v>6</v>
      </c>
      <c r="H5" s="542">
        <v>7</v>
      </c>
      <c r="I5" s="542">
        <v>8</v>
      </c>
      <c r="J5" s="542">
        <v>9</v>
      </c>
      <c r="K5" s="542">
        <v>10</v>
      </c>
      <c r="L5" s="542">
        <v>11</v>
      </c>
      <c r="M5" s="542">
        <v>12</v>
      </c>
    </row>
    <row r="7" spans="2:13">
      <c r="B7" s="543" t="s">
        <v>340</v>
      </c>
    </row>
    <row r="8" spans="2:13" ht="51" customHeight="1">
      <c r="B8" s="544" t="s">
        <v>341</v>
      </c>
      <c r="C8" s="545" t="s">
        <v>342</v>
      </c>
      <c r="D8" s="545" t="s">
        <v>343</v>
      </c>
      <c r="E8" s="545" t="s">
        <v>344</v>
      </c>
      <c r="F8" s="545" t="s">
        <v>345</v>
      </c>
      <c r="G8" s="545" t="s">
        <v>345</v>
      </c>
      <c r="H8" s="545" t="s">
        <v>346</v>
      </c>
    </row>
    <row r="9" spans="2:13">
      <c r="B9" s="546" t="s">
        <v>347</v>
      </c>
      <c r="C9" s="547" t="s">
        <v>348</v>
      </c>
      <c r="D9" s="547" t="s">
        <v>185</v>
      </c>
      <c r="E9" s="547" t="s">
        <v>349</v>
      </c>
      <c r="F9" s="547" t="s">
        <v>42</v>
      </c>
      <c r="G9" s="547" t="s">
        <v>43</v>
      </c>
      <c r="H9" s="547" t="s">
        <v>350</v>
      </c>
    </row>
    <row r="10" spans="2:13" ht="16.149999999999999" customHeight="1">
      <c r="B10" s="548" t="s">
        <v>351</v>
      </c>
      <c r="C10" s="38">
        <v>3.0953055046989575</v>
      </c>
      <c r="D10" s="38">
        <v>3.0028820562850829</v>
      </c>
      <c r="E10" s="38">
        <v>3.9374755912728556</v>
      </c>
      <c r="F10" s="38">
        <v>2.9924249772466083</v>
      </c>
      <c r="G10" s="38">
        <v>2.1361679735185941</v>
      </c>
      <c r="H10" s="38">
        <v>1.2245882668697661</v>
      </c>
    </row>
    <row r="11" spans="2:13" ht="16.149999999999999" customHeight="1">
      <c r="B11" s="548" t="s">
        <v>352</v>
      </c>
      <c r="C11" s="38">
        <v>3.1249071043050654</v>
      </c>
      <c r="D11" s="38">
        <v>3.3496879411679226</v>
      </c>
      <c r="E11" s="38">
        <v>4.2842814761556953</v>
      </c>
      <c r="F11" s="38">
        <v>2.9924249772466083</v>
      </c>
      <c r="G11" s="38">
        <v>2.1361679735185941</v>
      </c>
      <c r="H11" s="38">
        <v>1.2402632173196657</v>
      </c>
    </row>
    <row r="12" spans="2:13" ht="16.149999999999999" customHeight="1">
      <c r="B12" s="548" t="s">
        <v>353</v>
      </c>
      <c r="C12" s="38">
        <v>3.6040593856905492</v>
      </c>
      <c r="D12" s="38">
        <v>3.8730704616176004</v>
      </c>
      <c r="E12" s="38">
        <v>4.8076639966053722</v>
      </c>
      <c r="F12" s="38">
        <v>3.3532715896100336</v>
      </c>
      <c r="G12" s="38">
        <v>2.1943588839747408</v>
      </c>
      <c r="H12" s="38">
        <v>1.3357158540940361</v>
      </c>
    </row>
    <row r="13" spans="2:13" ht="16.149999999999999" customHeight="1">
      <c r="B13" s="548" t="s">
        <v>184</v>
      </c>
      <c r="C13" s="38">
        <v>4.083211667076033</v>
      </c>
      <c r="D13" s="38">
        <v>4.0496470971844385</v>
      </c>
      <c r="E13" s="38">
        <v>4.9842406321722104</v>
      </c>
      <c r="F13" s="38">
        <v>3.7141182019734589</v>
      </c>
      <c r="G13" s="38">
        <v>2.4407903577264305</v>
      </c>
      <c r="H13" s="38">
        <v>1.4666095668225567</v>
      </c>
    </row>
    <row r="14" spans="2:13" ht="16.149999999999999" customHeight="1">
      <c r="B14" s="548" t="s">
        <v>123</v>
      </c>
      <c r="C14" s="38">
        <v>4.1128132666821413</v>
      </c>
      <c r="D14" s="38">
        <v>4.1959334917652953</v>
      </c>
      <c r="E14" s="38">
        <v>5.1305270267530672</v>
      </c>
      <c r="F14" s="38">
        <v>4.06999094171446</v>
      </c>
      <c r="G14" s="38">
        <v>2.6929219821810628</v>
      </c>
      <c r="H14" s="38">
        <v>1.5831524799989618</v>
      </c>
    </row>
    <row r="15" spans="2:13" ht="16.149999999999999" customHeight="1">
      <c r="B15" s="548" t="s">
        <v>124</v>
      </c>
      <c r="C15" s="38">
        <v>4.459619151564981</v>
      </c>
      <c r="D15" s="38">
        <v>4.8370337692595307</v>
      </c>
      <c r="E15" s="38">
        <v>5.7716273042473034</v>
      </c>
      <c r="F15" s="38">
        <v>4.5132363002130571</v>
      </c>
      <c r="G15" s="38">
        <v>2.7899068329413073</v>
      </c>
      <c r="H15" s="38">
        <v>1.7056653235731469</v>
      </c>
    </row>
    <row r="16" spans="2:13" ht="16.149999999999999" customHeight="1">
      <c r="B16" s="548" t="s">
        <v>125</v>
      </c>
      <c r="C16" s="38">
        <v>4.8064250364478198</v>
      </c>
      <c r="D16" s="38">
        <v>5.3318476521729101</v>
      </c>
      <c r="E16" s="38">
        <v>6.2664411871606829</v>
      </c>
      <c r="F16" s="38">
        <v>4.8378574121313207</v>
      </c>
      <c r="G16" s="38">
        <v>3.0112411858380059</v>
      </c>
      <c r="H16" s="38">
        <v>1.8097761317246754</v>
      </c>
    </row>
    <row r="17" spans="2:11" ht="16.149999999999999" customHeight="1">
      <c r="B17" s="548" t="s">
        <v>354</v>
      </c>
      <c r="C17" s="38">
        <v>5.1532309213306595</v>
      </c>
      <c r="D17" s="38">
        <v>5.6786535370557498</v>
      </c>
      <c r="E17" s="38">
        <v>6.6132470720435226</v>
      </c>
      <c r="F17" s="38">
        <v>5.0751059052919878</v>
      </c>
      <c r="G17" s="38">
        <v>3.1994817491335494</v>
      </c>
      <c r="H17" s="38">
        <v>1.9508506857737717</v>
      </c>
    </row>
    <row r="18" spans="2:11" ht="16.149999999999999" customHeight="1">
      <c r="B18" s="548" t="s">
        <v>355</v>
      </c>
      <c r="C18" s="38">
        <v>5.846842691096338</v>
      </c>
      <c r="D18" s="38">
        <v>6.3722653068214292</v>
      </c>
      <c r="E18" s="38">
        <v>7.306858841809202</v>
      </c>
      <c r="F18" s="38">
        <v>5.3123543984526549</v>
      </c>
      <c r="G18" s="38">
        <v>3.3877223124290925</v>
      </c>
      <c r="H18" s="38">
        <v>2.1747079106834439</v>
      </c>
    </row>
    <row r="19" spans="2:11" ht="16.149999999999999" customHeight="1">
      <c r="B19" s="548" t="s">
        <v>356</v>
      </c>
      <c r="C19" s="38">
        <v>6.5404544608620174</v>
      </c>
      <c r="D19" s="38">
        <v>7.0658770765871086</v>
      </c>
      <c r="E19" s="38">
        <v>8.0004706115748796</v>
      </c>
      <c r="F19" s="38">
        <v>5.7868513847739891</v>
      </c>
      <c r="G19" s="38">
        <v>3.7642034390201786</v>
      </c>
      <c r="H19" s="38">
        <v>2.3919442542461478</v>
      </c>
    </row>
    <row r="20" spans="2:11" ht="16.149999999999999" customHeight="1">
      <c r="B20" s="548" t="s">
        <v>357</v>
      </c>
      <c r="C20" s="38">
        <v>6.8872603457448571</v>
      </c>
      <c r="D20" s="38">
        <v>7.4126829614699474</v>
      </c>
      <c r="E20" s="38">
        <v>8.3472764964577202</v>
      </c>
      <c r="F20" s="38">
        <v>6.0240998779346571</v>
      </c>
      <c r="G20" s="38">
        <v>3.9524440023157217</v>
      </c>
      <c r="H20" s="38">
        <v>2.4793730755985766</v>
      </c>
    </row>
    <row r="21" spans="2:11" ht="22.5">
      <c r="B21" s="549" t="s">
        <v>358</v>
      </c>
      <c r="C21" s="549" t="s">
        <v>359</v>
      </c>
      <c r="D21" s="549" t="s">
        <v>360</v>
      </c>
      <c r="F21" s="549" t="s">
        <v>361</v>
      </c>
      <c r="H21" s="549" t="s">
        <v>362</v>
      </c>
    </row>
    <row r="22" spans="2:11">
      <c r="B22" s="550" t="s">
        <v>348</v>
      </c>
      <c r="C22" s="550" t="s">
        <v>348</v>
      </c>
      <c r="D22" s="550" t="s">
        <v>185</v>
      </c>
      <c r="F22" s="550" t="s">
        <v>348</v>
      </c>
      <c r="G22" s="551"/>
      <c r="H22" s="551"/>
      <c r="I22" s="551"/>
      <c r="J22" s="551"/>
      <c r="K22" s="551"/>
    </row>
    <row r="23" spans="2:11">
      <c r="B23" s="550" t="s">
        <v>185</v>
      </c>
      <c r="C23" s="550" t="s">
        <v>42</v>
      </c>
      <c r="D23" s="550" t="s">
        <v>42</v>
      </c>
      <c r="F23" s="550" t="s">
        <v>42</v>
      </c>
    </row>
    <row r="24" spans="2:11">
      <c r="B24" s="550" t="s">
        <v>349</v>
      </c>
      <c r="C24" s="550" t="s">
        <v>43</v>
      </c>
      <c r="D24" s="550" t="s">
        <v>43</v>
      </c>
      <c r="F24" s="550" t="s">
        <v>43</v>
      </c>
    </row>
    <row r="25" spans="2:11">
      <c r="B25" s="550" t="s">
        <v>42</v>
      </c>
      <c r="C25" s="550" t="s">
        <v>350</v>
      </c>
    </row>
    <row r="26" spans="2:11">
      <c r="B26" s="550" t="s">
        <v>43</v>
      </c>
    </row>
    <row r="27" spans="2:11">
      <c r="B27" s="550"/>
    </row>
    <row r="28" spans="2:11">
      <c r="B28" s="552" t="s">
        <v>363</v>
      </c>
      <c r="D28" s="552"/>
    </row>
    <row r="29" spans="2:11" ht="16.149999999999999" customHeight="1">
      <c r="D29" s="148"/>
      <c r="E29" s="148"/>
      <c r="F29" s="148"/>
      <c r="G29" s="148"/>
      <c r="H29" s="148"/>
    </row>
    <row r="30" spans="2:11">
      <c r="B30" s="553" t="s">
        <v>364</v>
      </c>
      <c r="C30" s="554" t="s">
        <v>365</v>
      </c>
      <c r="D30" s="554">
        <v>10</v>
      </c>
      <c r="E30" s="554" t="s">
        <v>366</v>
      </c>
      <c r="F30" s="554" t="s">
        <v>367</v>
      </c>
      <c r="G30" s="554" t="s">
        <v>368</v>
      </c>
      <c r="H30" s="554" t="s">
        <v>369</v>
      </c>
    </row>
    <row r="31" spans="2:11">
      <c r="B31" s="555" t="s">
        <v>370</v>
      </c>
      <c r="C31" s="547" t="s">
        <v>348</v>
      </c>
      <c r="D31" s="547" t="s">
        <v>185</v>
      </c>
      <c r="E31" s="547" t="s">
        <v>349</v>
      </c>
      <c r="F31" s="547" t="s">
        <v>42</v>
      </c>
      <c r="G31" s="547" t="s">
        <v>43</v>
      </c>
      <c r="H31" s="547" t="s">
        <v>350</v>
      </c>
    </row>
    <row r="32" spans="2:11" ht="16.149999999999999" customHeight="1">
      <c r="B32" s="548" t="s">
        <v>371</v>
      </c>
      <c r="C32" s="92" t="s">
        <v>372</v>
      </c>
      <c r="D32" s="92" t="s">
        <v>373</v>
      </c>
      <c r="E32" s="92" t="s">
        <v>372</v>
      </c>
      <c r="F32" s="92" t="s">
        <v>374</v>
      </c>
      <c r="G32" s="92" t="s">
        <v>375</v>
      </c>
      <c r="H32" s="92" t="s">
        <v>10</v>
      </c>
    </row>
    <row r="33" spans="2:8" ht="16.149999999999999" customHeight="1">
      <c r="B33" s="548" t="s">
        <v>376</v>
      </c>
      <c r="C33" s="92" t="s">
        <v>142</v>
      </c>
      <c r="D33" s="92" t="s">
        <v>377</v>
      </c>
      <c r="E33" s="92" t="s">
        <v>142</v>
      </c>
      <c r="F33" s="92" t="s">
        <v>378</v>
      </c>
      <c r="G33" s="92" t="s">
        <v>379</v>
      </c>
      <c r="H33" s="92" t="s">
        <v>380</v>
      </c>
    </row>
    <row r="34" spans="2:8" ht="16.149999999999999" customHeight="1">
      <c r="B34" s="548" t="s">
        <v>18</v>
      </c>
      <c r="C34" s="92" t="s">
        <v>381</v>
      </c>
      <c r="D34" s="92" t="s">
        <v>142</v>
      </c>
      <c r="E34" s="92" t="s">
        <v>381</v>
      </c>
      <c r="F34" s="92" t="s">
        <v>142</v>
      </c>
      <c r="G34" s="92" t="s">
        <v>142</v>
      </c>
      <c r="H34" s="92" t="s">
        <v>142</v>
      </c>
    </row>
    <row r="35" spans="2:8" ht="16.149999999999999" customHeight="1">
      <c r="B35" s="548" t="s">
        <v>16</v>
      </c>
      <c r="C35" s="92" t="s">
        <v>382</v>
      </c>
      <c r="D35" s="92" t="s">
        <v>382</v>
      </c>
      <c r="E35" s="92" t="s">
        <v>382</v>
      </c>
      <c r="F35" s="92" t="s">
        <v>383</v>
      </c>
      <c r="G35" s="92" t="s">
        <v>383</v>
      </c>
      <c r="H35" s="92" t="s">
        <v>384</v>
      </c>
    </row>
    <row r="36" spans="2:8" ht="16.149999999999999" customHeight="1">
      <c r="B36" s="548" t="s">
        <v>17</v>
      </c>
      <c r="C36" s="92" t="s">
        <v>142</v>
      </c>
      <c r="D36" s="92" t="s">
        <v>385</v>
      </c>
      <c r="E36" s="92" t="s">
        <v>385</v>
      </c>
      <c r="F36" s="92" t="s">
        <v>386</v>
      </c>
      <c r="G36" s="92" t="s">
        <v>387</v>
      </c>
      <c r="H36" s="92" t="s">
        <v>388</v>
      </c>
    </row>
    <row r="37" spans="2:8" ht="16.149999999999999" customHeight="1">
      <c r="B37" s="548" t="s">
        <v>19</v>
      </c>
      <c r="C37" s="92" t="s">
        <v>389</v>
      </c>
      <c r="D37" s="92" t="s">
        <v>389</v>
      </c>
      <c r="E37" s="92" t="s">
        <v>389</v>
      </c>
      <c r="F37" s="92" t="s">
        <v>374</v>
      </c>
      <c r="G37" s="92" t="s">
        <v>390</v>
      </c>
      <c r="H37" s="92" t="s">
        <v>390</v>
      </c>
    </row>
    <row r="38" spans="2:8" ht="16.149999999999999" customHeight="1">
      <c r="D38" s="148"/>
      <c r="E38" s="148"/>
      <c r="F38" s="148"/>
      <c r="G38" s="148"/>
      <c r="H38" s="148"/>
    </row>
    <row r="39" spans="2:8" ht="16.149999999999999" customHeight="1">
      <c r="B39" s="556" t="s">
        <v>391</v>
      </c>
    </row>
    <row r="40" spans="2:8" ht="16.149999999999999" customHeight="1">
      <c r="B40" s="434" t="s">
        <v>392</v>
      </c>
    </row>
    <row r="41" spans="2:8" ht="16.149999999999999" customHeight="1">
      <c r="B41" s="434" t="s">
        <v>393</v>
      </c>
    </row>
    <row r="42" spans="2:8" ht="16.149999999999999" customHeight="1">
      <c r="B42" s="434" t="s">
        <v>394</v>
      </c>
    </row>
    <row r="43" spans="2:8" ht="16.149999999999999" customHeight="1">
      <c r="B43" s="434" t="s">
        <v>395</v>
      </c>
    </row>
    <row r="44" spans="2:8" ht="16.149999999999999" customHeight="1">
      <c r="B44" s="434" t="s">
        <v>396</v>
      </c>
    </row>
    <row r="45" spans="2:8" ht="16.149999999999999" customHeight="1">
      <c r="B45" s="434" t="s">
        <v>397</v>
      </c>
    </row>
    <row r="46" spans="2:8" ht="16.149999999999999" customHeight="1">
      <c r="B46" s="434" t="s">
        <v>398</v>
      </c>
    </row>
    <row r="47" spans="2:8" ht="16.149999999999999" customHeight="1">
      <c r="B47" s="434" t="s">
        <v>399</v>
      </c>
    </row>
    <row r="48" spans="2:8" ht="16.149999999999999" customHeight="1">
      <c r="B48" s="434" t="s">
        <v>400</v>
      </c>
    </row>
    <row r="49" spans="2:8" ht="16.149999999999999" customHeight="1">
      <c r="B49" s="434" t="s">
        <v>401</v>
      </c>
    </row>
    <row r="50" spans="2:8" ht="16.149999999999999" customHeight="1">
      <c r="B50" s="434" t="s">
        <v>402</v>
      </c>
    </row>
    <row r="51" spans="2:8">
      <c r="B51" s="552" t="s">
        <v>363</v>
      </c>
      <c r="D51" s="552"/>
    </row>
    <row r="52" spans="2:8" ht="16.149999999999999" customHeight="1"/>
    <row r="53" spans="2:8">
      <c r="B53" s="543" t="s">
        <v>403</v>
      </c>
    </row>
    <row r="54" spans="2:8" ht="16.149999999999999" customHeight="1">
      <c r="B54" s="458" t="s">
        <v>404</v>
      </c>
    </row>
    <row r="55" spans="2:8" ht="26.65" customHeight="1">
      <c r="B55" s="553" t="s">
        <v>405</v>
      </c>
      <c r="C55" s="547" t="s">
        <v>3</v>
      </c>
      <c r="D55" s="547" t="s">
        <v>4</v>
      </c>
      <c r="E55" s="547" t="s">
        <v>5</v>
      </c>
      <c r="F55" s="547" t="s">
        <v>6</v>
      </c>
      <c r="G55" s="547" t="s">
        <v>7</v>
      </c>
      <c r="H55" s="547" t="s">
        <v>8</v>
      </c>
    </row>
    <row r="56" spans="2:8" s="495" customFormat="1" ht="16.149999999999999" customHeight="1">
      <c r="B56" s="548" t="s">
        <v>406</v>
      </c>
      <c r="C56" s="38">
        <v>0.46877340590978289</v>
      </c>
      <c r="D56" s="38">
        <v>0.38224657423257252</v>
      </c>
      <c r="E56" s="38">
        <v>0.32505803677675804</v>
      </c>
      <c r="F56" s="38">
        <v>0.2724455328408466</v>
      </c>
      <c r="G56" s="38">
        <v>0.25891031258482206</v>
      </c>
      <c r="H56" s="38">
        <v>0.1953642292578</v>
      </c>
    </row>
    <row r="57" spans="2:8" s="495" customFormat="1" ht="16.149999999999999" customHeight="1">
      <c r="B57" s="548" t="s">
        <v>407</v>
      </c>
      <c r="C57" s="38">
        <v>0.48789338193545134</v>
      </c>
      <c r="D57" s="38">
        <v>0.39917463680572929</v>
      </c>
      <c r="E57" s="38">
        <v>0.36651249699628813</v>
      </c>
      <c r="F57" s="38">
        <v>0.30230556324020341</v>
      </c>
      <c r="G57" s="38">
        <v>0.29192899244858056</v>
      </c>
      <c r="H57" s="38">
        <v>0.22528286550985166</v>
      </c>
    </row>
    <row r="58" spans="2:8" s="495" customFormat="1" ht="16.149999999999999" customHeight="1">
      <c r="B58" s="548" t="s">
        <v>408</v>
      </c>
      <c r="C58" s="38">
        <v>0.76837776177447292</v>
      </c>
      <c r="D58" s="38">
        <v>0.52659016154992022</v>
      </c>
      <c r="E58" s="38">
        <v>0.50337903879702839</v>
      </c>
      <c r="F58" s="38">
        <v>0.4093377368562503</v>
      </c>
      <c r="G58" s="38">
        <v>0.40094386090534784</v>
      </c>
      <c r="H58" s="38">
        <v>0.32296498013875163</v>
      </c>
    </row>
    <row r="59" spans="2:8" s="495" customFormat="1" ht="16.149999999999999" customHeight="1">
      <c r="B59" s="548" t="s">
        <v>409</v>
      </c>
      <c r="C59" s="38">
        <v>1.1854008650371486</v>
      </c>
      <c r="D59" s="38">
        <v>0.74325722767444657</v>
      </c>
      <c r="E59" s="38">
        <v>0.71690129549871684</v>
      </c>
      <c r="F59" s="38">
        <v>0.57150256996520099</v>
      </c>
      <c r="G59" s="38">
        <v>0.55783076273926735</v>
      </c>
      <c r="H59" s="38">
        <v>0.45584986826820001</v>
      </c>
    </row>
    <row r="60" spans="2:8" s="495" customFormat="1" ht="16.149999999999999" customHeight="1">
      <c r="B60" s="548" t="s">
        <v>410</v>
      </c>
      <c r="C60" s="38">
        <v>1.6316224701252069</v>
      </c>
      <c r="D60" s="38">
        <v>1.0617960395349237</v>
      </c>
      <c r="E60" s="38">
        <v>1.1070227830178723</v>
      </c>
      <c r="F60" s="38">
        <v>0.83277639444881701</v>
      </c>
      <c r="G60" s="38">
        <v>0.80265998814842376</v>
      </c>
      <c r="H60" s="38">
        <v>0.65121409752600001</v>
      </c>
    </row>
    <row r="61" spans="2:8" s="495" customFormat="1" ht="16.149999999999999" customHeight="1">
      <c r="B61" s="548" t="s">
        <v>411</v>
      </c>
      <c r="C61" s="38">
        <v>1.9221853757639424</v>
      </c>
      <c r="D61" s="38">
        <v>1.2741552474419084</v>
      </c>
      <c r="E61" s="38">
        <v>1.7053234126356434</v>
      </c>
      <c r="F61" s="38">
        <v>1.2140223396264576</v>
      </c>
      <c r="G61" s="38">
        <v>1.0496655589376329</v>
      </c>
      <c r="H61" s="38">
        <v>0.87913903166009999</v>
      </c>
    </row>
    <row r="62" spans="2:8" s="495" customFormat="1" ht="16.149999999999999" customHeight="1">
      <c r="B62" s="548" t="s">
        <v>412</v>
      </c>
      <c r="C62" s="198" t="s">
        <v>413</v>
      </c>
      <c r="D62" s="198" t="s">
        <v>413</v>
      </c>
      <c r="E62" s="198">
        <v>2.3810501193897524</v>
      </c>
      <c r="F62" s="38">
        <v>1.5268301736289112</v>
      </c>
      <c r="G62" s="38">
        <v>1.2294293044233549</v>
      </c>
      <c r="H62" s="38">
        <v>1.0745032609179002</v>
      </c>
    </row>
    <row r="63" spans="2:8" s="495" customFormat="1" ht="16.149999999999999" customHeight="1">
      <c r="B63" s="548" t="s">
        <v>414</v>
      </c>
      <c r="C63" s="198" t="s">
        <v>413</v>
      </c>
      <c r="D63" s="198" t="s">
        <v>413</v>
      </c>
      <c r="E63" s="198">
        <v>3.2614156356601391</v>
      </c>
      <c r="F63" s="38">
        <v>1.952526318692734</v>
      </c>
      <c r="G63" s="38">
        <v>1.5260973709267969</v>
      </c>
      <c r="H63" s="38">
        <v>1.3675496048046001</v>
      </c>
    </row>
    <row r="64" spans="2:8" s="495" customFormat="1" ht="16.149999999999999" customHeight="1">
      <c r="B64" s="548" t="s">
        <v>415</v>
      </c>
      <c r="C64" s="198" t="s">
        <v>413</v>
      </c>
      <c r="D64" s="198" t="s">
        <v>413</v>
      </c>
      <c r="E64" s="198">
        <v>3.7923437623955105</v>
      </c>
      <c r="F64" s="38">
        <v>2.1973555402124809</v>
      </c>
      <c r="G64" s="38">
        <v>1.8805064808792342</v>
      </c>
      <c r="H64" s="38">
        <v>1.604043145485095</v>
      </c>
    </row>
    <row r="65" spans="2:8" s="495" customFormat="1" ht="16.149999999999999" customHeight="1">
      <c r="B65" s="548" t="s">
        <v>416</v>
      </c>
      <c r="C65" s="198" t="s">
        <v>413</v>
      </c>
      <c r="D65" s="198" t="s">
        <v>413</v>
      </c>
      <c r="E65" s="198" t="s">
        <v>413</v>
      </c>
      <c r="F65" s="38">
        <v>2.6388182091675567</v>
      </c>
      <c r="G65" s="38">
        <v>2.0914704392816823</v>
      </c>
      <c r="H65" s="38">
        <v>1.6908716918218949</v>
      </c>
    </row>
    <row r="66" spans="2:8" s="495" customFormat="1" ht="16.149999999999999" customHeight="1">
      <c r="B66" s="548" t="s">
        <v>417</v>
      </c>
      <c r="C66" s="198" t="s">
        <v>413</v>
      </c>
      <c r="D66" s="198" t="s">
        <v>413</v>
      </c>
      <c r="E66" s="198" t="s">
        <v>413</v>
      </c>
      <c r="F66" s="38">
        <v>4.0807473600889335</v>
      </c>
      <c r="G66" s="38">
        <v>2.7797603930675461</v>
      </c>
      <c r="H66" s="38">
        <v>2.2473270816583533</v>
      </c>
    </row>
    <row r="67" spans="2:8" s="495" customFormat="1" ht="16.149999999999999" customHeight="1">
      <c r="B67" s="548" t="s">
        <v>418</v>
      </c>
      <c r="C67" s="198" t="s">
        <v>413</v>
      </c>
      <c r="D67" s="198" t="s">
        <v>413</v>
      </c>
      <c r="E67" s="198" t="s">
        <v>413</v>
      </c>
      <c r="F67" s="38">
        <v>5.164695877612556</v>
      </c>
      <c r="G67" s="38">
        <v>3.5181342474761128</v>
      </c>
      <c r="H67" s="38">
        <v>2.8442733377238536</v>
      </c>
    </row>
    <row r="68" spans="2:8" s="495" customFormat="1" ht="16.149999999999999" customHeight="1">
      <c r="B68" s="548" t="s">
        <v>419</v>
      </c>
      <c r="C68" s="198" t="s">
        <v>413</v>
      </c>
      <c r="D68" s="198" t="s">
        <v>413</v>
      </c>
      <c r="E68" s="198" t="s">
        <v>413</v>
      </c>
      <c r="F68" s="38">
        <v>5.4985752070743779</v>
      </c>
      <c r="G68" s="38">
        <v>3.7455691887270941</v>
      </c>
      <c r="H68" s="38">
        <v>3.0281455534959001</v>
      </c>
    </row>
    <row r="69" spans="2:8" s="495" customFormat="1" ht="16.149999999999999" customHeight="1">
      <c r="B69" s="548" t="s">
        <v>420</v>
      </c>
      <c r="C69" s="198" t="s">
        <v>413</v>
      </c>
      <c r="D69" s="198" t="s">
        <v>413</v>
      </c>
      <c r="E69" s="198" t="s">
        <v>413</v>
      </c>
      <c r="F69" s="38">
        <v>5.6759486008509707</v>
      </c>
      <c r="G69" s="38">
        <v>4.3178972481251217</v>
      </c>
      <c r="H69" s="38">
        <v>3.6193794051971371</v>
      </c>
    </row>
    <row r="70" spans="2:8" ht="16.149999999999999" customHeight="1">
      <c r="B70" s="434" t="s">
        <v>421</v>
      </c>
    </row>
    <row r="71" spans="2:8" ht="16.149999999999999" customHeight="1">
      <c r="B71" s="434" t="s">
        <v>422</v>
      </c>
    </row>
    <row r="72" spans="2:8">
      <c r="B72" s="552" t="s">
        <v>363</v>
      </c>
      <c r="D72" s="552"/>
    </row>
    <row r="73" spans="2:8" ht="16.149999999999999" customHeight="1"/>
    <row r="74" spans="2:8" ht="16.149999999999999" customHeight="1">
      <c r="B74" s="543" t="s">
        <v>423</v>
      </c>
    </row>
    <row r="75" spans="2:8" ht="16.149999999999999" customHeight="1">
      <c r="B75" s="458" t="s">
        <v>424</v>
      </c>
    </row>
    <row r="76" spans="2:8" ht="42.6" customHeight="1">
      <c r="B76" s="557" t="s">
        <v>58</v>
      </c>
      <c r="C76" s="547" t="s">
        <v>3</v>
      </c>
      <c r="D76" s="547" t="s">
        <v>4</v>
      </c>
      <c r="E76" s="547" t="s">
        <v>5</v>
      </c>
      <c r="F76" s="547" t="s">
        <v>6</v>
      </c>
      <c r="G76" s="547" t="s">
        <v>7</v>
      </c>
      <c r="H76" s="547" t="s">
        <v>8</v>
      </c>
    </row>
    <row r="77" spans="2:8" s="495" customFormat="1" ht="16.149999999999999" customHeight="1">
      <c r="B77" s="548" t="s">
        <v>425</v>
      </c>
      <c r="C77" s="198" t="s">
        <v>413</v>
      </c>
      <c r="D77" s="198" t="s">
        <v>413</v>
      </c>
      <c r="E77" s="198" t="s">
        <v>413</v>
      </c>
      <c r="F77" s="44">
        <v>5523.0610964509442</v>
      </c>
      <c r="G77" s="44">
        <v>4070.5689853716121</v>
      </c>
      <c r="H77" s="44">
        <v>3315.2717692232727</v>
      </c>
    </row>
    <row r="78" spans="2:8" s="495" customFormat="1" ht="16.149999999999999" customHeight="1">
      <c r="B78" s="548" t="s">
        <v>426</v>
      </c>
      <c r="C78" s="198" t="s">
        <v>413</v>
      </c>
      <c r="D78" s="198" t="s">
        <v>413</v>
      </c>
      <c r="E78" s="44">
        <v>9193.5606361103291</v>
      </c>
      <c r="F78" s="44">
        <v>7051.9361404512056</v>
      </c>
      <c r="G78" s="44">
        <v>5021.2909107359437</v>
      </c>
      <c r="H78" s="44">
        <v>4262.4922747156361</v>
      </c>
    </row>
    <row r="79" spans="2:8" s="495" customFormat="1" ht="16.149999999999999" customHeight="1">
      <c r="B79" s="548" t="s">
        <v>427</v>
      </c>
      <c r="C79" s="44">
        <v>13979.530005555942</v>
      </c>
      <c r="D79" s="44">
        <v>9266.5836177593337</v>
      </c>
      <c r="E79" s="44">
        <v>7420.7409230037292</v>
      </c>
      <c r="F79" s="44">
        <v>4593.4453924201161</v>
      </c>
      <c r="G79" s="44">
        <v>3573.2032698120943</v>
      </c>
      <c r="H79" s="44">
        <v>3186.1053366561323</v>
      </c>
    </row>
    <row r="80" spans="2:8" s="495" customFormat="1" ht="16.149999999999999" customHeight="1">
      <c r="B80" s="548" t="s">
        <v>428</v>
      </c>
      <c r="C80" s="44">
        <v>8904.769113128099</v>
      </c>
      <c r="D80" s="44">
        <v>5868.8362912475786</v>
      </c>
      <c r="E80" s="44">
        <v>4084.7917779008385</v>
      </c>
      <c r="F80" s="44">
        <v>2805.6659614066716</v>
      </c>
      <c r="G80" s="44">
        <v>2413.3339060368826</v>
      </c>
      <c r="H80" s="44">
        <v>2049.4407300652961</v>
      </c>
    </row>
    <row r="81" spans="2:13" s="495" customFormat="1" ht="16.149999999999999" customHeight="1">
      <c r="B81" s="548" t="s">
        <v>429</v>
      </c>
      <c r="C81" s="44">
        <v>3327.0778482850728</v>
      </c>
      <c r="D81" s="44">
        <v>2118.0762554878479</v>
      </c>
      <c r="E81" s="44">
        <v>2106.2160590313842</v>
      </c>
      <c r="F81" s="44">
        <v>1641.604898451757</v>
      </c>
      <c r="G81" s="44">
        <v>1594.275603742384</v>
      </c>
      <c r="H81" s="44">
        <v>1299.0452646752415</v>
      </c>
    </row>
    <row r="82" spans="2:13" s="495" customFormat="1" ht="16.149999999999999" customHeight="1">
      <c r="B82" s="548" t="s">
        <v>430</v>
      </c>
      <c r="C82" s="44">
        <v>2660.2460598595812</v>
      </c>
      <c r="D82" s="44">
        <v>1654.7470745998812</v>
      </c>
      <c r="E82" s="44">
        <v>1571.1923047194</v>
      </c>
      <c r="F82" s="44">
        <v>1267.1181958076886</v>
      </c>
      <c r="G82" s="44">
        <v>1240.0495722847186</v>
      </c>
      <c r="H82" s="44">
        <v>1014.8791130275324</v>
      </c>
    </row>
    <row r="83" spans="2:13" ht="16.149999999999999" customHeight="1">
      <c r="B83" s="434" t="s">
        <v>421</v>
      </c>
    </row>
    <row r="84" spans="2:13">
      <c r="B84" s="552" t="s">
        <v>363</v>
      </c>
      <c r="D84" s="552"/>
    </row>
    <row r="86" spans="2:13" ht="16.149999999999999" customHeight="1">
      <c r="B86" s="543" t="s">
        <v>431</v>
      </c>
    </row>
    <row r="87" spans="2:13">
      <c r="B87" s="458" t="s">
        <v>432</v>
      </c>
    </row>
    <row r="88" spans="2:13">
      <c r="B88" s="558" t="s">
        <v>433</v>
      </c>
      <c r="C88" s="547" t="s">
        <v>39</v>
      </c>
    </row>
    <row r="89" spans="2:13" ht="16.149999999999999" customHeight="1">
      <c r="B89" s="559" t="s">
        <v>434</v>
      </c>
      <c r="C89" s="560">
        <v>0.33216559363956022</v>
      </c>
    </row>
    <row r="90" spans="2:13" ht="16.149999999999999" customHeight="1">
      <c r="C90" s="405"/>
      <c r="D90" s="561"/>
    </row>
    <row r="91" spans="2:13" ht="16.149999999999999" customHeight="1">
      <c r="B91" s="543" t="s">
        <v>435</v>
      </c>
    </row>
    <row r="92" spans="2:13" s="562" customFormat="1" ht="16.149999999999999" customHeight="1">
      <c r="B92" s="458" t="s">
        <v>436</v>
      </c>
      <c r="C92" s="434"/>
      <c r="D92" s="434"/>
      <c r="E92" s="434"/>
      <c r="F92" s="434"/>
      <c r="G92" s="434"/>
      <c r="H92" s="434"/>
      <c r="I92" s="434"/>
      <c r="J92" s="434"/>
      <c r="K92" s="434"/>
      <c r="L92" s="434"/>
      <c r="M92" s="434"/>
    </row>
    <row r="93" spans="2:13" s="562" customFormat="1" ht="16.149999999999999" customHeight="1">
      <c r="B93" s="558" t="s">
        <v>178</v>
      </c>
      <c r="C93" s="558" t="s">
        <v>35</v>
      </c>
      <c r="D93" s="558" t="s">
        <v>2</v>
      </c>
      <c r="E93" s="558" t="s">
        <v>25</v>
      </c>
      <c r="F93" s="563"/>
      <c r="G93" s="563"/>
      <c r="H93" s="563"/>
      <c r="I93" s="563"/>
      <c r="J93" s="563"/>
      <c r="K93" s="563"/>
      <c r="L93" s="563"/>
      <c r="M93" s="564"/>
    </row>
    <row r="94" spans="2:13" s="562" customFormat="1" ht="16.149999999999999" customHeight="1">
      <c r="B94" s="565" t="s">
        <v>437</v>
      </c>
      <c r="C94" s="84">
        <v>2.2000000000000002</v>
      </c>
      <c r="D94" s="566" t="s">
        <v>438</v>
      </c>
      <c r="E94" s="85" t="s">
        <v>439</v>
      </c>
      <c r="F94" s="567"/>
      <c r="G94" s="567"/>
      <c r="H94" s="567"/>
      <c r="I94" s="567"/>
      <c r="J94" s="567"/>
      <c r="K94" s="567"/>
      <c r="L94" s="567"/>
      <c r="M94" s="568"/>
    </row>
    <row r="95" spans="2:13" s="562" customFormat="1" ht="16.149999999999999" customHeight="1">
      <c r="B95" s="569" t="s">
        <v>440</v>
      </c>
      <c r="C95" s="84">
        <v>13.200000000000001</v>
      </c>
      <c r="D95" s="566" t="s">
        <v>438</v>
      </c>
      <c r="E95" s="85" t="s">
        <v>439</v>
      </c>
      <c r="F95" s="567"/>
      <c r="G95" s="567"/>
      <c r="H95" s="567"/>
      <c r="I95" s="567"/>
      <c r="J95" s="567"/>
      <c r="K95" s="567"/>
      <c r="L95" s="567"/>
      <c r="M95" s="568"/>
    </row>
    <row r="96" spans="2:13" s="562" customFormat="1" ht="16.149999999999999" customHeight="1">
      <c r="B96" s="569" t="s">
        <v>441</v>
      </c>
      <c r="C96" s="84">
        <v>14.3</v>
      </c>
      <c r="D96" s="566" t="s">
        <v>438</v>
      </c>
      <c r="E96" s="85" t="s">
        <v>439</v>
      </c>
      <c r="F96" s="567"/>
      <c r="G96" s="567"/>
      <c r="H96" s="567"/>
      <c r="I96" s="567"/>
      <c r="J96" s="567"/>
      <c r="K96" s="567"/>
      <c r="L96" s="567"/>
      <c r="M96" s="568"/>
    </row>
    <row r="97" spans="2:13" s="562" customFormat="1" ht="16.149999999999999" customHeight="1">
      <c r="B97" s="569" t="s">
        <v>442</v>
      </c>
      <c r="C97" s="84">
        <v>4.7138306819209967</v>
      </c>
      <c r="D97" s="566" t="s">
        <v>443</v>
      </c>
      <c r="E97" s="85" t="s">
        <v>444</v>
      </c>
      <c r="F97" s="567"/>
      <c r="G97" s="567"/>
      <c r="H97" s="567"/>
      <c r="I97" s="567"/>
      <c r="J97" s="567"/>
      <c r="K97" s="567"/>
      <c r="L97" s="567"/>
      <c r="M97" s="568"/>
    </row>
    <row r="98" spans="2:13" s="562" customFormat="1" ht="16.149999999999999" customHeight="1">
      <c r="B98" s="569" t="s">
        <v>445</v>
      </c>
      <c r="C98" s="84">
        <v>8.0873484007548591</v>
      </c>
      <c r="D98" s="566" t="s">
        <v>446</v>
      </c>
      <c r="E98" s="85" t="s">
        <v>447</v>
      </c>
      <c r="F98" s="567"/>
      <c r="G98" s="567"/>
      <c r="H98" s="567"/>
      <c r="I98" s="567"/>
      <c r="J98" s="567"/>
      <c r="K98" s="567"/>
      <c r="L98" s="567"/>
      <c r="M98" s="568"/>
    </row>
    <row r="99" spans="2:13" s="562" customFormat="1" ht="16.149999999999999" customHeight="1">
      <c r="B99" s="569" t="s">
        <v>448</v>
      </c>
      <c r="C99" s="84">
        <v>4.0570995944632591</v>
      </c>
      <c r="D99" s="566" t="s">
        <v>443</v>
      </c>
      <c r="E99" s="85" t="s">
        <v>449</v>
      </c>
      <c r="F99" s="567"/>
      <c r="G99" s="567"/>
      <c r="H99" s="567"/>
      <c r="I99" s="567"/>
      <c r="J99" s="567"/>
      <c r="K99" s="567"/>
      <c r="L99" s="567"/>
      <c r="M99" s="568"/>
    </row>
    <row r="100" spans="2:13" s="562" customFormat="1" ht="16.149999999999999" customHeight="1">
      <c r="B100" s="569" t="s">
        <v>186</v>
      </c>
      <c r="C100" s="97">
        <v>972.13290984938885</v>
      </c>
      <c r="D100" s="566" t="s">
        <v>95</v>
      </c>
      <c r="E100" s="85" t="s">
        <v>450</v>
      </c>
      <c r="F100" s="567"/>
      <c r="G100" s="567"/>
      <c r="H100" s="567"/>
      <c r="I100" s="567"/>
      <c r="J100" s="567"/>
      <c r="K100" s="567"/>
      <c r="L100" s="567"/>
      <c r="M100" s="568"/>
    </row>
    <row r="102" spans="2:13" ht="16.149999999999999" customHeight="1">
      <c r="B102" s="543" t="s">
        <v>451</v>
      </c>
    </row>
    <row r="103" spans="2:13">
      <c r="B103" s="458" t="s">
        <v>452</v>
      </c>
    </row>
    <row r="104" spans="2:13" s="562" customFormat="1" ht="16.149999999999999" customHeight="1">
      <c r="B104" s="558" t="s">
        <v>178</v>
      </c>
      <c r="C104" s="558" t="s">
        <v>35</v>
      </c>
      <c r="D104" s="558" t="s">
        <v>2</v>
      </c>
      <c r="E104" s="558" t="s">
        <v>25</v>
      </c>
      <c r="F104" s="563"/>
      <c r="G104" s="563"/>
      <c r="H104" s="563"/>
      <c r="I104" s="563"/>
      <c r="J104" s="563"/>
      <c r="K104" s="563"/>
      <c r="L104" s="563"/>
      <c r="M104" s="564"/>
    </row>
    <row r="105" spans="2:13" s="495" customFormat="1" ht="58.9" customHeight="1">
      <c r="B105" s="428" t="s">
        <v>453</v>
      </c>
      <c r="C105" s="44">
        <v>2885.2856380177936</v>
      </c>
      <c r="D105" s="570" t="s">
        <v>95</v>
      </c>
      <c r="E105" s="428" t="s">
        <v>454</v>
      </c>
      <c r="F105" s="429"/>
      <c r="G105" s="429"/>
      <c r="H105" s="429"/>
      <c r="I105" s="429"/>
      <c r="J105" s="429"/>
      <c r="K105" s="429"/>
      <c r="L105" s="429"/>
      <c r="M105" s="430"/>
    </row>
    <row r="106" spans="2:13" s="495" customFormat="1" ht="58.9" customHeight="1">
      <c r="B106" s="428" t="s">
        <v>455</v>
      </c>
      <c r="C106" s="44">
        <v>21234.52910306484</v>
      </c>
      <c r="D106" s="570" t="s">
        <v>95</v>
      </c>
      <c r="E106" s="428" t="s">
        <v>456</v>
      </c>
      <c r="F106" s="429"/>
      <c r="G106" s="429"/>
      <c r="H106" s="429"/>
      <c r="I106" s="429"/>
      <c r="J106" s="429"/>
      <c r="K106" s="429"/>
      <c r="L106" s="429"/>
      <c r="M106" s="430"/>
    </row>
    <row r="107" spans="2:13" s="495" customFormat="1" ht="58.9" customHeight="1">
      <c r="B107" s="428" t="s">
        <v>457</v>
      </c>
      <c r="C107" s="44">
        <v>4798.2508795690828</v>
      </c>
      <c r="D107" s="570" t="s">
        <v>95</v>
      </c>
      <c r="E107" s="428" t="s">
        <v>458</v>
      </c>
      <c r="F107" s="429"/>
      <c r="G107" s="429"/>
      <c r="H107" s="429"/>
      <c r="I107" s="429"/>
      <c r="J107" s="429"/>
      <c r="K107" s="429"/>
      <c r="L107" s="429"/>
      <c r="M107" s="430"/>
    </row>
    <row r="108" spans="2:13" s="495" customFormat="1" ht="58.9" customHeight="1">
      <c r="B108" s="428" t="s">
        <v>459</v>
      </c>
      <c r="C108" s="44">
        <v>7339.2508795690828</v>
      </c>
      <c r="D108" s="570" t="s">
        <v>95</v>
      </c>
      <c r="E108" s="428" t="s">
        <v>460</v>
      </c>
      <c r="F108" s="429"/>
      <c r="G108" s="429"/>
      <c r="H108" s="429"/>
      <c r="I108" s="429"/>
      <c r="J108" s="429"/>
      <c r="K108" s="429"/>
      <c r="L108" s="429"/>
      <c r="M108" s="430"/>
    </row>
    <row r="109" spans="2:13" s="495" customFormat="1" ht="58.9" customHeight="1">
      <c r="B109" s="428" t="s">
        <v>461</v>
      </c>
      <c r="C109" s="38">
        <v>0.66402036681578014</v>
      </c>
      <c r="D109" s="570" t="s">
        <v>15</v>
      </c>
      <c r="E109" s="428" t="s">
        <v>462</v>
      </c>
      <c r="F109" s="429"/>
      <c r="G109" s="429"/>
      <c r="H109" s="429"/>
      <c r="I109" s="429"/>
      <c r="J109" s="429"/>
      <c r="K109" s="429"/>
      <c r="L109" s="429"/>
      <c r="M109" s="430"/>
    </row>
    <row r="110" spans="2:13">
      <c r="B110" s="571"/>
      <c r="D110" s="571"/>
      <c r="E110" s="571"/>
      <c r="F110" s="571"/>
      <c r="G110" s="571"/>
      <c r="I110" s="571"/>
      <c r="J110" s="571"/>
    </row>
    <row r="111" spans="2:13">
      <c r="B111" s="542">
        <v>1</v>
      </c>
      <c r="C111" s="542">
        <v>2</v>
      </c>
      <c r="D111" s="542">
        <v>3</v>
      </c>
      <c r="E111" s="542">
        <v>4</v>
      </c>
      <c r="F111" s="542">
        <v>5</v>
      </c>
      <c r="G111" s="542">
        <v>6</v>
      </c>
      <c r="I111" s="571"/>
      <c r="J111" s="571"/>
    </row>
    <row r="112" spans="2:13">
      <c r="I112" s="571"/>
      <c r="J112" s="571"/>
    </row>
    <row r="114" spans="2:9" ht="16.149999999999999" customHeight="1">
      <c r="B114" s="543" t="s">
        <v>463</v>
      </c>
    </row>
    <row r="115" spans="2:9">
      <c r="B115" s="458" t="s">
        <v>464</v>
      </c>
    </row>
    <row r="116" spans="2:9" ht="16.149999999999999" customHeight="1">
      <c r="B116" s="558" t="s">
        <v>178</v>
      </c>
      <c r="C116" s="572"/>
      <c r="D116" s="573" t="s">
        <v>35</v>
      </c>
      <c r="E116" s="574" t="s">
        <v>2</v>
      </c>
    </row>
    <row r="117" spans="2:9" ht="16.149999999999999" customHeight="1">
      <c r="B117" s="575" t="s">
        <v>465</v>
      </c>
      <c r="C117" s="576"/>
      <c r="D117" s="559">
        <v>5852.5683548844463</v>
      </c>
      <c r="E117" s="577" t="s">
        <v>95</v>
      </c>
      <c r="F117" s="578"/>
      <c r="G117" s="578"/>
      <c r="H117" s="578"/>
    </row>
    <row r="118" spans="2:9" ht="16.149999999999999" customHeight="1">
      <c r="B118" s="575" t="s">
        <v>466</v>
      </c>
      <c r="C118" s="576"/>
      <c r="D118" s="559">
        <v>1600.8579286570243</v>
      </c>
      <c r="E118" s="577" t="s">
        <v>95</v>
      </c>
      <c r="F118" s="578"/>
      <c r="G118" s="578"/>
      <c r="H118" s="578"/>
    </row>
    <row r="119" spans="2:9" ht="16.149999999999999" customHeight="1"/>
    <row r="120" spans="2:9" ht="16.149999999999999" customHeight="1">
      <c r="B120" s="543" t="s">
        <v>467</v>
      </c>
    </row>
    <row r="121" spans="2:9" ht="16.149999999999999" customHeight="1">
      <c r="B121" s="575" t="s">
        <v>468</v>
      </c>
      <c r="C121" s="576"/>
      <c r="D121" s="559">
        <v>50</v>
      </c>
      <c r="E121" s="577" t="s">
        <v>15</v>
      </c>
      <c r="F121" s="434" t="s">
        <v>82</v>
      </c>
    </row>
    <row r="122" spans="2:9" ht="16.149999999999999" customHeight="1">
      <c r="B122" s="575" t="s">
        <v>469</v>
      </c>
      <c r="C122" s="576"/>
      <c r="D122" s="559">
        <v>10</v>
      </c>
      <c r="E122" s="577" t="s">
        <v>15</v>
      </c>
      <c r="F122" s="434" t="s">
        <v>82</v>
      </c>
    </row>
    <row r="123" spans="2:9" ht="16.149999999999999" customHeight="1">
      <c r="D123" s="561"/>
    </row>
    <row r="124" spans="2:9" ht="16.149999999999999" customHeight="1">
      <c r="B124" s="543" t="s">
        <v>470</v>
      </c>
    </row>
    <row r="125" spans="2:9" ht="16.149999999999999" customHeight="1">
      <c r="C125" s="434" t="s">
        <v>471</v>
      </c>
      <c r="E125" s="579" t="s">
        <v>46</v>
      </c>
      <c r="F125" s="579" t="s">
        <v>46</v>
      </c>
    </row>
    <row r="126" spans="2:9">
      <c r="B126" s="580" t="s">
        <v>472</v>
      </c>
      <c r="C126" s="581">
        <v>2</v>
      </c>
      <c r="D126" s="581">
        <v>3</v>
      </c>
      <c r="E126" s="581">
        <v>4</v>
      </c>
      <c r="F126" s="581">
        <v>5</v>
      </c>
      <c r="G126" s="581">
        <v>6</v>
      </c>
      <c r="H126" s="581">
        <v>7</v>
      </c>
      <c r="I126" s="581">
        <v>8</v>
      </c>
    </row>
    <row r="127" spans="2:9" ht="25.5">
      <c r="B127" s="558" t="s">
        <v>433</v>
      </c>
      <c r="C127" s="573" t="s">
        <v>473</v>
      </c>
      <c r="D127" s="573" t="s">
        <v>474</v>
      </c>
      <c r="E127" s="573" t="s">
        <v>473</v>
      </c>
      <c r="F127" s="573" t="s">
        <v>474</v>
      </c>
      <c r="G127" s="579"/>
      <c r="H127" s="573" t="s">
        <v>475</v>
      </c>
      <c r="I127" s="573" t="s">
        <v>31</v>
      </c>
    </row>
    <row r="128" spans="2:9" s="495" customFormat="1" ht="16.149999999999999" customHeight="1">
      <c r="B128" s="577" t="s">
        <v>476</v>
      </c>
      <c r="C128" s="560">
        <v>0.24826847775364227</v>
      </c>
      <c r="D128" s="560">
        <v>0.16551231850242817</v>
      </c>
      <c r="E128" s="560">
        <v>0.38775384894113596</v>
      </c>
      <c r="F128" s="560">
        <v>0.16156410372547333</v>
      </c>
      <c r="G128" s="582"/>
      <c r="H128" s="583">
        <v>7.5</v>
      </c>
      <c r="I128" s="583">
        <v>5</v>
      </c>
    </row>
    <row r="129" spans="2:9" s="495" customFormat="1" ht="16.149999999999999" customHeight="1">
      <c r="B129" s="577" t="s">
        <v>477</v>
      </c>
      <c r="C129" s="560">
        <v>0.15195555294088062</v>
      </c>
      <c r="D129" s="560">
        <v>0.10130370196058708</v>
      </c>
      <c r="E129" s="560">
        <v>0.27173159575084477</v>
      </c>
      <c r="F129" s="560">
        <v>0.11322149822951866</v>
      </c>
      <c r="G129" s="582"/>
      <c r="H129" s="583">
        <v>12.5</v>
      </c>
      <c r="I129" s="583">
        <v>10</v>
      </c>
    </row>
    <row r="130" spans="2:9" s="495" customFormat="1" ht="16.149999999999999" customHeight="1">
      <c r="B130" s="577" t="s">
        <v>478</v>
      </c>
      <c r="C130" s="560">
        <v>0.1122359492435447</v>
      </c>
      <c r="D130" s="560">
        <v>7.4823966162363129E-2</v>
      </c>
      <c r="E130" s="560">
        <v>0.20710595426065545</v>
      </c>
      <c r="F130" s="560">
        <v>8.6294147608606445E-2</v>
      </c>
      <c r="G130" s="582"/>
      <c r="H130" s="583">
        <v>17.5</v>
      </c>
      <c r="I130" s="583">
        <v>15</v>
      </c>
    </row>
    <row r="131" spans="2:9" s="495" customFormat="1" ht="16.149999999999999" customHeight="1">
      <c r="B131" s="577" t="s">
        <v>479</v>
      </c>
      <c r="C131" s="560">
        <v>0.10181812642718338</v>
      </c>
      <c r="D131" s="560">
        <v>6.7878750951455583E-2</v>
      </c>
      <c r="E131" s="560">
        <v>0.1845249674255954</v>
      </c>
      <c r="F131" s="560">
        <v>7.6885403093998092E-2</v>
      </c>
      <c r="G131" s="582"/>
      <c r="H131" s="583">
        <v>22.5</v>
      </c>
      <c r="I131" s="583">
        <v>20</v>
      </c>
    </row>
    <row r="132" spans="2:9" s="495" customFormat="1" ht="16.149999999999999" customHeight="1">
      <c r="B132" s="577" t="s">
        <v>480</v>
      </c>
      <c r="C132" s="560">
        <v>8.8786528841861223E-2</v>
      </c>
      <c r="D132" s="560">
        <v>5.9191019227907482E-2</v>
      </c>
      <c r="E132" s="560">
        <v>0.17097637532455937</v>
      </c>
      <c r="F132" s="560">
        <v>7.1240156385233067E-2</v>
      </c>
      <c r="G132" s="582"/>
      <c r="H132" s="583">
        <v>27.5</v>
      </c>
      <c r="I132" s="583">
        <v>25</v>
      </c>
    </row>
    <row r="133" spans="2:9" s="495" customFormat="1" ht="16.149999999999999" customHeight="1">
      <c r="B133" s="577" t="s">
        <v>481</v>
      </c>
      <c r="C133" s="560">
        <v>8.4915074730516862E-2</v>
      </c>
      <c r="D133" s="560">
        <v>5.6610049820344573E-2</v>
      </c>
      <c r="E133" s="560">
        <v>0.16843186986389175</v>
      </c>
      <c r="F133" s="560">
        <v>7.0179945776621566E-2</v>
      </c>
      <c r="G133" s="582"/>
      <c r="H133" s="583">
        <v>32.5</v>
      </c>
      <c r="I133" s="583">
        <v>30</v>
      </c>
    </row>
    <row r="134" spans="2:9" s="495" customFormat="1" ht="16.149999999999999" customHeight="1">
      <c r="B134" s="577" t="s">
        <v>482</v>
      </c>
      <c r="C134" s="560">
        <v>7.8385330900744926E-2</v>
      </c>
      <c r="D134" s="560">
        <v>5.2256887267163286E-2</v>
      </c>
      <c r="E134" s="560">
        <v>0.16105331801482367</v>
      </c>
      <c r="F134" s="560">
        <v>6.7105549172843199E-2</v>
      </c>
      <c r="G134" s="582"/>
      <c r="H134" s="583">
        <v>37.5</v>
      </c>
      <c r="I134" s="583">
        <v>35</v>
      </c>
    </row>
    <row r="135" spans="2:9" s="495" customFormat="1" ht="16.149999999999999" customHeight="1">
      <c r="B135" s="577" t="s">
        <v>483</v>
      </c>
      <c r="C135" s="560">
        <v>7.3960121980031324E-2</v>
      </c>
      <c r="D135" s="560">
        <v>4.9306747986687549E-2</v>
      </c>
      <c r="E135" s="560">
        <v>0.15551940412802262</v>
      </c>
      <c r="F135" s="560">
        <v>6.479975172000943E-2</v>
      </c>
      <c r="G135" s="582"/>
      <c r="H135" s="583">
        <v>42.5</v>
      </c>
      <c r="I135" s="583">
        <v>40</v>
      </c>
    </row>
    <row r="136" spans="2:9" s="495" customFormat="1" ht="16.149999999999999" customHeight="1">
      <c r="B136" s="577" t="s">
        <v>484</v>
      </c>
      <c r="C136" s="560">
        <v>7.0837981572780706E-2</v>
      </c>
      <c r="D136" s="560">
        <v>4.7225321048520473E-2</v>
      </c>
      <c r="E136" s="560">
        <v>0.15554050839830383</v>
      </c>
      <c r="F136" s="560">
        <v>6.4808545165959935E-2</v>
      </c>
      <c r="G136" s="582"/>
      <c r="H136" s="583">
        <v>47.5</v>
      </c>
      <c r="I136" s="583">
        <v>45</v>
      </c>
    </row>
    <row r="137" spans="2:9" s="495" customFormat="1" ht="16.149999999999999" customHeight="1">
      <c r="B137" s="577" t="s">
        <v>485</v>
      </c>
      <c r="C137" s="560">
        <v>6.9594322272236026E-2</v>
      </c>
      <c r="D137" s="560">
        <v>4.6396214848157348E-2</v>
      </c>
      <c r="E137" s="560">
        <v>0.14777192468650113</v>
      </c>
      <c r="F137" s="560">
        <v>6.1571635286042141E-2</v>
      </c>
      <c r="G137" s="582"/>
      <c r="H137" s="583">
        <v>55</v>
      </c>
      <c r="I137" s="583">
        <v>50</v>
      </c>
    </row>
    <row r="138" spans="2:9" s="495" customFormat="1" ht="16.149999999999999" customHeight="1">
      <c r="B138" s="577" t="s">
        <v>486</v>
      </c>
      <c r="C138" s="560">
        <v>6.6617377438698597E-2</v>
      </c>
      <c r="D138" s="560">
        <v>4.4411584959132396E-2</v>
      </c>
      <c r="E138" s="560">
        <v>0.14909482766550988</v>
      </c>
      <c r="F138" s="560">
        <v>6.212284486062912E-2</v>
      </c>
      <c r="G138" s="582"/>
      <c r="H138" s="583">
        <v>65</v>
      </c>
      <c r="I138" s="583">
        <v>60</v>
      </c>
    </row>
    <row r="139" spans="2:9" s="495" customFormat="1" ht="16.149999999999999" customHeight="1">
      <c r="B139" s="577" t="s">
        <v>487</v>
      </c>
      <c r="C139" s="560">
        <v>6.3700979648869949E-2</v>
      </c>
      <c r="D139" s="560">
        <v>4.2467319765913301E-2</v>
      </c>
      <c r="E139" s="560">
        <v>0.14447871041621066</v>
      </c>
      <c r="F139" s="560">
        <v>6.0199462673421113E-2</v>
      </c>
      <c r="G139" s="582"/>
      <c r="H139" s="583">
        <v>75</v>
      </c>
      <c r="I139" s="583">
        <v>70</v>
      </c>
    </row>
    <row r="140" spans="2:9" s="495" customFormat="1" ht="16.149999999999999" customHeight="1">
      <c r="B140" s="577" t="s">
        <v>488</v>
      </c>
      <c r="C140" s="560">
        <v>6.2199859394938363E-2</v>
      </c>
      <c r="D140" s="560">
        <v>4.1466572929958909E-2</v>
      </c>
      <c r="E140" s="560">
        <v>0.14101662247923621</v>
      </c>
      <c r="F140" s="560">
        <v>5.8756926033015092E-2</v>
      </c>
      <c r="G140" s="582"/>
      <c r="H140" s="583">
        <v>85</v>
      </c>
      <c r="I140" s="583">
        <v>80</v>
      </c>
    </row>
    <row r="141" spans="2:9" s="495" customFormat="1" ht="16.149999999999999" customHeight="1">
      <c r="B141" s="577" t="s">
        <v>489</v>
      </c>
      <c r="C141" s="560">
        <v>6.1370547879815954E-2</v>
      </c>
      <c r="D141" s="560">
        <v>4.0913698586543971E-2</v>
      </c>
      <c r="E141" s="560">
        <v>0.13832388741714499</v>
      </c>
      <c r="F141" s="560">
        <v>5.763495309047708E-2</v>
      </c>
      <c r="G141" s="582"/>
      <c r="H141" s="583">
        <v>95</v>
      </c>
      <c r="I141" s="583">
        <v>90</v>
      </c>
    </row>
    <row r="142" spans="2:9" s="495" customFormat="1" ht="16.149999999999999" customHeight="1">
      <c r="B142" s="577" t="s">
        <v>490</v>
      </c>
      <c r="C142" s="560">
        <v>5.9685628925587118E-2</v>
      </c>
      <c r="D142" s="560">
        <v>3.9790419283724746E-2</v>
      </c>
      <c r="E142" s="560">
        <v>0.1244914986754305</v>
      </c>
      <c r="F142" s="560">
        <v>5.1871457781429375E-2</v>
      </c>
      <c r="G142" s="582"/>
      <c r="H142" s="583">
        <v>125</v>
      </c>
      <c r="I142" s="583">
        <v>100</v>
      </c>
    </row>
    <row r="143" spans="2:9" s="495" customFormat="1" ht="16.149999999999999" customHeight="1">
      <c r="B143" s="577" t="s">
        <v>491</v>
      </c>
      <c r="C143" s="560">
        <v>5.6703189118328175E-2</v>
      </c>
      <c r="D143" s="560">
        <v>3.7802126078885452E-2</v>
      </c>
      <c r="E143" s="560">
        <v>8.2994332450286992E-2</v>
      </c>
      <c r="F143" s="560">
        <v>3.4580971854286248E-2</v>
      </c>
      <c r="G143" s="582"/>
      <c r="H143" s="583">
        <v>175</v>
      </c>
      <c r="I143" s="583">
        <v>150</v>
      </c>
    </row>
    <row r="144" spans="2:9" s="495" customFormat="1" ht="16.149999999999999" customHeight="1">
      <c r="B144" s="577" t="s">
        <v>492</v>
      </c>
      <c r="C144" s="560">
        <v>5.5188769205899213E-2</v>
      </c>
      <c r="D144" s="560">
        <v>3.6792512803932809E-2</v>
      </c>
      <c r="E144" s="560">
        <v>6.2245749337715248E-2</v>
      </c>
      <c r="F144" s="560">
        <v>2.5935728890714688E-2</v>
      </c>
      <c r="G144" s="582"/>
      <c r="H144" s="583">
        <v>225</v>
      </c>
      <c r="I144" s="583">
        <v>200</v>
      </c>
    </row>
    <row r="145" spans="2:9" s="495" customFormat="1" ht="16.149999999999999" customHeight="1">
      <c r="B145" s="577"/>
      <c r="C145" s="560">
        <v>5.4213085223391293E-2</v>
      </c>
      <c r="D145" s="560">
        <v>3.6142056815594195E-2</v>
      </c>
      <c r="E145" s="560">
        <v>5.5782383693034142E-2</v>
      </c>
      <c r="F145" s="560">
        <v>2.324265987209756E-2</v>
      </c>
      <c r="G145" s="582"/>
      <c r="H145" s="583">
        <v>250</v>
      </c>
      <c r="I145" s="583">
        <v>250</v>
      </c>
    </row>
    <row r="146" spans="2:9" s="495" customFormat="1" ht="16.149999999999999" customHeight="1">
      <c r="C146" s="237"/>
      <c r="D146" s="237"/>
      <c r="F146" s="550"/>
      <c r="G146" s="550"/>
    </row>
    <row r="147" spans="2:9" ht="16.149999999999999" customHeight="1">
      <c r="B147" s="543" t="s">
        <v>493</v>
      </c>
    </row>
    <row r="148" spans="2:9">
      <c r="B148" s="584" t="s">
        <v>494</v>
      </c>
      <c r="C148" s="573" t="s">
        <v>495</v>
      </c>
    </row>
    <row r="149" spans="2:9" ht="15.6" customHeight="1">
      <c r="B149" s="483" t="s">
        <v>2698</v>
      </c>
      <c r="C149" s="585">
        <v>50</v>
      </c>
    </row>
    <row r="150" spans="2:9" ht="16.149999999999999" customHeight="1">
      <c r="C150" s="405"/>
    </row>
    <row r="151" spans="2:9">
      <c r="B151" s="543" t="s">
        <v>496</v>
      </c>
    </row>
    <row r="152" spans="2:9">
      <c r="B152" s="584" t="s">
        <v>96</v>
      </c>
      <c r="C152" s="573" t="s">
        <v>28</v>
      </c>
    </row>
    <row r="153" spans="2:9">
      <c r="B153" s="577" t="s">
        <v>497</v>
      </c>
      <c r="C153" s="560">
        <v>1655.5</v>
      </c>
    </row>
    <row r="154" spans="2:9">
      <c r="B154" s="577" t="s">
        <v>116</v>
      </c>
      <c r="C154" s="560">
        <v>4196.5</v>
      </c>
    </row>
    <row r="155" spans="2:9">
      <c r="B155" s="495"/>
      <c r="C155" s="237"/>
    </row>
    <row r="156" spans="2:9">
      <c r="B156" s="543" t="s">
        <v>498</v>
      </c>
    </row>
    <row r="157" spans="2:9">
      <c r="B157" s="584" t="s">
        <v>499</v>
      </c>
      <c r="C157" s="573" t="s">
        <v>76</v>
      </c>
      <c r="D157" s="573" t="s">
        <v>2</v>
      </c>
    </row>
    <row r="158" spans="2:9">
      <c r="B158" s="577" t="s">
        <v>500</v>
      </c>
      <c r="C158" s="560">
        <v>197.18670851972502</v>
      </c>
      <c r="D158" s="483" t="s">
        <v>501</v>
      </c>
      <c r="E158" s="434" t="s">
        <v>502</v>
      </c>
    </row>
    <row r="159" spans="2:9">
      <c r="B159" s="577" t="s">
        <v>503</v>
      </c>
      <c r="C159" s="560">
        <v>351.55131892892013</v>
      </c>
      <c r="D159" s="483" t="s">
        <v>94</v>
      </c>
      <c r="E159" s="434" t="s">
        <v>504</v>
      </c>
    </row>
    <row r="162" spans="2:5">
      <c r="B162" s="543" t="s">
        <v>505</v>
      </c>
    </row>
    <row r="163" spans="2:5">
      <c r="B163" s="584" t="s">
        <v>506</v>
      </c>
      <c r="C163" s="573" t="s">
        <v>89</v>
      </c>
      <c r="D163" s="573" t="s">
        <v>507</v>
      </c>
      <c r="E163" s="584" t="s">
        <v>92</v>
      </c>
    </row>
    <row r="164" spans="2:5">
      <c r="B164" s="577" t="s">
        <v>1867</v>
      </c>
      <c r="C164" s="586">
        <v>2.2009393754337955E-2</v>
      </c>
      <c r="D164" s="586">
        <v>360.70354069774862</v>
      </c>
      <c r="E164" s="586">
        <v>5.19</v>
      </c>
    </row>
    <row r="165" spans="2:5">
      <c r="B165" s="577" t="s">
        <v>1870</v>
      </c>
      <c r="C165" s="586">
        <v>0.15651124447529216</v>
      </c>
      <c r="D165" s="586">
        <v>377.63871773263605</v>
      </c>
      <c r="E165" s="586">
        <v>5.85</v>
      </c>
    </row>
    <row r="166" spans="2:5">
      <c r="B166" s="577" t="s">
        <v>1872</v>
      </c>
      <c r="C166" s="586">
        <v>0.55023484385844879</v>
      </c>
      <c r="D166" s="586">
        <v>394.57389476752354</v>
      </c>
      <c r="E166" s="586">
        <v>6.67</v>
      </c>
    </row>
    <row r="167" spans="2:5">
      <c r="B167" s="577" t="s">
        <v>1874</v>
      </c>
      <c r="C167" s="586">
        <v>2.2009393754337951</v>
      </c>
      <c r="D167" s="586">
        <v>411.50907180241086</v>
      </c>
      <c r="E167" s="586">
        <v>7.8</v>
      </c>
    </row>
    <row r="168" spans="2:5">
      <c r="B168" s="577" t="s">
        <v>2805</v>
      </c>
      <c r="C168" s="586">
        <v>2.2009393754337955E-2</v>
      </c>
      <c r="D168" s="586">
        <v>1214.3068327077199</v>
      </c>
      <c r="E168" s="586">
        <v>26.84</v>
      </c>
    </row>
    <row r="169" spans="2:5">
      <c r="B169" s="577" t="s">
        <v>2806</v>
      </c>
      <c r="C169" s="586">
        <v>0.15651124447529216</v>
      </c>
      <c r="D169" s="586">
        <v>1263.9862840705416</v>
      </c>
      <c r="E169" s="586">
        <v>32.159999999999997</v>
      </c>
    </row>
    <row r="170" spans="2:5">
      <c r="B170" s="577" t="s">
        <v>2807</v>
      </c>
      <c r="C170" s="586">
        <v>0.55023484385844879</v>
      </c>
      <c r="D170" s="586">
        <v>1288.8260097519524</v>
      </c>
      <c r="E170" s="586">
        <v>43.92</v>
      </c>
    </row>
    <row r="171" spans="2:5">
      <c r="B171" s="577" t="s">
        <v>2808</v>
      </c>
      <c r="C171" s="586">
        <v>2.2009393754337951</v>
      </c>
      <c r="D171" s="586">
        <v>1313.6657354333634</v>
      </c>
      <c r="E171" s="586">
        <v>58.44</v>
      </c>
    </row>
    <row r="173" spans="2:5">
      <c r="B173" s="543" t="s">
        <v>508</v>
      </c>
    </row>
    <row r="174" spans="2:5">
      <c r="B174" s="584" t="s">
        <v>509</v>
      </c>
      <c r="C174" s="573" t="s">
        <v>495</v>
      </c>
      <c r="D174" s="573" t="s">
        <v>510</v>
      </c>
    </row>
    <row r="175" spans="2:5">
      <c r="B175" s="483" t="s">
        <v>49</v>
      </c>
      <c r="C175" s="587">
        <v>100</v>
      </c>
      <c r="D175" s="588">
        <v>2.5</v>
      </c>
    </row>
    <row r="176" spans="2:5">
      <c r="B176" s="483" t="s">
        <v>50</v>
      </c>
      <c r="C176" s="587">
        <v>100</v>
      </c>
      <c r="D176" s="588">
        <v>10</v>
      </c>
    </row>
    <row r="177" spans="2:5">
      <c r="B177" s="483" t="s">
        <v>51</v>
      </c>
      <c r="C177" s="587">
        <v>70</v>
      </c>
      <c r="D177" s="588">
        <v>2.5</v>
      </c>
    </row>
    <row r="178" spans="2:5">
      <c r="B178" s="483" t="s">
        <v>52</v>
      </c>
      <c r="C178" s="587">
        <v>70</v>
      </c>
      <c r="D178" s="588">
        <v>10</v>
      </c>
    </row>
    <row r="179" spans="2:5">
      <c r="B179" s="483" t="s">
        <v>53</v>
      </c>
      <c r="C179" s="587">
        <v>60</v>
      </c>
      <c r="D179" s="588">
        <v>2</v>
      </c>
    </row>
    <row r="180" spans="2:5">
      <c r="B180" s="483" t="s">
        <v>54</v>
      </c>
      <c r="C180" s="587">
        <v>40</v>
      </c>
      <c r="D180" s="588">
        <v>50</v>
      </c>
    </row>
    <row r="181" spans="2:5">
      <c r="B181" s="483" t="s">
        <v>55</v>
      </c>
      <c r="C181" s="587">
        <v>180</v>
      </c>
      <c r="D181" s="588">
        <v>5</v>
      </c>
    </row>
    <row r="182" spans="2:5">
      <c r="B182" s="483" t="s">
        <v>56</v>
      </c>
      <c r="C182" s="587">
        <v>1000</v>
      </c>
      <c r="D182" s="588">
        <v>0.25</v>
      </c>
    </row>
    <row r="184" spans="2:5">
      <c r="B184" s="543" t="s">
        <v>511</v>
      </c>
    </row>
    <row r="185" spans="2:5" ht="29.65" customHeight="1">
      <c r="B185" s="584" t="s">
        <v>512</v>
      </c>
      <c r="C185" s="573" t="s">
        <v>513</v>
      </c>
      <c r="D185" s="573" t="s">
        <v>514</v>
      </c>
      <c r="E185" s="573" t="s">
        <v>515</v>
      </c>
    </row>
    <row r="186" spans="2:5">
      <c r="B186" s="483" t="s">
        <v>14</v>
      </c>
      <c r="C186" s="587">
        <v>105</v>
      </c>
      <c r="D186" s="585">
        <v>91</v>
      </c>
      <c r="E186" s="585">
        <v>64.61</v>
      </c>
    </row>
    <row r="187" spans="2:5">
      <c r="B187" s="483" t="s">
        <v>2481</v>
      </c>
      <c r="C187" s="587">
        <v>135</v>
      </c>
      <c r="D187" s="585">
        <v>124</v>
      </c>
      <c r="E187" s="585">
        <v>89.86</v>
      </c>
    </row>
    <row r="188" spans="2:5">
      <c r="B188" s="483" t="s">
        <v>2482</v>
      </c>
      <c r="C188" s="587">
        <v>135</v>
      </c>
      <c r="D188" s="585">
        <v>124</v>
      </c>
      <c r="E188" s="585">
        <v>91.12</v>
      </c>
    </row>
    <row r="189" spans="2:5">
      <c r="B189" s="483" t="s">
        <v>2483</v>
      </c>
      <c r="C189" s="587">
        <v>0</v>
      </c>
      <c r="D189" s="585">
        <v>0</v>
      </c>
      <c r="E189" s="585">
        <v>63.43</v>
      </c>
    </row>
    <row r="190" spans="2:5">
      <c r="B190" s="483" t="s">
        <v>2484</v>
      </c>
      <c r="C190" s="587">
        <v>185</v>
      </c>
      <c r="D190" s="585">
        <v>179</v>
      </c>
      <c r="E190" s="585">
        <v>180</v>
      </c>
    </row>
    <row r="191" spans="2:5">
      <c r="B191" s="483" t="s">
        <v>2731</v>
      </c>
      <c r="C191" s="587">
        <v>0</v>
      </c>
      <c r="D191" s="585">
        <v>0</v>
      </c>
      <c r="E191" s="585">
        <v>63.43</v>
      </c>
    </row>
    <row r="192" spans="2:5">
      <c r="B192" s="483" t="s">
        <v>2732</v>
      </c>
      <c r="C192" s="587">
        <v>135</v>
      </c>
      <c r="D192" s="585">
        <v>124</v>
      </c>
      <c r="E192" s="585">
        <v>180</v>
      </c>
    </row>
    <row r="193" spans="2:5">
      <c r="B193" s="483" t="s">
        <v>23</v>
      </c>
      <c r="C193" s="587">
        <v>0</v>
      </c>
      <c r="D193" s="585">
        <v>0</v>
      </c>
      <c r="E193" s="585">
        <v>85</v>
      </c>
    </row>
    <row r="194" spans="2:5">
      <c r="B194" s="483" t="s">
        <v>2487</v>
      </c>
      <c r="C194" s="587">
        <v>105</v>
      </c>
      <c r="D194" s="585">
        <v>91</v>
      </c>
      <c r="E194" s="585">
        <v>65</v>
      </c>
    </row>
    <row r="195" spans="2:5">
      <c r="B195" s="483" t="s">
        <v>2488</v>
      </c>
      <c r="C195" s="587">
        <v>105</v>
      </c>
      <c r="D195" s="585">
        <v>91</v>
      </c>
      <c r="E195" s="585">
        <v>65</v>
      </c>
    </row>
    <row r="196" spans="2:5">
      <c r="B196" s="483" t="s">
        <v>2489</v>
      </c>
      <c r="C196" s="587">
        <v>135</v>
      </c>
      <c r="D196" s="585">
        <v>124</v>
      </c>
      <c r="E196" s="585">
        <v>180</v>
      </c>
    </row>
    <row r="197" spans="2:5">
      <c r="B197" s="483" t="s">
        <v>2733</v>
      </c>
      <c r="C197" s="587">
        <v>105</v>
      </c>
      <c r="D197" s="587">
        <v>91</v>
      </c>
      <c r="E197" s="585">
        <v>64.61</v>
      </c>
    </row>
    <row r="198" spans="2:5">
      <c r="B198" s="483" t="s">
        <v>144</v>
      </c>
      <c r="C198" s="587">
        <v>0</v>
      </c>
      <c r="D198" s="585">
        <v>0</v>
      </c>
      <c r="E198" s="585">
        <v>0</v>
      </c>
    </row>
    <row r="199" spans="2:5">
      <c r="B199" s="483" t="s">
        <v>2734</v>
      </c>
      <c r="C199" s="587">
        <v>0</v>
      </c>
      <c r="D199" s="585">
        <v>0</v>
      </c>
      <c r="E199" s="585">
        <v>0</v>
      </c>
    </row>
    <row r="200" spans="2:5">
      <c r="B200" s="483" t="s">
        <v>22</v>
      </c>
      <c r="C200" s="587">
        <v>0</v>
      </c>
      <c r="D200" s="585">
        <v>0</v>
      </c>
      <c r="E200" s="585">
        <v>100.43</v>
      </c>
    </row>
    <row r="201" spans="2:5">
      <c r="B201" s="483" t="s">
        <v>23</v>
      </c>
      <c r="C201" s="587">
        <v>0</v>
      </c>
      <c r="D201" s="585">
        <v>0</v>
      </c>
      <c r="E201" s="585">
        <v>85</v>
      </c>
    </row>
    <row r="204" spans="2:5" ht="15">
      <c r="B204" s="483" t="s">
        <v>2735</v>
      </c>
      <c r="C204" s="587">
        <v>1.0780000000000001</v>
      </c>
      <c r="D204" s="424" t="s">
        <v>12</v>
      </c>
    </row>
    <row r="205" spans="2:5" ht="15">
      <c r="B205" s="483" t="s">
        <v>2736</v>
      </c>
      <c r="C205" s="587">
        <v>0.22</v>
      </c>
      <c r="D205" s="424" t="s">
        <v>12</v>
      </c>
    </row>
    <row r="208" spans="2:5">
      <c r="B208" s="483" t="s">
        <v>2738</v>
      </c>
      <c r="C208" s="483">
        <v>2.4</v>
      </c>
      <c r="D208" s="434" t="s">
        <v>21</v>
      </c>
    </row>
  </sheetData>
  <sheetProtection algorithmName="SHA-512" hashValue="Vvb/V5jWEaA7gQc01FMco9Na8wXWzjYzL/AygsXI5V58wTMiZrbcnQl7nKQHfGbGurfFWmAzwmkkqKEtok5Bmw==" saltValue="D4dMHoACVRL8CzT1BGPYRA==" spinCount="100000" sheet="1" objects="1" scenarios="1" autoFilter="0"/>
  <phoneticPr fontId="15" type="noConversion"/>
  <hyperlinks>
    <hyperlink ref="C2" location="CONTENTS!A1" display="Contents" xr:uid="{95C2B65B-BECA-4318-9CB4-F8E06E1B7681}"/>
  </hyperlink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I779"/>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defaultColWidth="8.7109375" defaultRowHeight="12.75"/>
  <cols>
    <col min="1" max="1" width="1.7109375" style="593" customWidth="1"/>
    <col min="2" max="2" width="1.7109375" style="594" customWidth="1"/>
    <col min="3" max="3" width="20.7109375" style="602" customWidth="1"/>
    <col min="4" max="4" width="17.28515625" style="602" bestFit="1" customWidth="1"/>
    <col min="5" max="5" width="60.7109375" style="603" customWidth="1"/>
    <col min="6" max="6" width="17" style="594" customWidth="1"/>
    <col min="7" max="7" width="11" style="594" customWidth="1"/>
    <col min="8" max="8" width="44.7109375" style="600" customWidth="1"/>
    <col min="9" max="9" width="77.42578125" style="597" customWidth="1"/>
    <col min="10" max="16384" width="8.7109375" style="571"/>
  </cols>
  <sheetData>
    <row r="1" spans="1:9" s="592" customFormat="1" ht="10.5" customHeight="1">
      <c r="A1" s="589"/>
      <c r="B1" s="590"/>
      <c r="C1" s="591">
        <v>1</v>
      </c>
      <c r="D1" s="591">
        <f>C1+1</f>
        <v>2</v>
      </c>
      <c r="E1" s="591">
        <f t="shared" ref="E1:I1" si="0">D1+1</f>
        <v>3</v>
      </c>
      <c r="F1" s="591">
        <f t="shared" si="0"/>
        <v>4</v>
      </c>
      <c r="G1" s="591">
        <f t="shared" si="0"/>
        <v>5</v>
      </c>
      <c r="H1" s="591">
        <f t="shared" si="0"/>
        <v>6</v>
      </c>
      <c r="I1" s="591">
        <f t="shared" si="0"/>
        <v>7</v>
      </c>
    </row>
    <row r="2" spans="1:9" ht="14.25">
      <c r="C2" s="433" t="s">
        <v>0</v>
      </c>
      <c r="D2" s="595"/>
      <c r="E2" s="596"/>
      <c r="H2" s="594"/>
    </row>
    <row r="3" spans="1:9" ht="18" customHeight="1">
      <c r="C3" s="286" t="s">
        <v>256</v>
      </c>
      <c r="D3" s="598" t="s">
        <v>516</v>
      </c>
      <c r="E3" s="599"/>
      <c r="F3" s="229" t="s">
        <v>517</v>
      </c>
    </row>
    <row r="4" spans="1:9" ht="65.25" customHeight="1">
      <c r="A4" s="601"/>
      <c r="B4" s="601"/>
      <c r="C4" s="601"/>
      <c r="D4" s="594"/>
      <c r="E4" s="601"/>
      <c r="F4" s="601"/>
      <c r="G4" s="230"/>
    </row>
    <row r="5" spans="1:9">
      <c r="E5" s="602"/>
      <c r="H5" s="603"/>
      <c r="I5" s="604"/>
    </row>
    <row r="6" spans="1:9">
      <c r="A6" s="593" t="s">
        <v>518</v>
      </c>
      <c r="C6" s="605" t="s">
        <v>27</v>
      </c>
      <c r="D6" s="606" t="s">
        <v>519</v>
      </c>
      <c r="E6" s="607" t="s">
        <v>520</v>
      </c>
      <c r="F6" s="607" t="s">
        <v>35</v>
      </c>
      <c r="G6" s="606" t="s">
        <v>2</v>
      </c>
      <c r="H6" s="608" t="s">
        <v>521</v>
      </c>
      <c r="I6" s="608" t="s">
        <v>522</v>
      </c>
    </row>
    <row r="7" spans="1:9">
      <c r="C7" s="609" t="str">
        <f>ELIGIBLE_MINING_ACTIVITIES</f>
        <v>1. Eligible Mining Activities</v>
      </c>
      <c r="D7" s="610"/>
      <c r="E7" s="611"/>
      <c r="F7" s="611"/>
      <c r="G7" s="612"/>
      <c r="H7" s="611"/>
      <c r="I7" s="613"/>
    </row>
    <row r="8" spans="1:9" ht="51">
      <c r="C8" s="614" t="s">
        <v>523</v>
      </c>
      <c r="D8" s="615" t="s">
        <v>524</v>
      </c>
      <c r="E8" s="616" t="s">
        <v>74</v>
      </c>
      <c r="F8" s="231">
        <v>2.7727146272402745</v>
      </c>
      <c r="G8" s="545" t="s">
        <v>36</v>
      </c>
      <c r="H8" s="616" t="s">
        <v>525</v>
      </c>
      <c r="I8" s="616" t="s">
        <v>3001</v>
      </c>
    </row>
    <row r="9" spans="1:9" ht="63.75">
      <c r="C9" s="614" t="s">
        <v>526</v>
      </c>
      <c r="D9" s="615" t="s">
        <v>524</v>
      </c>
      <c r="E9" s="616" t="s">
        <v>527</v>
      </c>
      <c r="F9" s="231">
        <v>216.28474125459849</v>
      </c>
      <c r="G9" s="545" t="s">
        <v>13</v>
      </c>
      <c r="H9" s="616" t="s">
        <v>528</v>
      </c>
      <c r="I9" s="616" t="s">
        <v>3002</v>
      </c>
    </row>
    <row r="10" spans="1:9" ht="51">
      <c r="C10" s="614" t="s">
        <v>529</v>
      </c>
      <c r="D10" s="615" t="s">
        <v>530</v>
      </c>
      <c r="E10" s="616" t="s">
        <v>531</v>
      </c>
      <c r="F10" s="231">
        <v>22</v>
      </c>
      <c r="G10" s="545" t="s">
        <v>13</v>
      </c>
      <c r="H10" s="616" t="s">
        <v>532</v>
      </c>
      <c r="I10" s="616" t="s">
        <v>3003</v>
      </c>
    </row>
    <row r="11" spans="1:9" ht="51">
      <c r="C11" s="614" t="s">
        <v>533</v>
      </c>
      <c r="D11" s="615" t="s">
        <v>530</v>
      </c>
      <c r="E11" s="616" t="s">
        <v>534</v>
      </c>
      <c r="F11" s="231">
        <v>24.200000000000003</v>
      </c>
      <c r="G11" s="545" t="s">
        <v>13</v>
      </c>
      <c r="H11" s="616" t="s">
        <v>535</v>
      </c>
      <c r="I11" s="616" t="s">
        <v>3004</v>
      </c>
    </row>
    <row r="12" spans="1:9" ht="63.75">
      <c r="C12" s="614" t="s">
        <v>536</v>
      </c>
      <c r="D12" s="615" t="s">
        <v>530</v>
      </c>
      <c r="E12" s="616" t="s">
        <v>537</v>
      </c>
      <c r="F12" s="231">
        <v>47.775250750387507</v>
      </c>
      <c r="G12" s="545" t="s">
        <v>11</v>
      </c>
      <c r="H12" s="616" t="s">
        <v>538</v>
      </c>
      <c r="I12" s="616" t="s">
        <v>3005</v>
      </c>
    </row>
    <row r="13" spans="1:9" ht="51">
      <c r="C13" s="614" t="s">
        <v>539</v>
      </c>
      <c r="D13" s="615" t="s">
        <v>530</v>
      </c>
      <c r="E13" s="616" t="s">
        <v>540</v>
      </c>
      <c r="F13" s="231">
        <v>21.395</v>
      </c>
      <c r="G13" s="545" t="s">
        <v>11</v>
      </c>
      <c r="H13" s="616" t="s">
        <v>541</v>
      </c>
      <c r="I13" s="616" t="s">
        <v>3006</v>
      </c>
    </row>
    <row r="14" spans="1:9" ht="51">
      <c r="C14" s="614" t="s">
        <v>542</v>
      </c>
      <c r="D14" s="615" t="s">
        <v>524</v>
      </c>
      <c r="E14" s="616" t="s">
        <v>543</v>
      </c>
      <c r="F14" s="231">
        <v>4.9842406321722104</v>
      </c>
      <c r="G14" s="545" t="s">
        <v>15</v>
      </c>
      <c r="H14" s="616" t="s">
        <v>544</v>
      </c>
      <c r="I14" s="616" t="s">
        <v>3007</v>
      </c>
    </row>
    <row r="15" spans="1:9" ht="51">
      <c r="C15" s="614" t="s">
        <v>545</v>
      </c>
      <c r="D15" s="615" t="s">
        <v>524</v>
      </c>
      <c r="E15" s="616" t="s">
        <v>546</v>
      </c>
      <c r="F15" s="231">
        <v>0.87695520790869952</v>
      </c>
      <c r="G15" s="545" t="s">
        <v>36</v>
      </c>
      <c r="H15" s="616" t="s">
        <v>547</v>
      </c>
      <c r="I15" s="616" t="s">
        <v>3008</v>
      </c>
    </row>
    <row r="16" spans="1:9" ht="76.5">
      <c r="C16" s="614" t="s">
        <v>548</v>
      </c>
      <c r="D16" s="615" t="s">
        <v>524</v>
      </c>
      <c r="E16" s="616" t="s">
        <v>549</v>
      </c>
      <c r="F16" s="231">
        <v>16.306625076315655</v>
      </c>
      <c r="G16" s="545" t="s">
        <v>36</v>
      </c>
      <c r="H16" s="616" t="s">
        <v>550</v>
      </c>
      <c r="I16" s="616" t="s">
        <v>3009</v>
      </c>
    </row>
    <row r="17" spans="3:9" ht="76.5">
      <c r="C17" s="614" t="s">
        <v>551</v>
      </c>
      <c r="D17" s="615" t="s">
        <v>524</v>
      </c>
      <c r="E17" s="616" t="s">
        <v>552</v>
      </c>
      <c r="F17" s="231">
        <v>19.63152877254964</v>
      </c>
      <c r="G17" s="545" t="s">
        <v>36</v>
      </c>
      <c r="H17" s="616" t="s">
        <v>550</v>
      </c>
      <c r="I17" s="616" t="s">
        <v>3010</v>
      </c>
    </row>
    <row r="18" spans="3:9" ht="63.75">
      <c r="C18" s="614" t="s">
        <v>553</v>
      </c>
      <c r="D18" s="615" t="s">
        <v>524</v>
      </c>
      <c r="E18" s="616" t="s">
        <v>554</v>
      </c>
      <c r="F18" s="231">
        <v>16.331625076315653</v>
      </c>
      <c r="G18" s="545" t="s">
        <v>36</v>
      </c>
      <c r="H18" s="616" t="s">
        <v>550</v>
      </c>
      <c r="I18" s="616" t="s">
        <v>3011</v>
      </c>
    </row>
    <row r="19" spans="3:9" ht="51">
      <c r="C19" s="614" t="s">
        <v>555</v>
      </c>
      <c r="D19" s="615" t="s">
        <v>524</v>
      </c>
      <c r="E19" s="616" t="s">
        <v>556</v>
      </c>
      <c r="F19" s="231">
        <v>4.590973492029697</v>
      </c>
      <c r="G19" s="545" t="s">
        <v>36</v>
      </c>
      <c r="H19" s="616" t="s">
        <v>550</v>
      </c>
      <c r="I19" s="616" t="s">
        <v>3012</v>
      </c>
    </row>
    <row r="20" spans="3:9" ht="51">
      <c r="C20" s="614" t="s">
        <v>557</v>
      </c>
      <c r="D20" s="615" t="s">
        <v>524</v>
      </c>
      <c r="E20" s="616" t="s">
        <v>558</v>
      </c>
      <c r="F20" s="231">
        <v>7.1058042169959883</v>
      </c>
      <c r="G20" s="545" t="s">
        <v>36</v>
      </c>
      <c r="H20" s="616" t="s">
        <v>550</v>
      </c>
      <c r="I20" s="616" t="s">
        <v>3013</v>
      </c>
    </row>
    <row r="21" spans="3:9" ht="63.75">
      <c r="C21" s="614" t="s">
        <v>559</v>
      </c>
      <c r="D21" s="615" t="s">
        <v>524</v>
      </c>
      <c r="E21" s="616" t="s">
        <v>560</v>
      </c>
      <c r="F21" s="231">
        <v>33.383636423182622</v>
      </c>
      <c r="G21" s="545" t="s">
        <v>36</v>
      </c>
      <c r="H21" s="616" t="s">
        <v>550</v>
      </c>
      <c r="I21" s="616" t="s">
        <v>3014</v>
      </c>
    </row>
    <row r="22" spans="3:9" ht="63.75">
      <c r="C22" s="614" t="s">
        <v>561</v>
      </c>
      <c r="D22" s="615" t="s">
        <v>524</v>
      </c>
      <c r="E22" s="616" t="s">
        <v>562</v>
      </c>
      <c r="F22" s="231">
        <v>19.69729618106193</v>
      </c>
      <c r="G22" s="545" t="s">
        <v>36</v>
      </c>
      <c r="H22" s="616" t="s">
        <v>550</v>
      </c>
      <c r="I22" s="616" t="s">
        <v>3015</v>
      </c>
    </row>
    <row r="23" spans="3:9" ht="63.75">
      <c r="C23" s="614" t="s">
        <v>563</v>
      </c>
      <c r="D23" s="615" t="s">
        <v>524</v>
      </c>
      <c r="E23" s="616" t="s">
        <v>564</v>
      </c>
      <c r="F23" s="231">
        <v>18.220945450936121</v>
      </c>
      <c r="G23" s="545" t="s">
        <v>36</v>
      </c>
      <c r="H23" s="616" t="s">
        <v>550</v>
      </c>
      <c r="I23" s="616" t="s">
        <v>3016</v>
      </c>
    </row>
    <row r="24" spans="3:9" ht="63.75">
      <c r="C24" s="614" t="s">
        <v>565</v>
      </c>
      <c r="D24" s="615" t="s">
        <v>524</v>
      </c>
      <c r="E24" s="616" t="s">
        <v>566</v>
      </c>
      <c r="F24" s="231">
        <v>125.45897627239363</v>
      </c>
      <c r="G24" s="545" t="s">
        <v>36</v>
      </c>
      <c r="H24" s="616" t="s">
        <v>550</v>
      </c>
      <c r="I24" s="616" t="s">
        <v>3017</v>
      </c>
    </row>
    <row r="25" spans="3:9" ht="51">
      <c r="C25" s="614" t="s">
        <v>567</v>
      </c>
      <c r="D25" s="615" t="s">
        <v>524</v>
      </c>
      <c r="E25" s="616" t="s">
        <v>568</v>
      </c>
      <c r="F25" s="231">
        <v>1.5469376056891913</v>
      </c>
      <c r="G25" s="545" t="s">
        <v>36</v>
      </c>
      <c r="H25" s="616" t="s">
        <v>550</v>
      </c>
      <c r="I25" s="616" t="s">
        <v>3018</v>
      </c>
    </row>
    <row r="26" spans="3:9" ht="51">
      <c r="C26" s="614" t="s">
        <v>569</v>
      </c>
      <c r="D26" s="615" t="s">
        <v>524</v>
      </c>
      <c r="E26" s="616" t="s">
        <v>570</v>
      </c>
      <c r="F26" s="231">
        <v>2.2573993370640308</v>
      </c>
      <c r="G26" s="545" t="s">
        <v>36</v>
      </c>
      <c r="H26" s="616" t="s">
        <v>550</v>
      </c>
      <c r="I26" s="616" t="s">
        <v>3019</v>
      </c>
    </row>
    <row r="27" spans="3:9" ht="51">
      <c r="C27" s="614" t="s">
        <v>571</v>
      </c>
      <c r="D27" s="615" t="s">
        <v>524</v>
      </c>
      <c r="E27" s="616" t="s">
        <v>572</v>
      </c>
      <c r="F27" s="231">
        <v>4.1936036537163623</v>
      </c>
      <c r="G27" s="545" t="s">
        <v>36</v>
      </c>
      <c r="H27" s="616" t="s">
        <v>550</v>
      </c>
      <c r="I27" s="616" t="s">
        <v>3020</v>
      </c>
    </row>
    <row r="28" spans="3:9" ht="63.75">
      <c r="C28" s="614" t="s">
        <v>573</v>
      </c>
      <c r="D28" s="615" t="s">
        <v>524</v>
      </c>
      <c r="E28" s="616" t="s">
        <v>574</v>
      </c>
      <c r="F28" s="231">
        <v>1995.77714198845</v>
      </c>
      <c r="G28" s="545" t="s">
        <v>575</v>
      </c>
      <c r="H28" s="616" t="s">
        <v>576</v>
      </c>
      <c r="I28" s="616" t="s">
        <v>3021</v>
      </c>
    </row>
    <row r="29" spans="3:9" ht="38.25">
      <c r="C29" s="614" t="s">
        <v>577</v>
      </c>
      <c r="D29" s="615" t="s">
        <v>524</v>
      </c>
      <c r="E29" s="616" t="s">
        <v>578</v>
      </c>
      <c r="F29" s="231">
        <v>10</v>
      </c>
      <c r="G29" s="545" t="s">
        <v>11</v>
      </c>
      <c r="H29" s="616" t="s">
        <v>579</v>
      </c>
      <c r="I29" s="616" t="s">
        <v>3022</v>
      </c>
    </row>
    <row r="30" spans="3:9" ht="76.5">
      <c r="C30" s="614" t="s">
        <v>580</v>
      </c>
      <c r="D30" s="615" t="s">
        <v>524</v>
      </c>
      <c r="E30" s="616" t="s">
        <v>581</v>
      </c>
      <c r="F30" s="231">
        <v>233.94632622483394</v>
      </c>
      <c r="G30" s="545" t="s">
        <v>582</v>
      </c>
      <c r="H30" s="616" t="s">
        <v>583</v>
      </c>
      <c r="I30" s="616" t="s">
        <v>3023</v>
      </c>
    </row>
    <row r="31" spans="3:9" ht="51">
      <c r="C31" s="614" t="s">
        <v>584</v>
      </c>
      <c r="D31" s="615" t="s">
        <v>524</v>
      </c>
      <c r="E31" s="616" t="s">
        <v>585</v>
      </c>
      <c r="F31" s="231">
        <v>0.34847694074333757</v>
      </c>
      <c r="G31" s="545" t="s">
        <v>36</v>
      </c>
      <c r="H31" s="616" t="s">
        <v>550</v>
      </c>
      <c r="I31" s="616" t="s">
        <v>3024</v>
      </c>
    </row>
    <row r="32" spans="3:9" ht="63.75">
      <c r="C32" s="614" t="s">
        <v>586</v>
      </c>
      <c r="D32" s="615" t="s">
        <v>524</v>
      </c>
      <c r="E32" s="616" t="s">
        <v>587</v>
      </c>
      <c r="F32" s="231">
        <v>3.4450578860610457</v>
      </c>
      <c r="G32" s="545" t="s">
        <v>36</v>
      </c>
      <c r="H32" s="616" t="s">
        <v>550</v>
      </c>
      <c r="I32" s="616" t="s">
        <v>3025</v>
      </c>
    </row>
    <row r="33" spans="3:9" ht="51">
      <c r="C33" s="614" t="s">
        <v>588</v>
      </c>
      <c r="D33" s="615" t="s">
        <v>524</v>
      </c>
      <c r="E33" s="616" t="s">
        <v>589</v>
      </c>
      <c r="F33" s="231">
        <v>258.9076105439126</v>
      </c>
      <c r="G33" s="545" t="s">
        <v>11</v>
      </c>
      <c r="H33" s="616" t="s">
        <v>590</v>
      </c>
      <c r="I33" s="616" t="s">
        <v>3026</v>
      </c>
    </row>
    <row r="34" spans="3:9" ht="51">
      <c r="C34" s="614" t="s">
        <v>591</v>
      </c>
      <c r="D34" s="615" t="s">
        <v>524</v>
      </c>
      <c r="E34" s="616" t="s">
        <v>592</v>
      </c>
      <c r="F34" s="231">
        <v>26857.115747312957</v>
      </c>
      <c r="G34" s="545" t="s">
        <v>593</v>
      </c>
      <c r="H34" s="616" t="s">
        <v>594</v>
      </c>
      <c r="I34" s="616" t="s">
        <v>3027</v>
      </c>
    </row>
    <row r="35" spans="3:9" ht="63.75">
      <c r="C35" s="614" t="s">
        <v>595</v>
      </c>
      <c r="D35" s="615" t="s">
        <v>524</v>
      </c>
      <c r="E35" s="616" t="s">
        <v>596</v>
      </c>
      <c r="F35" s="231">
        <v>7.3449333333333326</v>
      </c>
      <c r="G35" s="545" t="s">
        <v>36</v>
      </c>
      <c r="H35" s="616" t="s">
        <v>597</v>
      </c>
      <c r="I35" s="616" t="s">
        <v>3028</v>
      </c>
    </row>
    <row r="36" spans="3:9" ht="76.5">
      <c r="C36" s="614" t="s">
        <v>598</v>
      </c>
      <c r="D36" s="615" t="s">
        <v>524</v>
      </c>
      <c r="E36" s="616" t="s">
        <v>599</v>
      </c>
      <c r="F36" s="231">
        <v>2912.8400554616296</v>
      </c>
      <c r="G36" s="545" t="s">
        <v>154</v>
      </c>
      <c r="H36" s="616" t="s">
        <v>600</v>
      </c>
      <c r="I36" s="616" t="s">
        <v>3029</v>
      </c>
    </row>
    <row r="37" spans="3:9" ht="51">
      <c r="C37" s="614" t="s">
        <v>601</v>
      </c>
      <c r="D37" s="615" t="s">
        <v>524</v>
      </c>
      <c r="E37" s="616" t="s">
        <v>602</v>
      </c>
      <c r="F37" s="231">
        <v>4.5639563833552446</v>
      </c>
      <c r="G37" s="545" t="s">
        <v>36</v>
      </c>
      <c r="H37" s="616" t="s">
        <v>603</v>
      </c>
      <c r="I37" s="616" t="s">
        <v>3030</v>
      </c>
    </row>
    <row r="38" spans="3:9" ht="63.75">
      <c r="C38" s="614" t="s">
        <v>604</v>
      </c>
      <c r="D38" s="615" t="s">
        <v>524</v>
      </c>
      <c r="E38" s="616" t="s">
        <v>605</v>
      </c>
      <c r="F38" s="231">
        <v>0.16555</v>
      </c>
      <c r="G38" s="545" t="s">
        <v>36</v>
      </c>
      <c r="H38" s="616" t="s">
        <v>606</v>
      </c>
      <c r="I38" s="616" t="s">
        <v>3031</v>
      </c>
    </row>
    <row r="39" spans="3:9" ht="89.25">
      <c r="C39" s="614" t="s">
        <v>607</v>
      </c>
      <c r="D39" s="615" t="s">
        <v>524</v>
      </c>
      <c r="E39" s="616" t="s">
        <v>608</v>
      </c>
      <c r="F39" s="231">
        <v>0.41965000000000002</v>
      </c>
      <c r="G39" s="545" t="s">
        <v>36</v>
      </c>
      <c r="H39" s="616" t="s">
        <v>609</v>
      </c>
      <c r="I39" s="616" t="s">
        <v>3032</v>
      </c>
    </row>
    <row r="40" spans="3:9">
      <c r="C40" s="609" t="str">
        <f>_2._EXPLORATION</f>
        <v>2. Exploration</v>
      </c>
      <c r="D40" s="612"/>
      <c r="E40" s="611"/>
      <c r="F40" s="617"/>
      <c r="G40" s="612"/>
      <c r="H40" s="611"/>
      <c r="I40" s="611"/>
    </row>
    <row r="41" spans="3:9" ht="51">
      <c r="C41" s="614" t="s">
        <v>610</v>
      </c>
      <c r="D41" s="615" t="s">
        <v>611</v>
      </c>
      <c r="E41" s="616" t="s">
        <v>612</v>
      </c>
      <c r="F41" s="231">
        <v>1006.181121055433</v>
      </c>
      <c r="G41" s="545" t="s">
        <v>24</v>
      </c>
      <c r="H41" s="616" t="s">
        <v>613</v>
      </c>
      <c r="I41" s="616" t="s">
        <v>3033</v>
      </c>
    </row>
    <row r="42" spans="3:9" ht="51">
      <c r="C42" s="614" t="s">
        <v>614</v>
      </c>
      <c r="D42" s="615" t="s">
        <v>611</v>
      </c>
      <c r="E42" s="616" t="s">
        <v>615</v>
      </c>
      <c r="F42" s="231">
        <v>1895.531121055433</v>
      </c>
      <c r="G42" s="545" t="s">
        <v>24</v>
      </c>
      <c r="H42" s="616" t="s">
        <v>616</v>
      </c>
      <c r="I42" s="616" t="s">
        <v>3034</v>
      </c>
    </row>
    <row r="43" spans="3:9" ht="51">
      <c r="C43" s="614" t="s">
        <v>617</v>
      </c>
      <c r="D43" s="615" t="s">
        <v>611</v>
      </c>
      <c r="E43" s="616" t="s">
        <v>618</v>
      </c>
      <c r="F43" s="231">
        <v>426.75612105543297</v>
      </c>
      <c r="G43" s="545" t="s">
        <v>24</v>
      </c>
      <c r="H43" s="616" t="s">
        <v>619</v>
      </c>
      <c r="I43" s="616" t="s">
        <v>3035</v>
      </c>
    </row>
    <row r="44" spans="3:9" ht="51">
      <c r="C44" s="614" t="s">
        <v>620</v>
      </c>
      <c r="D44" s="615" t="s">
        <v>611</v>
      </c>
      <c r="E44" s="616" t="s">
        <v>612</v>
      </c>
      <c r="F44" s="231">
        <v>2874.8032030155227</v>
      </c>
      <c r="G44" s="545" t="s">
        <v>95</v>
      </c>
      <c r="H44" s="616" t="s">
        <v>621</v>
      </c>
      <c r="I44" s="616" t="s">
        <v>3033</v>
      </c>
    </row>
    <row r="45" spans="3:9" ht="63.75">
      <c r="C45" s="614" t="s">
        <v>622</v>
      </c>
      <c r="D45" s="615" t="s">
        <v>611</v>
      </c>
      <c r="E45" s="616" t="s">
        <v>615</v>
      </c>
      <c r="F45" s="231">
        <v>5415.8032030155227</v>
      </c>
      <c r="G45" s="545" t="s">
        <v>95</v>
      </c>
      <c r="H45" s="616" t="s">
        <v>623</v>
      </c>
      <c r="I45" s="616" t="s">
        <v>3034</v>
      </c>
    </row>
    <row r="46" spans="3:9" ht="63.75">
      <c r="C46" s="614" t="s">
        <v>624</v>
      </c>
      <c r="D46" s="615" t="s">
        <v>611</v>
      </c>
      <c r="E46" s="616" t="s">
        <v>618</v>
      </c>
      <c r="F46" s="231">
        <v>1219.3032030155227</v>
      </c>
      <c r="G46" s="545" t="s">
        <v>95</v>
      </c>
      <c r="H46" s="616" t="s">
        <v>625</v>
      </c>
      <c r="I46" s="616" t="s">
        <v>3035</v>
      </c>
    </row>
    <row r="47" spans="3:9" ht="63.75">
      <c r="C47" s="614" t="s">
        <v>626</v>
      </c>
      <c r="D47" s="615" t="s">
        <v>611</v>
      </c>
      <c r="E47" s="616" t="str">
        <f>Lists!B123</f>
        <v>Track, Earthen, No replace, 3 m wide, Pasture</v>
      </c>
      <c r="F47" s="231">
        <v>616.69783722653074</v>
      </c>
      <c r="G47" s="232" t="s">
        <v>24</v>
      </c>
      <c r="H47" s="2" t="s">
        <v>627</v>
      </c>
      <c r="I47" s="616" t="s">
        <v>3036</v>
      </c>
    </row>
    <row r="48" spans="3:9" ht="63.75">
      <c r="C48" s="614" t="s">
        <v>629</v>
      </c>
      <c r="D48" s="615" t="s">
        <v>611</v>
      </c>
      <c r="E48" s="616" t="str">
        <f>Lists!B124</f>
        <v>Track, Earthen, No replace, 3 m wide, Native</v>
      </c>
      <c r="F48" s="231">
        <v>1378.9978372265309</v>
      </c>
      <c r="G48" s="232" t="s">
        <v>24</v>
      </c>
      <c r="H48" s="2" t="s">
        <v>630</v>
      </c>
      <c r="I48" s="616" t="s">
        <v>3037</v>
      </c>
    </row>
    <row r="49" spans="3:9" ht="63.75">
      <c r="C49" s="614" t="s">
        <v>631</v>
      </c>
      <c r="D49" s="615" t="s">
        <v>611</v>
      </c>
      <c r="E49" s="616" t="str">
        <f>Lists!B125</f>
        <v>Track, Earthen, No replace, 3 m wide, Arid</v>
      </c>
      <c r="F49" s="231">
        <v>120.04783722653082</v>
      </c>
      <c r="G49" s="232" t="s">
        <v>24</v>
      </c>
      <c r="H49" s="2" t="s">
        <v>632</v>
      </c>
      <c r="I49" s="616" t="s">
        <v>3038</v>
      </c>
    </row>
    <row r="50" spans="3:9" ht="63.75">
      <c r="C50" s="614" t="s">
        <v>633</v>
      </c>
      <c r="D50" s="615" t="s">
        <v>611</v>
      </c>
      <c r="E50" s="616" t="str">
        <f>Lists!B126</f>
        <v>Track, Earthen, No replace, 6 m wide, Pasture</v>
      </c>
      <c r="F50" s="231">
        <v>1233.3956744530615</v>
      </c>
      <c r="G50" s="232" t="s">
        <v>24</v>
      </c>
      <c r="H50" s="2" t="s">
        <v>627</v>
      </c>
      <c r="I50" s="616" t="s">
        <v>3039</v>
      </c>
    </row>
    <row r="51" spans="3:9" ht="63.75">
      <c r="C51" s="614" t="s">
        <v>634</v>
      </c>
      <c r="D51" s="615" t="s">
        <v>611</v>
      </c>
      <c r="E51" s="616" t="str">
        <f>Lists!B127</f>
        <v>Track, Earthen, No replace, 6 m wide, Native</v>
      </c>
      <c r="F51" s="231">
        <v>2757.9956744530618</v>
      </c>
      <c r="G51" s="232" t="s">
        <v>24</v>
      </c>
      <c r="H51" s="2" t="s">
        <v>630</v>
      </c>
      <c r="I51" s="616" t="s">
        <v>3037</v>
      </c>
    </row>
    <row r="52" spans="3:9" ht="63.75">
      <c r="C52" s="614" t="s">
        <v>635</v>
      </c>
      <c r="D52" s="615" t="s">
        <v>611</v>
      </c>
      <c r="E52" s="616" t="str">
        <f>Lists!B128</f>
        <v>Track, Earthen, No replace, 6 m wide, Arid</v>
      </c>
      <c r="F52" s="231">
        <v>240.09567445306163</v>
      </c>
      <c r="G52" s="232" t="s">
        <v>24</v>
      </c>
      <c r="H52" s="2" t="s">
        <v>632</v>
      </c>
      <c r="I52" s="616" t="s">
        <v>3038</v>
      </c>
    </row>
    <row r="53" spans="3:9" ht="63.75">
      <c r="C53" s="614" t="s">
        <v>636</v>
      </c>
      <c r="D53" s="615" t="s">
        <v>611</v>
      </c>
      <c r="E53" s="616" t="str">
        <f>Lists!B159</f>
        <v>Track, Pasture, Earthen, No replace</v>
      </c>
      <c r="F53" s="231">
        <v>2055.6594574217693</v>
      </c>
      <c r="G53" s="232" t="s">
        <v>95</v>
      </c>
      <c r="H53" s="2" t="s">
        <v>637</v>
      </c>
      <c r="I53" s="616" t="s">
        <v>3040</v>
      </c>
    </row>
    <row r="54" spans="3:9" ht="51">
      <c r="C54" s="614" t="s">
        <v>638</v>
      </c>
      <c r="D54" s="615" t="s">
        <v>611</v>
      </c>
      <c r="E54" s="616" t="str">
        <f>Lists!B160</f>
        <v>Track, Native, Earthen, No replace</v>
      </c>
      <c r="F54" s="231">
        <v>4596.6594574217697</v>
      </c>
      <c r="G54" s="232" t="s">
        <v>95</v>
      </c>
      <c r="H54" s="2" t="s">
        <v>639</v>
      </c>
      <c r="I54" s="616" t="s">
        <v>3041</v>
      </c>
    </row>
    <row r="55" spans="3:9" ht="51">
      <c r="C55" s="614" t="s">
        <v>640</v>
      </c>
      <c r="D55" s="615" t="s">
        <v>611</v>
      </c>
      <c r="E55" s="616" t="str">
        <f>Lists!B161</f>
        <v>Track, Arid, Earthen, No replace</v>
      </c>
      <c r="F55" s="231">
        <v>400.15945742176939</v>
      </c>
      <c r="G55" s="232" t="s">
        <v>95</v>
      </c>
      <c r="H55" s="2" t="s">
        <v>641</v>
      </c>
      <c r="I55" s="616" t="s">
        <v>3042</v>
      </c>
    </row>
    <row r="56" spans="3:9" ht="38.25">
      <c r="C56" s="614" t="s">
        <v>642</v>
      </c>
      <c r="D56" s="615" t="s">
        <v>611</v>
      </c>
      <c r="E56" s="618" t="str">
        <f>Lists!B562</f>
        <v>Water Supply / Monitoring bore hole plugging</v>
      </c>
      <c r="F56" s="586">
        <v>238.28474125459849</v>
      </c>
      <c r="G56" s="570" t="s">
        <v>643</v>
      </c>
      <c r="H56" s="2" t="s">
        <v>644</v>
      </c>
      <c r="I56" s="616" t="s">
        <v>3043</v>
      </c>
    </row>
    <row r="57" spans="3:9" ht="38.25">
      <c r="C57" s="614" t="s">
        <v>645</v>
      </c>
      <c r="D57" s="615" t="s">
        <v>611</v>
      </c>
      <c r="E57" s="618" t="str">
        <f>Lists!B563</f>
        <v>Exploration bore hole plugging</v>
      </c>
      <c r="F57" s="586">
        <v>238.28474125459849</v>
      </c>
      <c r="G57" s="570" t="s">
        <v>643</v>
      </c>
      <c r="H57" s="2" t="s">
        <v>644</v>
      </c>
      <c r="I57" s="616" t="s">
        <v>3044</v>
      </c>
    </row>
    <row r="58" spans="3:9" ht="63.75">
      <c r="C58" s="614" t="s">
        <v>646</v>
      </c>
      <c r="D58" s="615" t="s">
        <v>611</v>
      </c>
      <c r="E58" s="618" t="str">
        <f>Lists!B564</f>
        <v>Water supply bore hole backfilling with cuttings</v>
      </c>
      <c r="F58" s="586">
        <v>618.07206050234822</v>
      </c>
      <c r="G58" s="570" t="s">
        <v>643</v>
      </c>
      <c r="H58" s="2" t="s">
        <v>647</v>
      </c>
      <c r="I58" s="616" t="s">
        <v>3044</v>
      </c>
    </row>
    <row r="59" spans="3:9" ht="63.75">
      <c r="C59" s="614" t="s">
        <v>648</v>
      </c>
      <c r="D59" s="615" t="s">
        <v>611</v>
      </c>
      <c r="E59" s="618" t="str">
        <f>Lists!B565</f>
        <v>Monitoring bore hole backfilling with cuttings</v>
      </c>
      <c r="F59" s="586">
        <v>618.07206050234822</v>
      </c>
      <c r="G59" s="570" t="s">
        <v>643</v>
      </c>
      <c r="H59" s="2" t="s">
        <v>647</v>
      </c>
      <c r="I59" s="616" t="s">
        <v>3045</v>
      </c>
    </row>
    <row r="60" spans="3:9" ht="63.75">
      <c r="C60" s="614" t="s">
        <v>649</v>
      </c>
      <c r="D60" s="615" t="s">
        <v>611</v>
      </c>
      <c r="E60" s="618" t="str">
        <f>Lists!B566</f>
        <v>Exploration bore hole backfilling with cuttings</v>
      </c>
      <c r="F60" s="586">
        <v>618.07206050234822</v>
      </c>
      <c r="G60" s="570" t="s">
        <v>643</v>
      </c>
      <c r="H60" s="2" t="s">
        <v>647</v>
      </c>
      <c r="I60" s="616" t="s">
        <v>3045</v>
      </c>
    </row>
    <row r="61" spans="3:9" ht="51">
      <c r="C61" s="614" t="s">
        <v>650</v>
      </c>
      <c r="D61" s="615" t="s">
        <v>611</v>
      </c>
      <c r="E61" s="618" t="str">
        <f>Lists!B567</f>
        <v>Water supply bore hole grouting</v>
      </c>
      <c r="F61" s="586">
        <v>2090.6936168725638</v>
      </c>
      <c r="G61" s="570" t="s">
        <v>643</v>
      </c>
      <c r="H61" s="2" t="s">
        <v>651</v>
      </c>
      <c r="I61" s="616" t="s">
        <v>3046</v>
      </c>
    </row>
    <row r="62" spans="3:9" ht="51">
      <c r="C62" s="614" t="s">
        <v>652</v>
      </c>
      <c r="D62" s="615" t="s">
        <v>611</v>
      </c>
      <c r="E62" s="618" t="str">
        <f>Lists!B568</f>
        <v>Monitoring bore hole grouting</v>
      </c>
      <c r="F62" s="586">
        <v>2090.6936168725638</v>
      </c>
      <c r="G62" s="570" t="s">
        <v>643</v>
      </c>
      <c r="H62" s="2" t="s">
        <v>651</v>
      </c>
      <c r="I62" s="616" t="s">
        <v>3046</v>
      </c>
    </row>
    <row r="63" spans="3:9" ht="51">
      <c r="C63" s="614" t="s">
        <v>653</v>
      </c>
      <c r="D63" s="615" t="s">
        <v>611</v>
      </c>
      <c r="E63" s="618" t="str">
        <f>Lists!B569</f>
        <v>Water reinjection bore hole grouting</v>
      </c>
      <c r="F63" s="586">
        <v>6901.2573676819347</v>
      </c>
      <c r="G63" s="570" t="s">
        <v>643</v>
      </c>
      <c r="H63" s="2" t="s">
        <v>651</v>
      </c>
      <c r="I63" s="616" t="s">
        <v>3046</v>
      </c>
    </row>
    <row r="64" spans="3:9" ht="51">
      <c r="C64" s="614" t="s">
        <v>654</v>
      </c>
      <c r="D64" s="615" t="s">
        <v>611</v>
      </c>
      <c r="E64" s="618" t="str">
        <f>Lists!B570</f>
        <v>Exploration bore hole grouting (coal / mineral sands / large impact drilling)</v>
      </c>
      <c r="F64" s="586">
        <v>2738.6471016754585</v>
      </c>
      <c r="G64" s="570" t="s">
        <v>643</v>
      </c>
      <c r="H64" s="2" t="s">
        <v>651</v>
      </c>
      <c r="I64" s="616" t="s">
        <v>3046</v>
      </c>
    </row>
    <row r="65" spans="3:9" ht="51">
      <c r="C65" s="614" t="s">
        <v>655</v>
      </c>
      <c r="D65" s="615" t="s">
        <v>611</v>
      </c>
      <c r="E65" s="618" t="str">
        <f>Lists!B571</f>
        <v>Exploration bore hole grouting (metalliferous / low impact drilling)</v>
      </c>
      <c r="F65" s="586">
        <v>1560.5498565792861</v>
      </c>
      <c r="G65" s="570" t="s">
        <v>643</v>
      </c>
      <c r="H65" s="2" t="s">
        <v>651</v>
      </c>
      <c r="I65" s="616" t="s">
        <v>3046</v>
      </c>
    </row>
    <row r="66" spans="3:9" ht="51">
      <c r="C66" s="614" t="s">
        <v>656</v>
      </c>
      <c r="D66" s="615" t="s">
        <v>611</v>
      </c>
      <c r="E66" s="618" t="str">
        <f>Lists!B572</f>
        <v>Exploration sumps</v>
      </c>
      <c r="F66" s="231">
        <v>372.17031350694629</v>
      </c>
      <c r="G66" s="545" t="s">
        <v>657</v>
      </c>
      <c r="H66" s="616" t="s">
        <v>658</v>
      </c>
      <c r="I66" s="616" t="s">
        <v>3047</v>
      </c>
    </row>
    <row r="67" spans="3:9" ht="89.25">
      <c r="C67" s="614" t="s">
        <v>659</v>
      </c>
      <c r="D67" s="615" t="s">
        <v>611</v>
      </c>
      <c r="E67" s="618" t="str">
        <f>Lists!B455</f>
        <v>Lined &gt; 0 and &lt;= 1 ML</v>
      </c>
      <c r="F67" s="231">
        <v>80000</v>
      </c>
      <c r="G67" s="545" t="s">
        <v>95</v>
      </c>
      <c r="H67" s="616" t="s">
        <v>660</v>
      </c>
      <c r="I67" s="616" t="s">
        <v>3048</v>
      </c>
    </row>
    <row r="68" spans="3:9" ht="89.25">
      <c r="C68" s="614" t="s">
        <v>661</v>
      </c>
      <c r="D68" s="615" t="s">
        <v>611</v>
      </c>
      <c r="E68" s="618" t="str">
        <f>Lists!B456</f>
        <v>Lined &gt; 1 and &lt;= 3.5 ML</v>
      </c>
      <c r="F68" s="231">
        <v>78000</v>
      </c>
      <c r="G68" s="545" t="s">
        <v>95</v>
      </c>
      <c r="H68" s="616" t="s">
        <v>660</v>
      </c>
      <c r="I68" s="616" t="s">
        <v>3048</v>
      </c>
    </row>
    <row r="69" spans="3:9" ht="89.25">
      <c r="C69" s="614" t="s">
        <v>662</v>
      </c>
      <c r="D69" s="615" t="s">
        <v>611</v>
      </c>
      <c r="E69" s="618" t="str">
        <f>Lists!B457</f>
        <v>Lined &gt; 3.5 and &lt;= 7.5 ML</v>
      </c>
      <c r="F69" s="231">
        <v>75000</v>
      </c>
      <c r="G69" s="545" t="s">
        <v>95</v>
      </c>
      <c r="H69" s="616" t="s">
        <v>660</v>
      </c>
      <c r="I69" s="616" t="s">
        <v>3048</v>
      </c>
    </row>
    <row r="70" spans="3:9" ht="89.25">
      <c r="C70" s="614" t="s">
        <v>663</v>
      </c>
      <c r="D70" s="615" t="s">
        <v>611</v>
      </c>
      <c r="E70" s="618" t="str">
        <f>Lists!B458</f>
        <v>Lined &gt; 7.5 and &lt;= 10 ML</v>
      </c>
      <c r="F70" s="231">
        <v>74000</v>
      </c>
      <c r="G70" s="545" t="s">
        <v>95</v>
      </c>
      <c r="H70" s="616" t="s">
        <v>660</v>
      </c>
      <c r="I70" s="616" t="s">
        <v>3048</v>
      </c>
    </row>
    <row r="71" spans="3:9" ht="89.25">
      <c r="C71" s="614" t="s">
        <v>664</v>
      </c>
      <c r="D71" s="615" t="s">
        <v>611</v>
      </c>
      <c r="E71" s="618" t="str">
        <f>Lists!B459</f>
        <v>Lined &gt; 10 and &lt;= 20 ML</v>
      </c>
      <c r="F71" s="231">
        <v>70000</v>
      </c>
      <c r="G71" s="545" t="s">
        <v>95</v>
      </c>
      <c r="H71" s="616" t="s">
        <v>660</v>
      </c>
      <c r="I71" s="616" t="s">
        <v>3048</v>
      </c>
    </row>
    <row r="72" spans="3:9" ht="89.25">
      <c r="C72" s="614" t="s">
        <v>665</v>
      </c>
      <c r="D72" s="615" t="s">
        <v>611</v>
      </c>
      <c r="E72" s="618" t="str">
        <f>Lists!B460</f>
        <v>Lined &gt; 20 and &lt;= 50 ML</v>
      </c>
      <c r="F72" s="231">
        <v>65000</v>
      </c>
      <c r="G72" s="545" t="s">
        <v>95</v>
      </c>
      <c r="H72" s="616" t="s">
        <v>660</v>
      </c>
      <c r="I72" s="616" t="s">
        <v>3048</v>
      </c>
    </row>
    <row r="73" spans="3:9" ht="89.25">
      <c r="C73" s="614" t="s">
        <v>666</v>
      </c>
      <c r="D73" s="615" t="s">
        <v>611</v>
      </c>
      <c r="E73" s="618" t="str">
        <f>Lists!B461</f>
        <v>Lined &gt; 50 and &lt;= 100 ML</v>
      </c>
      <c r="F73" s="231">
        <v>63500</v>
      </c>
      <c r="G73" s="545" t="s">
        <v>95</v>
      </c>
      <c r="H73" s="616" t="s">
        <v>660</v>
      </c>
      <c r="I73" s="616" t="s">
        <v>3048</v>
      </c>
    </row>
    <row r="74" spans="3:9" ht="89.25">
      <c r="C74" s="614" t="s">
        <v>667</v>
      </c>
      <c r="D74" s="615" t="s">
        <v>611</v>
      </c>
      <c r="E74" s="618" t="str">
        <f>Lists!B462</f>
        <v>Unlined &gt; 0 and &lt;= 1 ML</v>
      </c>
      <c r="F74" s="231">
        <v>50000</v>
      </c>
      <c r="G74" s="545" t="s">
        <v>95</v>
      </c>
      <c r="H74" s="616" t="s">
        <v>660</v>
      </c>
      <c r="I74" s="616" t="s">
        <v>3049</v>
      </c>
    </row>
    <row r="75" spans="3:9" ht="89.25">
      <c r="C75" s="614" t="s">
        <v>106</v>
      </c>
      <c r="D75" s="615" t="s">
        <v>611</v>
      </c>
      <c r="E75" s="618" t="str">
        <f>Lists!B463</f>
        <v>Unlined &gt; 1 and &lt;= 3.5 ML</v>
      </c>
      <c r="F75" s="231">
        <v>49000</v>
      </c>
      <c r="G75" s="545" t="s">
        <v>95</v>
      </c>
      <c r="H75" s="616" t="s">
        <v>660</v>
      </c>
      <c r="I75" s="616" t="s">
        <v>3049</v>
      </c>
    </row>
    <row r="76" spans="3:9" ht="89.25">
      <c r="C76" s="614" t="s">
        <v>107</v>
      </c>
      <c r="D76" s="615" t="s">
        <v>611</v>
      </c>
      <c r="E76" s="618" t="str">
        <f>Lists!B464</f>
        <v>Unlined &gt; 3.5 and &lt;= 7.5 ML</v>
      </c>
      <c r="F76" s="231">
        <v>47000</v>
      </c>
      <c r="G76" s="545" t="s">
        <v>95</v>
      </c>
      <c r="H76" s="616" t="s">
        <v>660</v>
      </c>
      <c r="I76" s="616" t="s">
        <v>3049</v>
      </c>
    </row>
    <row r="77" spans="3:9" ht="89.25">
      <c r="C77" s="614" t="s">
        <v>108</v>
      </c>
      <c r="D77" s="615" t="s">
        <v>611</v>
      </c>
      <c r="E77" s="618" t="str">
        <f>Lists!B465</f>
        <v>Unlined &gt; 7.5 and &lt;= 10 ML</v>
      </c>
      <c r="F77" s="231">
        <v>45000</v>
      </c>
      <c r="G77" s="545" t="s">
        <v>95</v>
      </c>
      <c r="H77" s="616" t="s">
        <v>660</v>
      </c>
      <c r="I77" s="616" t="s">
        <v>3049</v>
      </c>
    </row>
    <row r="78" spans="3:9" ht="89.25">
      <c r="C78" s="614" t="s">
        <v>109</v>
      </c>
      <c r="D78" s="615" t="s">
        <v>611</v>
      </c>
      <c r="E78" s="618" t="str">
        <f>Lists!B466</f>
        <v>Unlined &gt; 10 and &lt;= 20 ML</v>
      </c>
      <c r="F78" s="231">
        <v>43000</v>
      </c>
      <c r="G78" s="545" t="s">
        <v>95</v>
      </c>
      <c r="H78" s="616" t="s">
        <v>660</v>
      </c>
      <c r="I78" s="616" t="s">
        <v>3049</v>
      </c>
    </row>
    <row r="79" spans="3:9" ht="89.25">
      <c r="C79" s="614" t="s">
        <v>110</v>
      </c>
      <c r="D79" s="615" t="s">
        <v>611</v>
      </c>
      <c r="E79" s="618" t="str">
        <f>Lists!B467</f>
        <v>Unlined &gt; 20 and &lt;= 50 ML</v>
      </c>
      <c r="F79" s="231">
        <v>38000</v>
      </c>
      <c r="G79" s="545" t="s">
        <v>95</v>
      </c>
      <c r="H79" s="616" t="s">
        <v>660</v>
      </c>
      <c r="I79" s="616" t="s">
        <v>3049</v>
      </c>
    </row>
    <row r="80" spans="3:9" ht="89.25">
      <c r="C80" s="614" t="s">
        <v>668</v>
      </c>
      <c r="D80" s="615" t="s">
        <v>611</v>
      </c>
      <c r="E80" s="618" t="str">
        <f>Lists!B468</f>
        <v>Unlined &gt; 50 and &lt;= 100 ML</v>
      </c>
      <c r="F80" s="231">
        <v>36000</v>
      </c>
      <c r="G80" s="545" t="s">
        <v>95</v>
      </c>
      <c r="H80" s="616" t="s">
        <v>660</v>
      </c>
      <c r="I80" s="616" t="s">
        <v>3049</v>
      </c>
    </row>
    <row r="81" spans="3:9" ht="63.75">
      <c r="C81" s="614" t="s">
        <v>669</v>
      </c>
      <c r="D81" s="615" t="s">
        <v>611</v>
      </c>
      <c r="E81" s="616" t="s">
        <v>670</v>
      </c>
      <c r="F81" s="231">
        <v>1858.2057635511212</v>
      </c>
      <c r="G81" s="545" t="s">
        <v>95</v>
      </c>
      <c r="H81" s="616" t="s">
        <v>671</v>
      </c>
      <c r="I81" s="616" t="s">
        <v>3050</v>
      </c>
    </row>
    <row r="82" spans="3:9" ht="63.75">
      <c r="C82" s="614" t="s">
        <v>672</v>
      </c>
      <c r="D82" s="615" t="s">
        <v>611</v>
      </c>
      <c r="E82" s="616" t="s">
        <v>673</v>
      </c>
      <c r="F82" s="231">
        <v>4399.205763551121</v>
      </c>
      <c r="G82" s="545" t="s">
        <v>95</v>
      </c>
      <c r="H82" s="616" t="s">
        <v>674</v>
      </c>
      <c r="I82" s="616" t="s">
        <v>3051</v>
      </c>
    </row>
    <row r="83" spans="3:9" ht="76.5">
      <c r="C83" s="614" t="s">
        <v>675</v>
      </c>
      <c r="D83" s="615" t="s">
        <v>611</v>
      </c>
      <c r="E83" s="616" t="s">
        <v>676</v>
      </c>
      <c r="F83" s="231">
        <v>202.70576355112124</v>
      </c>
      <c r="G83" s="545" t="s">
        <v>95</v>
      </c>
      <c r="H83" s="616" t="s">
        <v>677</v>
      </c>
      <c r="I83" s="616" t="s">
        <v>3052</v>
      </c>
    </row>
    <row r="84" spans="3:9">
      <c r="C84" s="609" t="str">
        <f>_3._INFRASTRUCTURE</f>
        <v>3. Infrastructure</v>
      </c>
      <c r="D84" s="610"/>
      <c r="E84" s="611"/>
      <c r="F84" s="617"/>
      <c r="G84" s="612"/>
      <c r="H84" s="611"/>
      <c r="I84" s="611"/>
    </row>
    <row r="85" spans="3:9" ht="51">
      <c r="C85" s="614" t="s">
        <v>678</v>
      </c>
      <c r="D85" s="615" t="s">
        <v>679</v>
      </c>
      <c r="E85" s="618" t="s">
        <v>680</v>
      </c>
      <c r="F85" s="36">
        <v>38500</v>
      </c>
      <c r="G85" s="570" t="s">
        <v>178</v>
      </c>
      <c r="H85" s="2" t="s">
        <v>681</v>
      </c>
      <c r="I85" s="616" t="s">
        <v>3053</v>
      </c>
    </row>
    <row r="86" spans="3:9" ht="102">
      <c r="C86" s="614" t="s">
        <v>682</v>
      </c>
      <c r="D86" s="615" t="s">
        <v>679</v>
      </c>
      <c r="E86" s="618" t="s">
        <v>683</v>
      </c>
      <c r="F86" s="36">
        <v>11000</v>
      </c>
      <c r="G86" s="570" t="s">
        <v>178</v>
      </c>
      <c r="H86" s="2" t="s">
        <v>684</v>
      </c>
      <c r="I86" s="616" t="s">
        <v>3054</v>
      </c>
    </row>
    <row r="87" spans="3:9" ht="63.75">
      <c r="C87" s="614" t="s">
        <v>685</v>
      </c>
      <c r="D87" s="615" t="s">
        <v>679</v>
      </c>
      <c r="E87" s="616" t="str">
        <f>Lists!B123</f>
        <v>Track, Earthen, No replace, 3 m wide, Pasture</v>
      </c>
      <c r="F87" s="231">
        <v>616.69783722653074</v>
      </c>
      <c r="G87" s="232" t="s">
        <v>24</v>
      </c>
      <c r="H87" s="2" t="str">
        <f>H47</f>
        <v xml:space="preserve">
Enter total length of track in pasture land requiring rehabilitation. Use for tracks of width shown in Activity / Description column.
</v>
      </c>
      <c r="I87" s="2" t="s">
        <v>3036</v>
      </c>
    </row>
    <row r="88" spans="3:9" ht="63.75">
      <c r="C88" s="614" t="s">
        <v>686</v>
      </c>
      <c r="D88" s="615" t="s">
        <v>679</v>
      </c>
      <c r="E88" s="616" t="str">
        <f>Lists!B124</f>
        <v>Track, Earthen, No replace, 3 m wide, Native</v>
      </c>
      <c r="F88" s="231">
        <v>1378.9978372265309</v>
      </c>
      <c r="G88" s="545" t="s">
        <v>24</v>
      </c>
      <c r="H88" s="2" t="str">
        <f t="shared" ref="H88" si="1">H48</f>
        <v xml:space="preserve">
Enter total length of track in native land requiring rehabilitation. Use for tracks of width shown in Activity / Description column.
</v>
      </c>
      <c r="I88" s="2" t="s">
        <v>3037</v>
      </c>
    </row>
    <row r="89" spans="3:9" ht="63.75">
      <c r="C89" s="614" t="s">
        <v>687</v>
      </c>
      <c r="D89" s="615" t="s">
        <v>679</v>
      </c>
      <c r="E89" s="616" t="str">
        <f>Lists!B125</f>
        <v>Track, Earthen, No replace, 3 m wide, Arid</v>
      </c>
      <c r="F89" s="231">
        <v>120.04783722653082</v>
      </c>
      <c r="G89" s="545" t="s">
        <v>24</v>
      </c>
      <c r="H89" s="2" t="str">
        <f t="shared" ref="H89" si="2">H49</f>
        <v xml:space="preserve">
Enter total length of track in arid land requiring rehabilitation. Use for tracks of width shown in Activity / Description column.
</v>
      </c>
      <c r="I89" s="2" t="s">
        <v>3038</v>
      </c>
    </row>
    <row r="90" spans="3:9" ht="63.75">
      <c r="C90" s="614" t="s">
        <v>688</v>
      </c>
      <c r="D90" s="615" t="s">
        <v>679</v>
      </c>
      <c r="E90" s="616" t="str">
        <f>Lists!B126</f>
        <v>Track, Earthen, No replace, 6 m wide, Pasture</v>
      </c>
      <c r="F90" s="231">
        <v>1233.3956744530615</v>
      </c>
      <c r="G90" s="545" t="s">
        <v>24</v>
      </c>
      <c r="H90" s="2" t="str">
        <f t="shared" ref="H90" si="3">H50</f>
        <v xml:space="preserve">
Enter total length of track in pasture land requiring rehabilitation. Use for tracks of width shown in Activity / Description column.
</v>
      </c>
      <c r="I90" s="2" t="s">
        <v>3039</v>
      </c>
    </row>
    <row r="91" spans="3:9" ht="63.75">
      <c r="C91" s="614" t="s">
        <v>689</v>
      </c>
      <c r="D91" s="615" t="s">
        <v>679</v>
      </c>
      <c r="E91" s="616" t="str">
        <f>Lists!B127</f>
        <v>Track, Earthen, No replace, 6 m wide, Native</v>
      </c>
      <c r="F91" s="231">
        <v>2757.9956744530618</v>
      </c>
      <c r="G91" s="545" t="s">
        <v>24</v>
      </c>
      <c r="H91" s="2" t="str">
        <f t="shared" ref="H91" si="4">H51</f>
        <v xml:space="preserve">
Enter total length of track in native land requiring rehabilitation. Use for tracks of width shown in Activity / Description column.
</v>
      </c>
      <c r="I91" s="2" t="s">
        <v>3037</v>
      </c>
    </row>
    <row r="92" spans="3:9" ht="63.75">
      <c r="C92" s="614" t="s">
        <v>690</v>
      </c>
      <c r="D92" s="615" t="s">
        <v>679</v>
      </c>
      <c r="E92" s="616" t="str">
        <f>Lists!B128</f>
        <v>Track, Earthen, No replace, 6 m wide, Arid</v>
      </c>
      <c r="F92" s="231">
        <v>240.09567445306163</v>
      </c>
      <c r="G92" s="545" t="s">
        <v>24</v>
      </c>
      <c r="H92" s="2" t="str">
        <f t="shared" ref="H92" si="5">H52</f>
        <v xml:space="preserve">
Enter total length of track in arid land requiring rehabilitation. Use for tracks of width shown in Activity / Description column.
</v>
      </c>
      <c r="I92" s="2" t="s">
        <v>3038</v>
      </c>
    </row>
    <row r="93" spans="3:9" ht="63.75">
      <c r="C93" s="614" t="s">
        <v>691</v>
      </c>
      <c r="D93" s="615" t="s">
        <v>679</v>
      </c>
      <c r="E93" s="616" t="str">
        <f>Lists!B129</f>
        <v>Track, Rock, No replace, 3 m wide, Pasture</v>
      </c>
      <c r="F93" s="231">
        <v>2467.4638072334947</v>
      </c>
      <c r="G93" s="545" t="s">
        <v>24</v>
      </c>
      <c r="H93" s="2" t="s">
        <v>692</v>
      </c>
      <c r="I93" s="616" t="s">
        <v>3055</v>
      </c>
    </row>
    <row r="94" spans="3:9" ht="63.75">
      <c r="C94" s="614" t="s">
        <v>693</v>
      </c>
      <c r="D94" s="615" t="s">
        <v>679</v>
      </c>
      <c r="E94" s="616" t="str">
        <f>Lists!B130</f>
        <v>Track, Rock, No replace, 3 m wide, Native</v>
      </c>
      <c r="F94" s="231">
        <v>3229.7638072334948</v>
      </c>
      <c r="G94" s="545" t="s">
        <v>24</v>
      </c>
      <c r="H94" s="2" t="s">
        <v>694</v>
      </c>
      <c r="I94" s="616" t="s">
        <v>3056</v>
      </c>
    </row>
    <row r="95" spans="3:9" ht="51">
      <c r="C95" s="614" t="s">
        <v>695</v>
      </c>
      <c r="D95" s="615" t="s">
        <v>679</v>
      </c>
      <c r="E95" s="616" t="str">
        <f>Lists!B131</f>
        <v>Track, Rock, No replace, 3 m wide, Arid</v>
      </c>
      <c r="F95" s="231">
        <v>1970.8138072334946</v>
      </c>
      <c r="G95" s="545" t="s">
        <v>24</v>
      </c>
      <c r="H95" s="2" t="s">
        <v>696</v>
      </c>
      <c r="I95" s="616" t="s">
        <v>3057</v>
      </c>
    </row>
    <row r="96" spans="3:9" ht="63.75">
      <c r="C96" s="614" t="s">
        <v>697</v>
      </c>
      <c r="D96" s="615" t="s">
        <v>679</v>
      </c>
      <c r="E96" s="616" t="str">
        <f>Lists!B132</f>
        <v>Track, Rock, No replace, 6 m wide, Pasture</v>
      </c>
      <c r="F96" s="231">
        <v>4934.9276144669893</v>
      </c>
      <c r="G96" s="545" t="s">
        <v>24</v>
      </c>
      <c r="H96" s="2" t="s">
        <v>692</v>
      </c>
      <c r="I96" s="616" t="s">
        <v>3055</v>
      </c>
    </row>
    <row r="97" spans="3:9" ht="63.75">
      <c r="C97" s="614" t="s">
        <v>698</v>
      </c>
      <c r="D97" s="615" t="s">
        <v>679</v>
      </c>
      <c r="E97" s="616" t="str">
        <f>Lists!B133</f>
        <v>Track, Rock, No replace, 6 m wide, Native</v>
      </c>
      <c r="F97" s="231">
        <v>6459.5276144669897</v>
      </c>
      <c r="G97" s="545" t="s">
        <v>24</v>
      </c>
      <c r="H97" s="2" t="s">
        <v>694</v>
      </c>
      <c r="I97" s="616" t="s">
        <v>3056</v>
      </c>
    </row>
    <row r="98" spans="3:9" ht="51">
      <c r="C98" s="614" t="s">
        <v>699</v>
      </c>
      <c r="D98" s="615" t="s">
        <v>679</v>
      </c>
      <c r="E98" s="616" t="str">
        <f>Lists!B134</f>
        <v>Track, Rock, No replace, 6 m wide, Arid</v>
      </c>
      <c r="F98" s="231">
        <v>3941.6276144669891</v>
      </c>
      <c r="G98" s="545" t="s">
        <v>24</v>
      </c>
      <c r="H98" s="2" t="s">
        <v>696</v>
      </c>
      <c r="I98" s="616" t="s">
        <v>3057</v>
      </c>
    </row>
    <row r="99" spans="3:9" ht="63.75">
      <c r="C99" s="614" t="s">
        <v>700</v>
      </c>
      <c r="D99" s="615" t="s">
        <v>679</v>
      </c>
      <c r="E99" s="616" t="str">
        <f>Lists!B135</f>
        <v>Track, Rock, Replace rock, 3 m wide, Pasture</v>
      </c>
      <c r="F99" s="231">
        <v>4159.5031320458438</v>
      </c>
      <c r="G99" s="545" t="s">
        <v>24</v>
      </c>
      <c r="H99" s="2" t="s">
        <v>692</v>
      </c>
      <c r="I99" s="616" t="s">
        <v>3058</v>
      </c>
    </row>
    <row r="100" spans="3:9" ht="63.75">
      <c r="C100" s="614" t="s">
        <v>701</v>
      </c>
      <c r="D100" s="615" t="s">
        <v>679</v>
      </c>
      <c r="E100" s="616" t="str">
        <f>Lists!B136</f>
        <v>Track, Rock, Replace rock, 3 m wide, Native</v>
      </c>
      <c r="F100" s="231">
        <v>4159.5031320458438</v>
      </c>
      <c r="G100" s="545" t="s">
        <v>24</v>
      </c>
      <c r="H100" s="2" t="s">
        <v>694</v>
      </c>
      <c r="I100" s="616" t="s">
        <v>3058</v>
      </c>
    </row>
    <row r="101" spans="3:9" ht="63.75">
      <c r="C101" s="614" t="s">
        <v>702</v>
      </c>
      <c r="D101" s="615" t="s">
        <v>679</v>
      </c>
      <c r="E101" s="616" t="str">
        <f>Lists!B137</f>
        <v>Track, Rock, Replace rock, 3 m wide, Arid</v>
      </c>
      <c r="F101" s="231">
        <v>4159.5031320458438</v>
      </c>
      <c r="G101" s="545" t="s">
        <v>24</v>
      </c>
      <c r="H101" s="2" t="s">
        <v>696</v>
      </c>
      <c r="I101" s="616" t="s">
        <v>3058</v>
      </c>
    </row>
    <row r="102" spans="3:9" ht="63.75">
      <c r="C102" s="614" t="s">
        <v>703</v>
      </c>
      <c r="D102" s="615" t="s">
        <v>679</v>
      </c>
      <c r="E102" s="616" t="str">
        <f>Lists!B138</f>
        <v>Track, Rock, Replace rock, 6 m wide, Pasture</v>
      </c>
      <c r="F102" s="231">
        <v>8319.0062640916876</v>
      </c>
      <c r="G102" s="545" t="s">
        <v>24</v>
      </c>
      <c r="H102" s="2" t="s">
        <v>692</v>
      </c>
      <c r="I102" s="616" t="s">
        <v>3058</v>
      </c>
    </row>
    <row r="103" spans="3:9" ht="63.75">
      <c r="C103" s="614" t="s">
        <v>704</v>
      </c>
      <c r="D103" s="615" t="s">
        <v>679</v>
      </c>
      <c r="E103" s="616" t="str">
        <f>Lists!B139</f>
        <v>Track, Rock, Replace rock, 6 m wide, Native</v>
      </c>
      <c r="F103" s="231">
        <v>8319.0062640916876</v>
      </c>
      <c r="G103" s="545" t="s">
        <v>24</v>
      </c>
      <c r="H103" s="2" t="s">
        <v>694</v>
      </c>
      <c r="I103" s="616" t="s">
        <v>3058</v>
      </c>
    </row>
    <row r="104" spans="3:9" ht="63.75">
      <c r="C104" s="614" t="s">
        <v>705</v>
      </c>
      <c r="D104" s="615" t="s">
        <v>679</v>
      </c>
      <c r="E104" s="616" t="str">
        <f>Lists!B140</f>
        <v>Track, Rock, Replace rock, 6 m wide, Arid</v>
      </c>
      <c r="F104" s="231">
        <v>8319.0062640916876</v>
      </c>
      <c r="G104" s="545" t="s">
        <v>24</v>
      </c>
      <c r="H104" s="2" t="s">
        <v>696</v>
      </c>
      <c r="I104" s="616" t="s">
        <v>3058</v>
      </c>
    </row>
    <row r="105" spans="3:9" ht="63.75">
      <c r="C105" s="614" t="s">
        <v>706</v>
      </c>
      <c r="D105" s="615" t="s">
        <v>679</v>
      </c>
      <c r="E105" s="616" t="str">
        <f>Lists!B159</f>
        <v>Track, Pasture, Earthen, No replace</v>
      </c>
      <c r="F105" s="231">
        <v>2055.6594574217693</v>
      </c>
      <c r="G105" s="232" t="s">
        <v>95</v>
      </c>
      <c r="H105" s="2" t="str">
        <f>H53</f>
        <v xml:space="preserve">
Enter total area of track in pasture land requiring rehabilitation in pasture land. Length and width not required.
</v>
      </c>
      <c r="I105" s="2" t="s">
        <v>3040</v>
      </c>
    </row>
    <row r="106" spans="3:9" ht="51">
      <c r="C106" s="614" t="s">
        <v>707</v>
      </c>
      <c r="D106" s="615" t="s">
        <v>679</v>
      </c>
      <c r="E106" s="616" t="str">
        <f>Lists!B160</f>
        <v>Track, Native, Earthen, No replace</v>
      </c>
      <c r="F106" s="231">
        <v>4596.6594574217697</v>
      </c>
      <c r="G106" s="232" t="s">
        <v>95</v>
      </c>
      <c r="H106" s="2" t="str">
        <f t="shared" ref="H106" si="6">H54</f>
        <v xml:space="preserve">
Enter total area of track in native land requiring rehabilitation. Length and width not required.
</v>
      </c>
      <c r="I106" s="2" t="s">
        <v>3041</v>
      </c>
    </row>
    <row r="107" spans="3:9" ht="51">
      <c r="C107" s="614" t="s">
        <v>708</v>
      </c>
      <c r="D107" s="615" t="s">
        <v>679</v>
      </c>
      <c r="E107" s="616" t="str">
        <f>Lists!B161</f>
        <v>Track, Arid, Earthen, No replace</v>
      </c>
      <c r="F107" s="231">
        <v>400.15945742176939</v>
      </c>
      <c r="G107" s="232" t="s">
        <v>95</v>
      </c>
      <c r="H107" s="2" t="str">
        <f t="shared" ref="H107" si="7">H55</f>
        <v xml:space="preserve">
Enter total area of track in arid land requiring rehabilitation. Length and width not required.
</v>
      </c>
      <c r="I107" s="2" t="s">
        <v>3042</v>
      </c>
    </row>
    <row r="108" spans="3:9" ht="63.75">
      <c r="C108" s="614" t="s">
        <v>709</v>
      </c>
      <c r="D108" s="615" t="s">
        <v>679</v>
      </c>
      <c r="E108" s="616" t="str">
        <f>Lists!B162</f>
        <v>Track, Pasture, Rock, No replace</v>
      </c>
      <c r="F108" s="231">
        <v>8224.8793574449828</v>
      </c>
      <c r="G108" s="545" t="s">
        <v>95</v>
      </c>
      <c r="H108" s="2" t="s">
        <v>637</v>
      </c>
      <c r="I108" s="616" t="s">
        <v>3059</v>
      </c>
    </row>
    <row r="109" spans="3:9" ht="63.75">
      <c r="C109" s="614" t="s">
        <v>710</v>
      </c>
      <c r="D109" s="615" t="s">
        <v>679</v>
      </c>
      <c r="E109" s="616" t="str">
        <f>Lists!B163</f>
        <v>Track, Native, Rock, No replace</v>
      </c>
      <c r="F109" s="231">
        <v>10765.879357444983</v>
      </c>
      <c r="G109" s="545" t="s">
        <v>95</v>
      </c>
      <c r="H109" s="2" t="s">
        <v>639</v>
      </c>
      <c r="I109" s="616" t="s">
        <v>3060</v>
      </c>
    </row>
    <row r="110" spans="3:9" ht="63.75">
      <c r="C110" s="614" t="s">
        <v>711</v>
      </c>
      <c r="D110" s="615" t="s">
        <v>679</v>
      </c>
      <c r="E110" s="616" t="str">
        <f>Lists!B164</f>
        <v>Track, Arid, Rock, No replace</v>
      </c>
      <c r="F110" s="231">
        <v>6569.3793574449819</v>
      </c>
      <c r="G110" s="545" t="s">
        <v>95</v>
      </c>
      <c r="H110" s="2" t="s">
        <v>641</v>
      </c>
      <c r="I110" s="616" t="s">
        <v>3061</v>
      </c>
    </row>
    <row r="111" spans="3:9" ht="63.75">
      <c r="C111" s="614" t="s">
        <v>712</v>
      </c>
      <c r="D111" s="615" t="s">
        <v>679</v>
      </c>
      <c r="E111" s="616" t="str">
        <f>Lists!B165</f>
        <v>Track, any land, Rock, Replace rock</v>
      </c>
      <c r="F111" s="231">
        <v>13865.010440152813</v>
      </c>
      <c r="G111" s="545" t="s">
        <v>95</v>
      </c>
      <c r="H111" s="2" t="s">
        <v>713</v>
      </c>
      <c r="I111" s="616" t="s">
        <v>3058</v>
      </c>
    </row>
    <row r="112" spans="3:9" ht="76.5">
      <c r="C112" s="614" t="s">
        <v>714</v>
      </c>
      <c r="D112" s="615" t="s">
        <v>679</v>
      </c>
      <c r="E112" s="616" t="str">
        <f>Lists!B141</f>
        <v>Haul Road, Decompact, doze, shape, 25 m wide, Pasture</v>
      </c>
      <c r="F112" s="231">
        <v>11501.992964246085</v>
      </c>
      <c r="G112" s="545" t="s">
        <v>24</v>
      </c>
      <c r="H112" s="2" t="s">
        <v>715</v>
      </c>
      <c r="I112" s="616" t="s">
        <v>3062</v>
      </c>
    </row>
    <row r="113" spans="3:9" ht="76.5">
      <c r="C113" s="614" t="s">
        <v>716</v>
      </c>
      <c r="D113" s="615" t="s">
        <v>679</v>
      </c>
      <c r="E113" s="616" t="str">
        <f>Lists!B142</f>
        <v>Haul Road, Decompact, doze, shape, 25 m wide, Native</v>
      </c>
      <c r="F113" s="231">
        <v>17854.492964246085</v>
      </c>
      <c r="G113" s="545" t="s">
        <v>24</v>
      </c>
      <c r="H113" s="2" t="s">
        <v>717</v>
      </c>
      <c r="I113" s="616" t="s">
        <v>3063</v>
      </c>
    </row>
    <row r="114" spans="3:9" ht="51">
      <c r="C114" s="614" t="s">
        <v>718</v>
      </c>
      <c r="D114" s="615" t="s">
        <v>679</v>
      </c>
      <c r="E114" s="616" t="str">
        <f>Lists!B143</f>
        <v>Haul Road, Decompact, doze, shape, 25 m wide, Arid</v>
      </c>
      <c r="F114" s="231">
        <v>7363.2429642460847</v>
      </c>
      <c r="G114" s="545" t="s">
        <v>24</v>
      </c>
      <c r="H114" s="2" t="s">
        <v>719</v>
      </c>
      <c r="I114" s="616" t="s">
        <v>3064</v>
      </c>
    </row>
    <row r="115" spans="3:9" ht="76.5">
      <c r="C115" s="614" t="s">
        <v>720</v>
      </c>
      <c r="D115" s="615" t="s">
        <v>679</v>
      </c>
      <c r="E115" s="616" t="str">
        <f>Lists!B144</f>
        <v>Haul Road, Rock, Remove contam only, 25 m wide, Pasture</v>
      </c>
      <c r="F115" s="231">
        <v>70273.26844177056</v>
      </c>
      <c r="G115" s="545" t="s">
        <v>24</v>
      </c>
      <c r="H115" s="2" t="s">
        <v>715</v>
      </c>
      <c r="I115" s="616" t="s">
        <v>3065</v>
      </c>
    </row>
    <row r="116" spans="3:9" ht="76.5">
      <c r="C116" s="614" t="s">
        <v>721</v>
      </c>
      <c r="D116" s="615" t="s">
        <v>679</v>
      </c>
      <c r="E116" s="616" t="str">
        <f>Lists!B145</f>
        <v>Haul Road, Rock, Remove contam only, 25 m wide, Native</v>
      </c>
      <c r="F116" s="231">
        <v>76625.768441770546</v>
      </c>
      <c r="G116" s="545" t="s">
        <v>24</v>
      </c>
      <c r="H116" s="2" t="s">
        <v>717</v>
      </c>
      <c r="I116" s="616" t="s">
        <v>3066</v>
      </c>
    </row>
    <row r="117" spans="3:9" ht="63.75">
      <c r="C117" s="614" t="s">
        <v>722</v>
      </c>
      <c r="D117" s="615" t="s">
        <v>679</v>
      </c>
      <c r="E117" s="616" t="str">
        <f>Lists!B146</f>
        <v>Haul Road, Rock, Remove contam only, 25 m wide, Arid</v>
      </c>
      <c r="F117" s="231">
        <v>33068.32588100947</v>
      </c>
      <c r="G117" s="545" t="s">
        <v>24</v>
      </c>
      <c r="H117" s="2" t="s">
        <v>719</v>
      </c>
      <c r="I117" s="616" t="s">
        <v>3067</v>
      </c>
    </row>
    <row r="118" spans="3:9" ht="76.5">
      <c r="C118" s="614" t="s">
        <v>723</v>
      </c>
      <c r="D118" s="615" t="s">
        <v>679</v>
      </c>
      <c r="E118" s="616" t="str">
        <f>Lists!B147</f>
        <v>Haul Road, Rock, Remove rock cover and replace, 25 m wide, Pasture</v>
      </c>
      <c r="F118" s="231">
        <v>128044.14527574061</v>
      </c>
      <c r="G118" s="545" t="s">
        <v>24</v>
      </c>
      <c r="H118" s="2" t="s">
        <v>715</v>
      </c>
      <c r="I118" s="616" t="s">
        <v>3068</v>
      </c>
    </row>
    <row r="119" spans="3:9" ht="76.5">
      <c r="C119" s="614" t="s">
        <v>724</v>
      </c>
      <c r="D119" s="615" t="s">
        <v>679</v>
      </c>
      <c r="E119" s="616" t="str">
        <f>Lists!B148</f>
        <v>Haul Road, Rock, Remove rock cover and replace, 25 m wide, Native</v>
      </c>
      <c r="F119" s="231">
        <v>134396.64527574059</v>
      </c>
      <c r="G119" s="545" t="s">
        <v>24</v>
      </c>
      <c r="H119" s="2" t="s">
        <v>717</v>
      </c>
      <c r="I119" s="616" t="s">
        <v>3069</v>
      </c>
    </row>
    <row r="120" spans="3:9" ht="63.75">
      <c r="C120" s="614" t="s">
        <v>725</v>
      </c>
      <c r="D120" s="615" t="s">
        <v>679</v>
      </c>
      <c r="E120" s="616" t="str">
        <f>Lists!B149</f>
        <v>Haul Road, Rock, Remove rock cover and replace, 25 m wide, Arid</v>
      </c>
      <c r="F120" s="231">
        <v>58773.408797772849</v>
      </c>
      <c r="G120" s="545" t="s">
        <v>24</v>
      </c>
      <c r="H120" s="2" t="s">
        <v>719</v>
      </c>
      <c r="I120" s="616" t="s">
        <v>3070</v>
      </c>
    </row>
    <row r="121" spans="3:9" ht="76.5">
      <c r="C121" s="614" t="s">
        <v>726</v>
      </c>
      <c r="D121" s="615" t="s">
        <v>679</v>
      </c>
      <c r="E121" s="616" t="str">
        <f>Lists!B166</f>
        <v>Haul Road, Decompact, doze, Pasture</v>
      </c>
      <c r="F121" s="231">
        <v>4600.7971856984341</v>
      </c>
      <c r="G121" s="545" t="s">
        <v>95</v>
      </c>
      <c r="H121" s="2" t="s">
        <v>727</v>
      </c>
      <c r="I121" s="616" t="s">
        <v>3062</v>
      </c>
    </row>
    <row r="122" spans="3:9" ht="76.5">
      <c r="C122" s="614" t="s">
        <v>728</v>
      </c>
      <c r="D122" s="615" t="s">
        <v>679</v>
      </c>
      <c r="E122" s="616" t="str">
        <f>Lists!B167</f>
        <v>Haul Road, Decompact, doze, shape, Native</v>
      </c>
      <c r="F122" s="231">
        <v>7141.7971856984341</v>
      </c>
      <c r="G122" s="545" t="s">
        <v>95</v>
      </c>
      <c r="H122" s="2" t="s">
        <v>729</v>
      </c>
      <c r="I122" s="616" t="s">
        <v>3063</v>
      </c>
    </row>
    <row r="123" spans="3:9" ht="51">
      <c r="C123" s="614" t="s">
        <v>730</v>
      </c>
      <c r="D123" s="615" t="s">
        <v>679</v>
      </c>
      <c r="E123" s="616" t="str">
        <f>Lists!B168</f>
        <v>Haul Road, Decompact, doze, shape, Arid</v>
      </c>
      <c r="F123" s="231">
        <v>2945.2971856984341</v>
      </c>
      <c r="G123" s="545" t="s">
        <v>95</v>
      </c>
      <c r="H123" s="2" t="s">
        <v>731</v>
      </c>
      <c r="I123" s="616" t="s">
        <v>3064</v>
      </c>
    </row>
    <row r="124" spans="3:9" ht="76.5">
      <c r="C124" s="614" t="s">
        <v>732</v>
      </c>
      <c r="D124" s="615" t="s">
        <v>679</v>
      </c>
      <c r="E124" s="616" t="str">
        <f>Lists!B169</f>
        <v>Haul Road, Rock, Remove contam only, Pasture</v>
      </c>
      <c r="F124" s="231">
        <v>28109.307376708224</v>
      </c>
      <c r="G124" s="545" t="s">
        <v>95</v>
      </c>
      <c r="H124" s="2" t="s">
        <v>727</v>
      </c>
      <c r="I124" s="616" t="s">
        <v>3065</v>
      </c>
    </row>
    <row r="125" spans="3:9" ht="76.5">
      <c r="C125" s="614" t="s">
        <v>733</v>
      </c>
      <c r="D125" s="615" t="s">
        <v>679</v>
      </c>
      <c r="E125" s="616" t="str">
        <f>Lists!B170</f>
        <v>Haul Road, Rock, Remove contam only, Native</v>
      </c>
      <c r="F125" s="231">
        <v>30650.307376708217</v>
      </c>
      <c r="G125" s="545" t="s">
        <v>95</v>
      </c>
      <c r="H125" s="2" t="s">
        <v>729</v>
      </c>
      <c r="I125" s="616" t="s">
        <v>3066</v>
      </c>
    </row>
    <row r="126" spans="3:9" ht="63.75">
      <c r="C126" s="614" t="s">
        <v>734</v>
      </c>
      <c r="D126" s="615" t="s">
        <v>679</v>
      </c>
      <c r="E126" s="616" t="str">
        <f>Lists!B171</f>
        <v>Haul Road, Rock, Remove contam only, Arid</v>
      </c>
      <c r="F126" s="231">
        <v>13227.330352403787</v>
      </c>
      <c r="G126" s="545" t="s">
        <v>95</v>
      </c>
      <c r="H126" s="2" t="s">
        <v>731</v>
      </c>
      <c r="I126" s="616" t="s">
        <v>3067</v>
      </c>
    </row>
    <row r="127" spans="3:9" ht="76.5">
      <c r="C127" s="614" t="s">
        <v>735</v>
      </c>
      <c r="D127" s="615" t="s">
        <v>679</v>
      </c>
      <c r="E127" s="616" t="str">
        <f>Lists!B172</f>
        <v>Haul Road, Rock, Remove rock cover and replace, Pasture</v>
      </c>
      <c r="F127" s="231">
        <v>51217.658110296245</v>
      </c>
      <c r="G127" s="545" t="s">
        <v>95</v>
      </c>
      <c r="H127" s="2" t="s">
        <v>727</v>
      </c>
      <c r="I127" s="616" t="s">
        <v>3068</v>
      </c>
    </row>
    <row r="128" spans="3:9" ht="76.5">
      <c r="C128" s="614" t="s">
        <v>736</v>
      </c>
      <c r="D128" s="615" t="s">
        <v>679</v>
      </c>
      <c r="E128" s="616" t="str">
        <f>Lists!B173</f>
        <v>Haul Road, Rock, Remove rock cover and replace, Native</v>
      </c>
      <c r="F128" s="231">
        <v>53758.658110296237</v>
      </c>
      <c r="G128" s="545" t="s">
        <v>95</v>
      </c>
      <c r="H128" s="2" t="s">
        <v>729</v>
      </c>
      <c r="I128" s="616" t="s">
        <v>3069</v>
      </c>
    </row>
    <row r="129" spans="3:9" ht="63.75">
      <c r="C129" s="614" t="s">
        <v>737</v>
      </c>
      <c r="D129" s="615" t="s">
        <v>679</v>
      </c>
      <c r="E129" s="616" t="str">
        <f>Lists!B174</f>
        <v>Haul Road, Rock, Remove rock cover and replace, Arid</v>
      </c>
      <c r="F129" s="231">
        <v>23509.363519109138</v>
      </c>
      <c r="G129" s="545" t="s">
        <v>95</v>
      </c>
      <c r="H129" s="2" t="s">
        <v>731</v>
      </c>
      <c r="I129" s="616" t="s">
        <v>3070</v>
      </c>
    </row>
    <row r="130" spans="3:9" ht="51">
      <c r="C130" s="614" t="s">
        <v>738</v>
      </c>
      <c r="D130" s="615" t="s">
        <v>679</v>
      </c>
      <c r="E130" s="618" t="str">
        <f>Lists!B278</f>
        <v>Remove rail overpass</v>
      </c>
      <c r="F130" s="36">
        <v>350000</v>
      </c>
      <c r="G130" s="570" t="s">
        <v>94</v>
      </c>
      <c r="H130" s="2" t="s">
        <v>739</v>
      </c>
      <c r="I130" s="616" t="s">
        <v>3071</v>
      </c>
    </row>
    <row r="131" spans="3:9" ht="51">
      <c r="C131" s="614" t="s">
        <v>740</v>
      </c>
      <c r="D131" s="615" t="s">
        <v>679</v>
      </c>
      <c r="E131" s="618" t="str">
        <f>Lists!B279</f>
        <v>Remove road overpass</v>
      </c>
      <c r="F131" s="36">
        <v>500000</v>
      </c>
      <c r="G131" s="570" t="s">
        <v>94</v>
      </c>
      <c r="H131" s="2" t="s">
        <v>741</v>
      </c>
      <c r="I131" s="616" t="s">
        <v>3072</v>
      </c>
    </row>
    <row r="132" spans="3:9" ht="51">
      <c r="C132" s="614" t="s">
        <v>742</v>
      </c>
      <c r="D132" s="615" t="s">
        <v>679</v>
      </c>
      <c r="E132" s="618" t="str">
        <f>Lists!B280</f>
        <v>Remove course overpass</v>
      </c>
      <c r="F132" s="36">
        <v>1300000</v>
      </c>
      <c r="G132" s="570" t="s">
        <v>94</v>
      </c>
      <c r="H132" s="2" t="s">
        <v>743</v>
      </c>
      <c r="I132" s="616" t="s">
        <v>3073</v>
      </c>
    </row>
    <row r="133" spans="3:9" ht="51">
      <c r="C133" s="614" t="s">
        <v>744</v>
      </c>
      <c r="D133" s="615" t="s">
        <v>679</v>
      </c>
      <c r="E133" s="616" t="str">
        <f>Lists!B150</f>
        <v>Laydown, Earthen, No replace, Pasture</v>
      </c>
      <c r="F133" s="231">
        <v>6698.6177144702051</v>
      </c>
      <c r="G133" s="545" t="s">
        <v>95</v>
      </c>
      <c r="H133" s="2" t="s">
        <v>745</v>
      </c>
      <c r="I133" s="616" t="s">
        <v>3074</v>
      </c>
    </row>
    <row r="134" spans="3:9" ht="51">
      <c r="C134" s="614" t="s">
        <v>746</v>
      </c>
      <c r="D134" s="615" t="s">
        <v>679</v>
      </c>
      <c r="E134" s="616" t="str">
        <f>Lists!B151</f>
        <v>Laydown, Earthen, No replace, Native</v>
      </c>
      <c r="F134" s="231">
        <v>9239.6177144702051</v>
      </c>
      <c r="G134" s="545" t="s">
        <v>95</v>
      </c>
      <c r="H134" s="2" t="s">
        <v>747</v>
      </c>
      <c r="I134" s="616" t="s">
        <v>3075</v>
      </c>
    </row>
    <row r="135" spans="3:9" ht="38.25">
      <c r="C135" s="614" t="s">
        <v>748</v>
      </c>
      <c r="D135" s="615" t="s">
        <v>679</v>
      </c>
      <c r="E135" s="616" t="str">
        <f>Lists!B152</f>
        <v>Laydown, Earthen, No replace, Arid</v>
      </c>
      <c r="F135" s="231">
        <v>400.15945742176939</v>
      </c>
      <c r="G135" s="545" t="s">
        <v>95</v>
      </c>
      <c r="H135" s="2" t="s">
        <v>749</v>
      </c>
      <c r="I135" s="616" t="s">
        <v>3076</v>
      </c>
    </row>
    <row r="136" spans="3:9" ht="63.75">
      <c r="C136" s="614" t="s">
        <v>750</v>
      </c>
      <c r="D136" s="615" t="s">
        <v>679</v>
      </c>
      <c r="E136" s="616" t="str">
        <f>Lists!B153</f>
        <v>Laydown, Rock, No replace, Pasture</v>
      </c>
      <c r="F136" s="231">
        <v>13908.255269141935</v>
      </c>
      <c r="G136" s="545" t="s">
        <v>95</v>
      </c>
      <c r="H136" s="2" t="s">
        <v>751</v>
      </c>
      <c r="I136" s="616" t="s">
        <v>3077</v>
      </c>
    </row>
    <row r="137" spans="3:9" ht="63.75">
      <c r="C137" s="614" t="s">
        <v>752</v>
      </c>
      <c r="D137" s="615" t="s">
        <v>679</v>
      </c>
      <c r="E137" s="616" t="str">
        <f>Lists!B154</f>
        <v>Laydown, Rock, No replace, Native</v>
      </c>
      <c r="F137" s="231">
        <v>16449.255269141933</v>
      </c>
      <c r="G137" s="545" t="s">
        <v>95</v>
      </c>
      <c r="H137" s="2" t="s">
        <v>753</v>
      </c>
      <c r="I137" s="616" t="s">
        <v>3078</v>
      </c>
    </row>
    <row r="138" spans="3:9" ht="51">
      <c r="C138" s="614" t="s">
        <v>754</v>
      </c>
      <c r="D138" s="615" t="s">
        <v>679</v>
      </c>
      <c r="E138" s="616" t="str">
        <f>Lists!B155</f>
        <v>Laydown, Rock, No replace, Arid</v>
      </c>
      <c r="F138" s="231">
        <v>7609.7970120934997</v>
      </c>
      <c r="G138" s="545" t="s">
        <v>95</v>
      </c>
      <c r="H138" s="2" t="s">
        <v>755</v>
      </c>
      <c r="I138" s="616" t="s">
        <v>3079</v>
      </c>
    </row>
    <row r="139" spans="3:9" ht="51">
      <c r="C139" s="614" t="s">
        <v>756</v>
      </c>
      <c r="D139" s="615" t="s">
        <v>679</v>
      </c>
      <c r="E139" s="616" t="s">
        <v>757</v>
      </c>
      <c r="F139" s="231">
        <v>9568.9520300392505</v>
      </c>
      <c r="G139" s="545" t="s">
        <v>95</v>
      </c>
      <c r="H139" s="616" t="s">
        <v>758</v>
      </c>
      <c r="I139" s="616" t="s">
        <v>3080</v>
      </c>
    </row>
    <row r="140" spans="3:9" ht="51">
      <c r="C140" s="614" t="s">
        <v>759</v>
      </c>
      <c r="D140" s="615" t="s">
        <v>679</v>
      </c>
      <c r="E140" s="616" t="s">
        <v>760</v>
      </c>
      <c r="F140" s="231">
        <v>12109.952030039251</v>
      </c>
      <c r="G140" s="545" t="s">
        <v>95</v>
      </c>
      <c r="H140" s="616" t="s">
        <v>761</v>
      </c>
      <c r="I140" s="616" t="s">
        <v>3081</v>
      </c>
    </row>
    <row r="141" spans="3:9" ht="51">
      <c r="C141" s="614" t="s">
        <v>762</v>
      </c>
      <c r="D141" s="615" t="s">
        <v>679</v>
      </c>
      <c r="E141" s="616" t="s">
        <v>763</v>
      </c>
      <c r="F141" s="231">
        <v>6443.4234532181335</v>
      </c>
      <c r="G141" s="545" t="s">
        <v>95</v>
      </c>
      <c r="H141" s="616" t="s">
        <v>764</v>
      </c>
      <c r="I141" s="616" t="s">
        <v>3082</v>
      </c>
    </row>
    <row r="142" spans="3:9" ht="63.75">
      <c r="C142" s="614" t="s">
        <v>765</v>
      </c>
      <c r="D142" s="615" t="s">
        <v>679</v>
      </c>
      <c r="E142" s="618" t="str">
        <f>Lists!B215</f>
        <v>Plastic Pipe 0 to &lt;= 0.15 m dia. Aboveground</v>
      </c>
      <c r="F142" s="619">
        <v>13.095941979156329</v>
      </c>
      <c r="G142" s="570" t="s">
        <v>11</v>
      </c>
      <c r="H142" s="620" t="s">
        <v>766</v>
      </c>
      <c r="I142" s="616" t="s">
        <v>3083</v>
      </c>
    </row>
    <row r="143" spans="3:9" ht="63.75">
      <c r="C143" s="614" t="s">
        <v>767</v>
      </c>
      <c r="D143" s="615" t="s">
        <v>679</v>
      </c>
      <c r="E143" s="618" t="str">
        <f>Lists!B216</f>
        <v>Plastic Pipe &gt; 0.15 to &lt;= 0.25 m dia. Aboveground</v>
      </c>
      <c r="F143" s="619">
        <v>14.229147370575033</v>
      </c>
      <c r="G143" s="570" t="s">
        <v>11</v>
      </c>
      <c r="H143" s="620" t="s">
        <v>766</v>
      </c>
      <c r="I143" s="616" t="s">
        <v>3084</v>
      </c>
    </row>
    <row r="144" spans="3:9" ht="63.75">
      <c r="C144" s="614" t="s">
        <v>768</v>
      </c>
      <c r="D144" s="615" t="s">
        <v>679</v>
      </c>
      <c r="E144" s="618" t="str">
        <f>Lists!B217</f>
        <v>Plastic Pipe &gt; 0.25 to &lt;= 0.5 m dia. Aboveground</v>
      </c>
      <c r="F144" s="619">
        <v>15.78157451065594</v>
      </c>
      <c r="G144" s="570" t="s">
        <v>11</v>
      </c>
      <c r="H144" s="620" t="s">
        <v>766</v>
      </c>
      <c r="I144" s="616" t="s">
        <v>3084</v>
      </c>
    </row>
    <row r="145" spans="3:9" ht="63.75">
      <c r="C145" s="614" t="s">
        <v>769</v>
      </c>
      <c r="D145" s="615" t="s">
        <v>679</v>
      </c>
      <c r="E145" s="618" t="str">
        <f>Lists!B218</f>
        <v>Plastic Pipe &gt; 0.5 to &lt;=1 m dia. Aboveground</v>
      </c>
      <c r="F145" s="619">
        <v>18.900982582929032</v>
      </c>
      <c r="G145" s="570" t="s">
        <v>11</v>
      </c>
      <c r="H145" s="620" t="s">
        <v>766</v>
      </c>
      <c r="I145" s="616" t="s">
        <v>3084</v>
      </c>
    </row>
    <row r="146" spans="3:9" ht="63.75">
      <c r="C146" s="614" t="s">
        <v>770</v>
      </c>
      <c r="D146" s="615" t="s">
        <v>679</v>
      </c>
      <c r="E146" s="618" t="str">
        <f>Lists!B219</f>
        <v>Plastic Pipe 0 to &lt;= 0.15 m dia. Buried</v>
      </c>
      <c r="F146" s="619">
        <v>51.818007819355763</v>
      </c>
      <c r="G146" s="570" t="s">
        <v>11</v>
      </c>
      <c r="H146" s="620" t="s">
        <v>766</v>
      </c>
      <c r="I146" s="616" t="s">
        <v>3085</v>
      </c>
    </row>
    <row r="147" spans="3:9" ht="63.75">
      <c r="C147" s="614" t="s">
        <v>771</v>
      </c>
      <c r="D147" s="615" t="s">
        <v>679</v>
      </c>
      <c r="E147" s="618" t="str">
        <f>Lists!B220</f>
        <v>Plastic Pipe &gt; 0.15 to &lt;= 0.25 m dia. Buried</v>
      </c>
      <c r="F147" s="619">
        <v>58.266098697333135</v>
      </c>
      <c r="G147" s="570" t="s">
        <v>11</v>
      </c>
      <c r="H147" s="620" t="s">
        <v>766</v>
      </c>
      <c r="I147" s="616" t="s">
        <v>3085</v>
      </c>
    </row>
    <row r="148" spans="3:9" ht="63.75">
      <c r="C148" s="614" t="s">
        <v>772</v>
      </c>
      <c r="D148" s="615" t="s">
        <v>679</v>
      </c>
      <c r="E148" s="618" t="str">
        <f>Lists!B221</f>
        <v>Plastic Pipe &gt; 0.25 to &lt;= 0.5 m dia. Buried</v>
      </c>
      <c r="F148" s="619">
        <v>70.916616810344522</v>
      </c>
      <c r="G148" s="570" t="s">
        <v>11</v>
      </c>
      <c r="H148" s="620" t="s">
        <v>766</v>
      </c>
      <c r="I148" s="616" t="s">
        <v>3085</v>
      </c>
    </row>
    <row r="149" spans="3:9" ht="63.75">
      <c r="C149" s="614" t="s">
        <v>773</v>
      </c>
      <c r="D149" s="615" t="s">
        <v>679</v>
      </c>
      <c r="E149" s="618" t="str">
        <f>Lists!B222</f>
        <v>Plastic Pipe &gt; 0.5 to &lt;= 1 m dia. Buried</v>
      </c>
      <c r="F149" s="619">
        <v>87.584115855548063</v>
      </c>
      <c r="G149" s="570" t="s">
        <v>11</v>
      </c>
      <c r="H149" s="620" t="s">
        <v>766</v>
      </c>
      <c r="I149" s="616" t="s">
        <v>3085</v>
      </c>
    </row>
    <row r="150" spans="3:9" ht="63.75">
      <c r="C150" s="614" t="s">
        <v>774</v>
      </c>
      <c r="D150" s="615" t="s">
        <v>679</v>
      </c>
      <c r="E150" s="621" t="str" cm="1">
        <f t="array" ref="E150:E155">Building_list</f>
        <v>Portable</v>
      </c>
      <c r="F150" s="231">
        <v>2190.2566697935945</v>
      </c>
      <c r="G150" s="570" t="s">
        <v>138</v>
      </c>
      <c r="H150" s="620" t="s">
        <v>775</v>
      </c>
      <c r="I150" s="616" t="s">
        <v>3086</v>
      </c>
    </row>
    <row r="151" spans="3:9" ht="127.5">
      <c r="C151" s="614" t="s">
        <v>776</v>
      </c>
      <c r="D151" s="615" t="s">
        <v>679</v>
      </c>
      <c r="E151" s="621" t="str">
        <v>Small, Brick wall, Steel roof, Concrete floor, 1 floors</v>
      </c>
      <c r="F151" s="231">
        <v>121.23121089594002</v>
      </c>
      <c r="G151" s="570" t="s">
        <v>36</v>
      </c>
      <c r="H151" s="622" t="s">
        <v>777</v>
      </c>
      <c r="I151" s="616" t="s">
        <v>3087</v>
      </c>
    </row>
    <row r="152" spans="3:9" ht="114.75">
      <c r="C152" s="614" t="s">
        <v>778</v>
      </c>
      <c r="D152" s="615" t="s">
        <v>679</v>
      </c>
      <c r="E152" s="621" t="str">
        <v>Large, Brick wall, Steel roof, Concrete floor, 1 floors</v>
      </c>
      <c r="F152" s="231">
        <v>72.832105464525398</v>
      </c>
      <c r="G152" s="570" t="s">
        <v>36</v>
      </c>
      <c r="H152" s="622" t="s">
        <v>777</v>
      </c>
      <c r="I152" s="616" t="s">
        <v>3088</v>
      </c>
    </row>
    <row r="153" spans="3:9" ht="114.75">
      <c r="C153" s="614" t="s">
        <v>779</v>
      </c>
      <c r="D153" s="615" t="s">
        <v>679</v>
      </c>
      <c r="E153" s="621" t="str">
        <v>Large, Steel wall, Steel roof, Concrete floor, 1 floors</v>
      </c>
      <c r="F153" s="231">
        <v>87.175165675294593</v>
      </c>
      <c r="G153" s="570" t="s">
        <v>36</v>
      </c>
      <c r="H153" s="622" t="s">
        <v>780</v>
      </c>
      <c r="I153" s="616" t="s">
        <v>3089</v>
      </c>
    </row>
    <row r="154" spans="3:9" ht="114.75">
      <c r="C154" s="614" t="s">
        <v>781</v>
      </c>
      <c r="D154" s="615" t="s">
        <v>679</v>
      </c>
      <c r="E154" s="621" t="str">
        <v>Small, Steel wall, Steel roof, Concrete floor, 1 floors</v>
      </c>
      <c r="F154" s="231">
        <v>129.68674164884723</v>
      </c>
      <c r="G154" s="570" t="s">
        <v>36</v>
      </c>
      <c r="H154" s="622" t="s">
        <v>780</v>
      </c>
      <c r="I154" s="616" t="s">
        <v>3090</v>
      </c>
    </row>
    <row r="155" spans="3:9" ht="114.75">
      <c r="C155" s="614" t="s">
        <v>782</v>
      </c>
      <c r="D155" s="615" t="s">
        <v>679</v>
      </c>
      <c r="E155" s="621" t="str">
        <v>Large, Steel wall, Steel roof, Concrete floor, 2 floors</v>
      </c>
      <c r="F155" s="231">
        <v>138.9720843131789</v>
      </c>
      <c r="G155" s="570" t="s">
        <v>36</v>
      </c>
      <c r="H155" s="622" t="s">
        <v>783</v>
      </c>
      <c r="I155" s="616" t="s">
        <v>3091</v>
      </c>
    </row>
    <row r="156" spans="3:9" ht="191.25">
      <c r="C156" s="614" t="s">
        <v>784</v>
      </c>
      <c r="D156" s="615" t="s">
        <v>679</v>
      </c>
      <c r="E156" s="618" t="str">
        <f>Lists!B86</f>
        <v>Temporary camp - &lt;= 20 persons</v>
      </c>
      <c r="F156" s="36">
        <v>47392.200162606387</v>
      </c>
      <c r="G156" s="570" t="s">
        <v>785</v>
      </c>
      <c r="H156" s="622" t="s">
        <v>786</v>
      </c>
      <c r="I156" s="616" t="s">
        <v>3092</v>
      </c>
    </row>
    <row r="157" spans="3:9" ht="191.25">
      <c r="C157" s="614" t="s">
        <v>787</v>
      </c>
      <c r="D157" s="615" t="s">
        <v>679</v>
      </c>
      <c r="E157" s="618" t="str">
        <f>Lists!B87</f>
        <v>Temporary camp - &gt; 20 and &lt;= 50 persons</v>
      </c>
      <c r="F157" s="36">
        <v>65859.181813206218</v>
      </c>
      <c r="G157" s="570" t="s">
        <v>785</v>
      </c>
      <c r="H157" s="622" t="s">
        <v>786</v>
      </c>
      <c r="I157" s="616" t="s">
        <v>3093</v>
      </c>
    </row>
    <row r="158" spans="3:9" ht="191.25">
      <c r="C158" s="614" t="s">
        <v>788</v>
      </c>
      <c r="D158" s="615" t="s">
        <v>679</v>
      </c>
      <c r="E158" s="618" t="str">
        <f>Lists!B88</f>
        <v>Temporary camp - &gt; 50 and &lt;= 100 persons</v>
      </c>
      <c r="F158" s="36">
        <v>94167.695799226451</v>
      </c>
      <c r="G158" s="570" t="s">
        <v>785</v>
      </c>
      <c r="H158" s="622" t="s">
        <v>786</v>
      </c>
      <c r="I158" s="616" t="s">
        <v>3094</v>
      </c>
    </row>
    <row r="159" spans="3:9" ht="191.25">
      <c r="C159" s="614" t="s">
        <v>789</v>
      </c>
      <c r="D159" s="615" t="s">
        <v>679</v>
      </c>
      <c r="E159" s="618" t="str">
        <f>Lists!B89</f>
        <v>Temporary camp - &gt; 100 and &lt;= 150 persons</v>
      </c>
      <c r="F159" s="36">
        <v>136991.91041728808</v>
      </c>
      <c r="G159" s="570" t="s">
        <v>785</v>
      </c>
      <c r="H159" s="622" t="s">
        <v>786</v>
      </c>
      <c r="I159" s="616" t="s">
        <v>3095</v>
      </c>
    </row>
    <row r="160" spans="3:9" ht="191.25">
      <c r="C160" s="614" t="s">
        <v>790</v>
      </c>
      <c r="D160" s="615" t="s">
        <v>679</v>
      </c>
      <c r="E160" s="618" t="str">
        <f>Lists!B90</f>
        <v>Temporary camp - &gt; 150 and &lt;= 200 persons</v>
      </c>
      <c r="F160" s="36">
        <v>165956.43582087776</v>
      </c>
      <c r="G160" s="570" t="s">
        <v>785</v>
      </c>
      <c r="H160" s="622" t="s">
        <v>786</v>
      </c>
      <c r="I160" s="616" t="s">
        <v>3096</v>
      </c>
    </row>
    <row r="161" spans="3:9" ht="191.25">
      <c r="C161" s="614" t="s">
        <v>791</v>
      </c>
      <c r="D161" s="615" t="s">
        <v>679</v>
      </c>
      <c r="E161" s="618" t="str">
        <f>Lists!B91</f>
        <v>Temporary camp - &gt; 200 and &lt;= 250 persons</v>
      </c>
      <c r="F161" s="36">
        <v>231159.60621651457</v>
      </c>
      <c r="G161" s="570" t="s">
        <v>785</v>
      </c>
      <c r="H161" s="622" t="s">
        <v>786</v>
      </c>
      <c r="I161" s="616" t="s">
        <v>3097</v>
      </c>
    </row>
    <row r="162" spans="3:9" ht="191.25">
      <c r="C162" s="614" t="s">
        <v>792</v>
      </c>
      <c r="D162" s="615" t="s">
        <v>679</v>
      </c>
      <c r="E162" s="618" t="str">
        <f>Lists!B92</f>
        <v>Temporary camp - &gt; 250 and &lt;= 300 persons</v>
      </c>
      <c r="F162" s="36">
        <v>259035.19464732899</v>
      </c>
      <c r="G162" s="570" t="s">
        <v>785</v>
      </c>
      <c r="H162" s="622" t="s">
        <v>786</v>
      </c>
      <c r="I162" s="616" t="s">
        <v>3098</v>
      </c>
    </row>
    <row r="163" spans="3:9" ht="191.25">
      <c r="C163" s="614" t="s">
        <v>793</v>
      </c>
      <c r="D163" s="615" t="s">
        <v>679</v>
      </c>
      <c r="E163" s="618" t="str">
        <f>Lists!B93</f>
        <v>Temporary camp - &gt; 300 and &lt;= 400 persons</v>
      </c>
      <c r="F163" s="36">
        <v>317460.88853045466</v>
      </c>
      <c r="G163" s="570" t="s">
        <v>785</v>
      </c>
      <c r="H163" s="622" t="s">
        <v>786</v>
      </c>
      <c r="I163" s="616" t="s">
        <v>3099</v>
      </c>
    </row>
    <row r="164" spans="3:9" ht="191.25">
      <c r="C164" s="614" t="s">
        <v>794</v>
      </c>
      <c r="D164" s="615" t="s">
        <v>679</v>
      </c>
      <c r="E164" s="618" t="str">
        <f>Lists!B94</f>
        <v>Temporary camp - &gt; 400 and &lt;= 500 persons</v>
      </c>
      <c r="F164" s="36">
        <v>410539.64735690586</v>
      </c>
      <c r="G164" s="570" t="s">
        <v>785</v>
      </c>
      <c r="H164" s="622" t="s">
        <v>786</v>
      </c>
      <c r="I164" s="616" t="s">
        <v>3100</v>
      </c>
    </row>
    <row r="165" spans="3:9" ht="191.25">
      <c r="C165" s="614" t="s">
        <v>795</v>
      </c>
      <c r="D165" s="615" t="s">
        <v>679</v>
      </c>
      <c r="E165" s="618" t="str">
        <f>Lists!B95</f>
        <v>Temporary camp - &gt; 500 and &lt;= 750 persons</v>
      </c>
      <c r="F165" s="36">
        <v>592242.65419986495</v>
      </c>
      <c r="G165" s="570" t="s">
        <v>785</v>
      </c>
      <c r="H165" s="622" t="s">
        <v>786</v>
      </c>
      <c r="I165" s="616" t="s">
        <v>3101</v>
      </c>
    </row>
    <row r="166" spans="3:9" ht="191.25">
      <c r="C166" s="614" t="s">
        <v>796</v>
      </c>
      <c r="D166" s="615" t="s">
        <v>679</v>
      </c>
      <c r="E166" s="618" t="str">
        <f>Lists!B96</f>
        <v>Temporary camp - &gt; 750 and &lt;= 1000 persons</v>
      </c>
      <c r="F166" s="36">
        <v>771974.24665918527</v>
      </c>
      <c r="G166" s="570" t="s">
        <v>785</v>
      </c>
      <c r="H166" s="622" t="s">
        <v>786</v>
      </c>
      <c r="I166" s="616" t="s">
        <v>3102</v>
      </c>
    </row>
    <row r="167" spans="3:9" ht="191.25">
      <c r="C167" s="614" t="s">
        <v>797</v>
      </c>
      <c r="D167" s="615" t="s">
        <v>679</v>
      </c>
      <c r="E167" s="618" t="str">
        <f>Lists!B97</f>
        <v>Temporary camp - &gt; 1000 and &lt;= 2000 persons</v>
      </c>
      <c r="F167" s="36">
        <v>1530233.8958609162</v>
      </c>
      <c r="G167" s="570" t="s">
        <v>785</v>
      </c>
      <c r="H167" s="622" t="s">
        <v>786</v>
      </c>
      <c r="I167" s="616" t="s">
        <v>3103</v>
      </c>
    </row>
    <row r="168" spans="3:9" ht="191.25">
      <c r="C168" s="614" t="s">
        <v>798</v>
      </c>
      <c r="D168" s="615" t="s">
        <v>679</v>
      </c>
      <c r="E168" s="618" t="str">
        <f>Lists!B98</f>
        <v>Temporary camp - &gt; 2000 and &lt;= 3000 persons</v>
      </c>
      <c r="F168" s="36">
        <v>2287756.1594088003</v>
      </c>
      <c r="G168" s="570" t="s">
        <v>785</v>
      </c>
      <c r="H168" s="622" t="s">
        <v>786</v>
      </c>
      <c r="I168" s="616" t="s">
        <v>3104</v>
      </c>
    </row>
    <row r="169" spans="3:9" ht="191.25">
      <c r="C169" s="614" t="s">
        <v>799</v>
      </c>
      <c r="D169" s="615" t="s">
        <v>679</v>
      </c>
      <c r="E169" s="618" t="str">
        <f>Lists!B99</f>
        <v>Temporary camp - &gt; 3000 and &lt;= 4000 persons</v>
      </c>
      <c r="F169" s="36">
        <v>3046015.808610531</v>
      </c>
      <c r="G169" s="570" t="s">
        <v>785</v>
      </c>
      <c r="H169" s="622" t="s">
        <v>786</v>
      </c>
      <c r="I169" s="616" t="s">
        <v>3105</v>
      </c>
    </row>
    <row r="170" spans="3:9" ht="191.25">
      <c r="C170" s="614" t="s">
        <v>800</v>
      </c>
      <c r="D170" s="615" t="s">
        <v>679</v>
      </c>
      <c r="E170" s="618" t="str">
        <f>Lists!B100</f>
        <v>Temporary camp - &gt; 4000 and &lt;= 5000 persons</v>
      </c>
      <c r="F170" s="36">
        <v>3803889.6234773444</v>
      </c>
      <c r="G170" s="570" t="s">
        <v>785</v>
      </c>
      <c r="H170" s="622" t="s">
        <v>786</v>
      </c>
      <c r="I170" s="616" t="s">
        <v>3106</v>
      </c>
    </row>
    <row r="171" spans="3:9" ht="191.25">
      <c r="C171" s="614" t="s">
        <v>801</v>
      </c>
      <c r="D171" s="615" t="s">
        <v>679</v>
      </c>
      <c r="E171" s="618" t="str">
        <f>Lists!B101</f>
        <v>Permanent camp - &gt; 0 and &lt;= 20 persons</v>
      </c>
      <c r="F171" s="36">
        <v>65961.998860905558</v>
      </c>
      <c r="G171" s="570" t="s">
        <v>785</v>
      </c>
      <c r="H171" s="622" t="s">
        <v>786</v>
      </c>
      <c r="I171" s="616" t="s">
        <v>3107</v>
      </c>
    </row>
    <row r="172" spans="3:9" ht="191.25">
      <c r="C172" s="614" t="s">
        <v>802</v>
      </c>
      <c r="D172" s="615" t="s">
        <v>679</v>
      </c>
      <c r="E172" s="618" t="str">
        <f>Lists!B102</f>
        <v>Permanent camp - &gt; 20 and &lt;= 50 persons</v>
      </c>
      <c r="F172" s="36">
        <v>106755.63127087669</v>
      </c>
      <c r="G172" s="570" t="s">
        <v>785</v>
      </c>
      <c r="H172" s="622" t="s">
        <v>786</v>
      </c>
      <c r="I172" s="616" t="s">
        <v>3108</v>
      </c>
    </row>
    <row r="173" spans="3:9" ht="191.25">
      <c r="C173" s="614" t="s">
        <v>803</v>
      </c>
      <c r="D173" s="615" t="s">
        <v>679</v>
      </c>
      <c r="E173" s="618" t="str">
        <f>Lists!B103</f>
        <v>Permanent camp - &gt; 50 and &lt;= 100 persons</v>
      </c>
      <c r="F173" s="36">
        <v>176338.29378065755</v>
      </c>
      <c r="G173" s="570" t="s">
        <v>785</v>
      </c>
      <c r="H173" s="622" t="s">
        <v>786</v>
      </c>
      <c r="I173" s="616" t="s">
        <v>3109</v>
      </c>
    </row>
    <row r="174" spans="3:9" ht="191.25">
      <c r="C174" s="614" t="s">
        <v>804</v>
      </c>
      <c r="D174" s="615" t="s">
        <v>679</v>
      </c>
      <c r="E174" s="618" t="str">
        <f>Lists!B104</f>
        <v>Permanent camp - &gt; 100 and &lt;= 150 persons</v>
      </c>
      <c r="F174" s="36">
        <v>243154.37176619083</v>
      </c>
      <c r="G174" s="570" t="s">
        <v>785</v>
      </c>
      <c r="H174" s="622" t="s">
        <v>786</v>
      </c>
      <c r="I174" s="616" t="s">
        <v>3110</v>
      </c>
    </row>
    <row r="175" spans="3:9" ht="191.25">
      <c r="C175" s="614" t="s">
        <v>805</v>
      </c>
      <c r="D175" s="615" t="s">
        <v>679</v>
      </c>
      <c r="E175" s="618" t="str">
        <f>Lists!B105</f>
        <v>Permanent camp - &gt; 150 and &lt;= 200 persons</v>
      </c>
      <c r="F175" s="36">
        <v>312027.15850794496</v>
      </c>
      <c r="G175" s="570" t="s">
        <v>785</v>
      </c>
      <c r="H175" s="622" t="s">
        <v>786</v>
      </c>
      <c r="I175" s="616" t="s">
        <v>3111</v>
      </c>
    </row>
    <row r="176" spans="3:9" ht="191.25">
      <c r="C176" s="614" t="s">
        <v>806</v>
      </c>
      <c r="D176" s="615" t="s">
        <v>679</v>
      </c>
      <c r="E176" s="618" t="str">
        <f>Lists!B106</f>
        <v>Permanent camp - &gt; 200 and &lt;= 250 persons</v>
      </c>
      <c r="F176" s="36">
        <v>393060.26566673891</v>
      </c>
      <c r="G176" s="570" t="s">
        <v>785</v>
      </c>
      <c r="H176" s="622" t="s">
        <v>786</v>
      </c>
      <c r="I176" s="616" t="s">
        <v>3112</v>
      </c>
    </row>
    <row r="177" spans="3:9" ht="191.25">
      <c r="C177" s="614" t="s">
        <v>807</v>
      </c>
      <c r="D177" s="615" t="s">
        <v>679</v>
      </c>
      <c r="E177" s="618" t="str">
        <f>Lists!B107</f>
        <v>Permanent camp - &gt; 250 and &lt;= 300 persons</v>
      </c>
      <c r="F177" s="36">
        <v>453160.03718082147</v>
      </c>
      <c r="G177" s="570" t="s">
        <v>785</v>
      </c>
      <c r="H177" s="622" t="s">
        <v>786</v>
      </c>
      <c r="I177" s="616" t="s">
        <v>3113</v>
      </c>
    </row>
    <row r="178" spans="3:9" ht="191.25">
      <c r="C178" s="614" t="s">
        <v>808</v>
      </c>
      <c r="D178" s="615" t="s">
        <v>679</v>
      </c>
      <c r="E178" s="618" t="str">
        <f>Lists!B108</f>
        <v>Permanent camp - &gt; 300 and &lt;= 400 persons</v>
      </c>
      <c r="F178" s="36">
        <v>575041.13325657649</v>
      </c>
      <c r="G178" s="570" t="s">
        <v>785</v>
      </c>
      <c r="H178" s="622" t="s">
        <v>786</v>
      </c>
      <c r="I178" s="616" t="s">
        <v>3114</v>
      </c>
    </row>
    <row r="179" spans="3:9" ht="191.25">
      <c r="C179" s="614" t="s">
        <v>809</v>
      </c>
      <c r="D179" s="615" t="s">
        <v>679</v>
      </c>
      <c r="E179" s="618" t="str">
        <f>Lists!B109</f>
        <v>Permanent camp - &gt; 400 and &lt;= 500 persons</v>
      </c>
      <c r="F179" s="36">
        <v>721125.78867609019</v>
      </c>
      <c r="G179" s="570" t="s">
        <v>785</v>
      </c>
      <c r="H179" s="622" t="s">
        <v>786</v>
      </c>
      <c r="I179" s="616" t="s">
        <v>3115</v>
      </c>
    </row>
    <row r="180" spans="3:9" ht="191.25">
      <c r="C180" s="614" t="s">
        <v>810</v>
      </c>
      <c r="D180" s="615" t="s">
        <v>679</v>
      </c>
      <c r="E180" s="618" t="str">
        <f>Lists!B110</f>
        <v>Permanent camp - &gt; 500 and &lt;= 750 persons</v>
      </c>
      <c r="F180" s="36">
        <v>903898.72910265415</v>
      </c>
      <c r="G180" s="570" t="s">
        <v>785</v>
      </c>
      <c r="H180" s="622" t="s">
        <v>786</v>
      </c>
      <c r="I180" s="616" t="s">
        <v>3116</v>
      </c>
    </row>
    <row r="181" spans="3:9" ht="191.25">
      <c r="C181" s="614" t="s">
        <v>811</v>
      </c>
      <c r="D181" s="615" t="s">
        <v>679</v>
      </c>
      <c r="E181" s="618" t="str">
        <f>Lists!B111</f>
        <v>Permanent camp - &gt; 750 and &lt;= 1000 persons</v>
      </c>
      <c r="F181" s="36">
        <v>1186839.17838204</v>
      </c>
      <c r="G181" s="570" t="s">
        <v>785</v>
      </c>
      <c r="H181" s="622" t="s">
        <v>786</v>
      </c>
      <c r="I181" s="616" t="s">
        <v>3117</v>
      </c>
    </row>
    <row r="182" spans="3:9" ht="191.25">
      <c r="C182" s="614" t="s">
        <v>812</v>
      </c>
      <c r="D182" s="615" t="s">
        <v>679</v>
      </c>
      <c r="E182" s="618" t="str">
        <f>Lists!B112</f>
        <v>Permanent camp - &gt; 1000 and &lt;= 2000 persons</v>
      </c>
      <c r="F182" s="36">
        <v>2331960.1804206567</v>
      </c>
      <c r="G182" s="570" t="s">
        <v>785</v>
      </c>
      <c r="H182" s="622" t="s">
        <v>786</v>
      </c>
      <c r="I182" s="616" t="s">
        <v>3118</v>
      </c>
    </row>
    <row r="183" spans="3:9" ht="191.25">
      <c r="C183" s="614" t="s">
        <v>813</v>
      </c>
      <c r="D183" s="615" t="s">
        <v>679</v>
      </c>
      <c r="E183" s="618" t="str">
        <f>Lists!B113</f>
        <v>Permanent camp - &gt; 2000 and &lt;= 3000 persons</v>
      </c>
      <c r="F183" s="36">
        <v>3453914.8754953775</v>
      </c>
      <c r="G183" s="570" t="s">
        <v>785</v>
      </c>
      <c r="H183" s="622" t="s">
        <v>786</v>
      </c>
      <c r="I183" s="616" t="s">
        <v>3119</v>
      </c>
    </row>
    <row r="184" spans="3:9" ht="191.25">
      <c r="C184" s="614" t="s">
        <v>814</v>
      </c>
      <c r="D184" s="615" t="s">
        <v>679</v>
      </c>
      <c r="E184" s="618" t="str">
        <f>Lists!B114</f>
        <v>Permanent camp - &gt; 3000 and &lt;= 4000 persons</v>
      </c>
      <c r="F184" s="36">
        <v>4591595.4831378581</v>
      </c>
      <c r="G184" s="570" t="s">
        <v>785</v>
      </c>
      <c r="H184" s="622" t="s">
        <v>786</v>
      </c>
      <c r="I184" s="616" t="s">
        <v>3120</v>
      </c>
    </row>
    <row r="185" spans="3:9" ht="191.25">
      <c r="C185" s="614" t="s">
        <v>815</v>
      </c>
      <c r="D185" s="615" t="s">
        <v>679</v>
      </c>
      <c r="E185" s="618" t="str">
        <f>Lists!B115</f>
        <v>Permanent camp - &gt; 4000 and &lt;= 5000 persons</v>
      </c>
      <c r="F185" s="36">
        <v>5726506.8871532148</v>
      </c>
      <c r="G185" s="570" t="s">
        <v>785</v>
      </c>
      <c r="H185" s="622" t="s">
        <v>786</v>
      </c>
      <c r="I185" s="616" t="s">
        <v>3121</v>
      </c>
    </row>
    <row r="186" spans="3:9" ht="76.5">
      <c r="C186" s="614" t="s">
        <v>816</v>
      </c>
      <c r="D186" s="615" t="s">
        <v>679</v>
      </c>
      <c r="E186" s="618" t="str">
        <f>Lists!B117</f>
        <v>Small temporary camp (&lt;= 50 persons) (footprint)</v>
      </c>
      <c r="F186" s="36">
        <v>41.735840301771688</v>
      </c>
      <c r="G186" s="570" t="s">
        <v>36</v>
      </c>
      <c r="H186" s="622" t="s">
        <v>817</v>
      </c>
      <c r="I186" s="616" t="s">
        <v>818</v>
      </c>
    </row>
    <row r="187" spans="3:9" ht="76.5">
      <c r="C187" s="614" t="s">
        <v>819</v>
      </c>
      <c r="D187" s="615" t="s">
        <v>679</v>
      </c>
      <c r="E187" s="618" t="str">
        <f>Lists!B118</f>
        <v>Larger temporary camp (&gt; 50 persons) (footprint)</v>
      </c>
      <c r="F187" s="36">
        <v>42.229803177010716</v>
      </c>
      <c r="G187" s="570" t="s">
        <v>36</v>
      </c>
      <c r="H187" s="622" t="s">
        <v>817</v>
      </c>
      <c r="I187" s="616" t="s">
        <v>818</v>
      </c>
    </row>
    <row r="188" spans="3:9" ht="76.5">
      <c r="C188" s="614" t="s">
        <v>820</v>
      </c>
      <c r="D188" s="615" t="s">
        <v>679</v>
      </c>
      <c r="E188" s="618" t="str">
        <f>Lists!B119</f>
        <v>Small permanent camp (&lt;= 50 persons)  (footprint)</v>
      </c>
      <c r="F188" s="36">
        <v>37.614179653485699</v>
      </c>
      <c r="G188" s="570" t="s">
        <v>36</v>
      </c>
      <c r="H188" s="622" t="s">
        <v>817</v>
      </c>
      <c r="I188" s="616" t="s">
        <v>818</v>
      </c>
    </row>
    <row r="189" spans="3:9" ht="76.5">
      <c r="C189" s="614" t="s">
        <v>821</v>
      </c>
      <c r="D189" s="615" t="s">
        <v>679</v>
      </c>
      <c r="E189" s="618" t="str">
        <f>Lists!B120</f>
        <v>Larger permanent camp (&gt; 50 persons)  (footprint)</v>
      </c>
      <c r="F189" s="36">
        <v>40.152487718749271</v>
      </c>
      <c r="G189" s="570" t="s">
        <v>36</v>
      </c>
      <c r="H189" s="622" t="s">
        <v>817</v>
      </c>
      <c r="I189" s="616" t="s">
        <v>818</v>
      </c>
    </row>
    <row r="190" spans="3:9" ht="89.25">
      <c r="C190" s="614" t="s">
        <v>822</v>
      </c>
      <c r="D190" s="615" t="s">
        <v>679</v>
      </c>
      <c r="E190" s="618" t="str">
        <f>Lists!B181</f>
        <v>Communications Tower</v>
      </c>
      <c r="F190" s="36">
        <v>30188.568716351067</v>
      </c>
      <c r="G190" s="570" t="s">
        <v>823</v>
      </c>
      <c r="H190" s="622" t="s">
        <v>824</v>
      </c>
      <c r="I190" s="616" t="s">
        <v>3122</v>
      </c>
    </row>
    <row r="191" spans="3:9" ht="102">
      <c r="C191" s="614" t="s">
        <v>825</v>
      </c>
      <c r="D191" s="615" t="s">
        <v>679</v>
      </c>
      <c r="E191" s="618" t="str">
        <f>Lists!B177</f>
        <v>Overhead powerlines (steel towers)</v>
      </c>
      <c r="F191" s="36">
        <v>25555.744573689983</v>
      </c>
      <c r="G191" s="570" t="s">
        <v>24</v>
      </c>
      <c r="H191" s="2" t="s">
        <v>826</v>
      </c>
      <c r="I191" s="616" t="s">
        <v>3123</v>
      </c>
    </row>
    <row r="192" spans="3:9" ht="102">
      <c r="C192" s="614" t="s">
        <v>827</v>
      </c>
      <c r="D192" s="615" t="s">
        <v>679</v>
      </c>
      <c r="E192" s="618" t="str">
        <f>Lists!B178</f>
        <v>Overhead powerlines (wooden poles)</v>
      </c>
      <c r="F192" s="36">
        <v>18053.342161838649</v>
      </c>
      <c r="G192" s="570" t="s">
        <v>24</v>
      </c>
      <c r="H192" s="2" t="s">
        <v>828</v>
      </c>
      <c r="I192" s="616" t="s">
        <v>3124</v>
      </c>
    </row>
    <row r="193" spans="3:9" ht="76.5">
      <c r="C193" s="614" t="s">
        <v>829</v>
      </c>
      <c r="D193" s="615" t="s">
        <v>679</v>
      </c>
      <c r="E193" s="618" t="str">
        <f>Lists!B179</f>
        <v>Overhead powerlines (concrete poles)</v>
      </c>
      <c r="F193" s="36">
        <v>27685.49059499495</v>
      </c>
      <c r="G193" s="570" t="s">
        <v>24</v>
      </c>
      <c r="H193" s="2" t="s">
        <v>830</v>
      </c>
      <c r="I193" s="616" t="s">
        <v>3125</v>
      </c>
    </row>
    <row r="194" spans="3:9" ht="51">
      <c r="C194" s="614" t="s">
        <v>831</v>
      </c>
      <c r="D194" s="615" t="s">
        <v>679</v>
      </c>
      <c r="E194" s="618" t="str">
        <f>Lists!B82</f>
        <v>Substation</v>
      </c>
      <c r="F194" s="36">
        <v>660</v>
      </c>
      <c r="G194" s="570" t="s">
        <v>438</v>
      </c>
      <c r="H194" s="24" t="s">
        <v>832</v>
      </c>
      <c r="I194" s="616" t="s">
        <v>3126</v>
      </c>
    </row>
    <row r="195" spans="3:9" ht="51">
      <c r="C195" s="614" t="s">
        <v>833</v>
      </c>
      <c r="D195" s="615" t="s">
        <v>679</v>
      </c>
      <c r="E195" s="618" t="str">
        <f>Lists!B83</f>
        <v>Switchyard</v>
      </c>
      <c r="F195" s="36">
        <v>60.500000000000007</v>
      </c>
      <c r="G195" s="570" t="s">
        <v>438</v>
      </c>
      <c r="H195" s="2" t="s">
        <v>834</v>
      </c>
      <c r="I195" s="616" t="s">
        <v>3127</v>
      </c>
    </row>
    <row r="196" spans="3:9" ht="51">
      <c r="C196" s="614" t="s">
        <v>835</v>
      </c>
      <c r="D196" s="615" t="s">
        <v>679</v>
      </c>
      <c r="E196" s="618" t="s">
        <v>836</v>
      </c>
      <c r="F196" s="36">
        <v>60.500000000000007</v>
      </c>
      <c r="G196" s="570" t="s">
        <v>11</v>
      </c>
      <c r="H196" s="2" t="s">
        <v>837</v>
      </c>
      <c r="I196" s="616" t="s">
        <v>3128</v>
      </c>
    </row>
    <row r="197" spans="3:9" ht="51">
      <c r="C197" s="614" t="s">
        <v>838</v>
      </c>
      <c r="D197" s="615" t="s">
        <v>679</v>
      </c>
      <c r="E197" s="618" t="s">
        <v>839</v>
      </c>
      <c r="F197" s="36">
        <v>71500</v>
      </c>
      <c r="G197" s="570" t="s">
        <v>178</v>
      </c>
      <c r="H197" s="2" t="s">
        <v>840</v>
      </c>
      <c r="I197" s="616" t="s">
        <v>3129</v>
      </c>
    </row>
    <row r="198" spans="3:9" ht="38.25">
      <c r="C198" s="614" t="s">
        <v>841</v>
      </c>
      <c r="D198" s="615" t="s">
        <v>679</v>
      </c>
      <c r="E198" s="618" t="s">
        <v>842</v>
      </c>
      <c r="F198" s="36">
        <v>291.5</v>
      </c>
      <c r="G198" s="570" t="s">
        <v>438</v>
      </c>
      <c r="H198" s="2" t="s">
        <v>843</v>
      </c>
      <c r="I198" s="616" t="s">
        <v>3130</v>
      </c>
    </row>
    <row r="199" spans="3:9" ht="51">
      <c r="C199" s="614" t="s">
        <v>844</v>
      </c>
      <c r="D199" s="615" t="s">
        <v>679</v>
      </c>
      <c r="E199" s="618" t="s">
        <v>845</v>
      </c>
      <c r="F199" s="231">
        <v>3.6106078860610458</v>
      </c>
      <c r="G199" s="570" t="s">
        <v>36</v>
      </c>
      <c r="H199" s="2" t="s">
        <v>846</v>
      </c>
      <c r="I199" s="616" t="s">
        <v>3131</v>
      </c>
    </row>
    <row r="200" spans="3:9" ht="114.75">
      <c r="C200" s="614" t="s">
        <v>847</v>
      </c>
      <c r="D200" s="615" t="s">
        <v>679</v>
      </c>
      <c r="E200" s="618" t="s">
        <v>848</v>
      </c>
      <c r="F200" s="36">
        <v>144.18701673232124</v>
      </c>
      <c r="G200" s="570" t="s">
        <v>250</v>
      </c>
      <c r="H200" s="2" t="s">
        <v>849</v>
      </c>
      <c r="I200" s="616" t="s">
        <v>3132</v>
      </c>
    </row>
    <row r="201" spans="3:9" ht="51">
      <c r="C201" s="614" t="s">
        <v>850</v>
      </c>
      <c r="D201" s="615" t="s">
        <v>679</v>
      </c>
      <c r="E201" s="618" t="str">
        <f>Lists!B56</f>
        <v>Water Treatment Plant (company owned)</v>
      </c>
      <c r="F201" s="36">
        <v>3353.2264722415275</v>
      </c>
      <c r="G201" s="570" t="s">
        <v>205</v>
      </c>
      <c r="H201" s="2" t="s">
        <v>851</v>
      </c>
      <c r="I201" s="616" t="s">
        <v>3133</v>
      </c>
    </row>
    <row r="202" spans="3:9" ht="76.5">
      <c r="C202" s="614" t="s">
        <v>852</v>
      </c>
      <c r="D202" s="615" t="s">
        <v>679</v>
      </c>
      <c r="E202" s="618" t="str">
        <f>Lists!B57</f>
        <v>Light Vehicle Wash Down</v>
      </c>
      <c r="F202" s="36">
        <v>145.61506167356654</v>
      </c>
      <c r="G202" s="570" t="s">
        <v>36</v>
      </c>
      <c r="H202" s="2" t="s">
        <v>853</v>
      </c>
      <c r="I202" s="616" t="s">
        <v>3134</v>
      </c>
    </row>
    <row r="203" spans="3:9" ht="76.5">
      <c r="C203" s="614" t="s">
        <v>854</v>
      </c>
      <c r="D203" s="615" t="s">
        <v>679</v>
      </c>
      <c r="E203" s="618" t="str">
        <f>Lists!B58</f>
        <v>Heavy Vehicle Wash Down</v>
      </c>
      <c r="F203" s="36">
        <v>80.741010271460752</v>
      </c>
      <c r="G203" s="570" t="s">
        <v>36</v>
      </c>
      <c r="H203" s="2" t="s">
        <v>855</v>
      </c>
      <c r="I203" s="616" t="s">
        <v>3135</v>
      </c>
    </row>
    <row r="204" spans="3:9" ht="63.75">
      <c r="C204" s="614" t="s">
        <v>856</v>
      </c>
      <c r="D204" s="615" t="s">
        <v>679</v>
      </c>
      <c r="E204" s="618" t="str">
        <f>Lists!B59</f>
        <v>Water Filling Station</v>
      </c>
      <c r="F204" s="36">
        <v>3490.9437991512991</v>
      </c>
      <c r="G204" s="570" t="s">
        <v>138</v>
      </c>
      <c r="H204" s="2" t="s">
        <v>857</v>
      </c>
      <c r="I204" s="616" t="s">
        <v>3136</v>
      </c>
    </row>
    <row r="205" spans="3:9" ht="63.75">
      <c r="C205" s="614" t="s">
        <v>858</v>
      </c>
      <c r="D205" s="615" t="s">
        <v>679</v>
      </c>
      <c r="E205" s="618" t="str">
        <f>Lists!B60</f>
        <v>Fuel Filling Station</v>
      </c>
      <c r="F205" s="36">
        <v>14725.861082930895</v>
      </c>
      <c r="G205" s="570" t="s">
        <v>138</v>
      </c>
      <c r="H205" s="2" t="s">
        <v>859</v>
      </c>
      <c r="I205" s="616" t="s">
        <v>3137</v>
      </c>
    </row>
    <row r="206" spans="3:9" ht="63.75">
      <c r="C206" s="614" t="s">
        <v>860</v>
      </c>
      <c r="D206" s="615" t="s">
        <v>679</v>
      </c>
      <c r="E206" s="618" t="str">
        <f>Lists!B61</f>
        <v>Oil/water separator</v>
      </c>
      <c r="F206" s="36">
        <v>240.06248883583154</v>
      </c>
      <c r="G206" s="570" t="s">
        <v>36</v>
      </c>
      <c r="H206" s="2" t="s">
        <v>861</v>
      </c>
      <c r="I206" s="616" t="s">
        <v>3138</v>
      </c>
    </row>
    <row r="207" spans="3:9" ht="38.25">
      <c r="C207" s="614" t="s">
        <v>862</v>
      </c>
      <c r="D207" s="615" t="s">
        <v>679</v>
      </c>
      <c r="E207" s="618" t="str">
        <f>Lists!$B$281</f>
        <v>Remove bitumen (aprons, sealed areas) for dumping in a void on-site</v>
      </c>
      <c r="F207" s="36">
        <v>10</v>
      </c>
      <c r="G207" s="570" t="s">
        <v>36</v>
      </c>
      <c r="H207" s="2" t="s">
        <v>863</v>
      </c>
      <c r="I207" s="616" t="s">
        <v>3139</v>
      </c>
    </row>
    <row r="208" spans="3:9" ht="38.25">
      <c r="C208" s="614" t="s">
        <v>864</v>
      </c>
      <c r="D208" s="615" t="s">
        <v>679</v>
      </c>
      <c r="E208" s="618" t="str">
        <f>Lists!$B$282</f>
        <v>Remove bitumen (airstrip) for dumping in a void on-site</v>
      </c>
      <c r="F208" s="36">
        <v>20</v>
      </c>
      <c r="G208" s="570" t="s">
        <v>36</v>
      </c>
      <c r="H208" s="2" t="s">
        <v>865</v>
      </c>
      <c r="I208" s="616" t="s">
        <v>3140</v>
      </c>
    </row>
    <row r="209" spans="3:9" ht="38.25">
      <c r="C209" s="614" t="s">
        <v>866</v>
      </c>
      <c r="D209" s="615" t="s">
        <v>679</v>
      </c>
      <c r="E209" s="618" t="str">
        <f>Lists!$B$79</f>
        <v>Remove concrete pads &amp; footings (&lt;=0.3 m thickness) and dumping in void</v>
      </c>
      <c r="F209" s="36">
        <v>37</v>
      </c>
      <c r="G209" s="570" t="s">
        <v>36</v>
      </c>
      <c r="H209" s="2" t="s">
        <v>867</v>
      </c>
      <c r="I209" s="616" t="s">
        <v>3141</v>
      </c>
    </row>
    <row r="210" spans="3:9" ht="38.25">
      <c r="C210" s="614" t="s">
        <v>869</v>
      </c>
      <c r="D210" s="615" t="s">
        <v>679</v>
      </c>
      <c r="E210" s="618" t="str">
        <f>Lists!$B$80</f>
        <v>Remove concrete pads &amp; footings (&gt;0.3 m thickness) and dumping in void</v>
      </c>
      <c r="F210" s="36">
        <v>75</v>
      </c>
      <c r="G210" s="570" t="s">
        <v>36</v>
      </c>
      <c r="H210" s="2" t="s">
        <v>868</v>
      </c>
      <c r="I210" s="616" t="s">
        <v>3141</v>
      </c>
    </row>
    <row r="211" spans="3:9" ht="38.25">
      <c r="C211" s="614" t="s">
        <v>870</v>
      </c>
      <c r="D211" s="615" t="s">
        <v>679</v>
      </c>
      <c r="E211" s="618" t="str">
        <f>Lists!$B$285</f>
        <v>Crush concrete to make road aggregate - 75 mm</v>
      </c>
      <c r="F211" s="36">
        <v>10</v>
      </c>
      <c r="G211" s="570" t="s">
        <v>33</v>
      </c>
      <c r="H211" s="2" t="s">
        <v>871</v>
      </c>
      <c r="I211" s="616" t="s">
        <v>3142</v>
      </c>
    </row>
    <row r="212" spans="3:9" ht="38.25">
      <c r="C212" s="614" t="s">
        <v>873</v>
      </c>
      <c r="D212" s="615" t="s">
        <v>679</v>
      </c>
      <c r="E212" s="618" t="str">
        <f>Lists!$B$286</f>
        <v>Crush concrete to make road aggregate - 50 mm</v>
      </c>
      <c r="F212" s="36">
        <v>13</v>
      </c>
      <c r="G212" s="570" t="s">
        <v>33</v>
      </c>
      <c r="H212" s="2" t="s">
        <v>872</v>
      </c>
      <c r="I212" s="616" t="s">
        <v>3142</v>
      </c>
    </row>
    <row r="213" spans="3:9" ht="38.25">
      <c r="C213" s="614" t="s">
        <v>874</v>
      </c>
      <c r="D213" s="615" t="s">
        <v>679</v>
      </c>
      <c r="E213" s="618" t="str">
        <f>Lists!$B$287</f>
        <v>Crush concrete to make road aggregate - 30 mm</v>
      </c>
      <c r="F213" s="36">
        <v>15</v>
      </c>
      <c r="G213" s="570" t="s">
        <v>33</v>
      </c>
      <c r="H213" s="2" t="s">
        <v>875</v>
      </c>
      <c r="I213" s="616" t="s">
        <v>3142</v>
      </c>
    </row>
    <row r="214" spans="3:9" ht="38.25">
      <c r="C214" s="614" t="s">
        <v>876</v>
      </c>
      <c r="D214" s="615" t="s">
        <v>679</v>
      </c>
      <c r="E214" s="623" t="s">
        <v>126</v>
      </c>
      <c r="F214" s="36">
        <v>20</v>
      </c>
      <c r="G214" s="570" t="s">
        <v>11</v>
      </c>
      <c r="H214" s="2" t="s">
        <v>877</v>
      </c>
      <c r="I214" s="616" t="s">
        <v>3143</v>
      </c>
    </row>
    <row r="215" spans="3:9" ht="38.25">
      <c r="C215" s="614" t="s">
        <v>878</v>
      </c>
      <c r="D215" s="615" t="s">
        <v>679</v>
      </c>
      <c r="E215" s="621" t="s">
        <v>879</v>
      </c>
      <c r="F215" s="38">
        <v>21.12</v>
      </c>
      <c r="G215" s="570" t="s">
        <v>11</v>
      </c>
      <c r="H215" s="2" t="s">
        <v>880</v>
      </c>
      <c r="I215" s="616" t="s">
        <v>3144</v>
      </c>
    </row>
    <row r="216" spans="3:9" ht="38.25">
      <c r="C216" s="614" t="s">
        <v>881</v>
      </c>
      <c r="D216" s="615" t="s">
        <v>679</v>
      </c>
      <c r="E216" s="621" t="s">
        <v>882</v>
      </c>
      <c r="F216" s="38">
        <v>16.72</v>
      </c>
      <c r="G216" s="570" t="s">
        <v>11</v>
      </c>
      <c r="H216" s="2" t="s">
        <v>880</v>
      </c>
      <c r="I216" s="616" t="s">
        <v>3145</v>
      </c>
    </row>
    <row r="217" spans="3:9" ht="63.75">
      <c r="C217" s="614" t="s">
        <v>883</v>
      </c>
      <c r="D217" s="615" t="s">
        <v>679</v>
      </c>
      <c r="E217" s="618" t="s">
        <v>884</v>
      </c>
      <c r="F217" s="231">
        <v>0.65</v>
      </c>
      <c r="G217" s="570" t="s">
        <v>36</v>
      </c>
      <c r="H217" s="2" t="s">
        <v>885</v>
      </c>
      <c r="I217" s="616" t="s">
        <v>3146</v>
      </c>
    </row>
    <row r="218" spans="3:9" ht="38.25">
      <c r="C218" s="614" t="s">
        <v>886</v>
      </c>
      <c r="D218" s="615" t="s">
        <v>679</v>
      </c>
      <c r="E218" s="618" t="s">
        <v>887</v>
      </c>
      <c r="F218" s="586">
        <v>400.15945742176939</v>
      </c>
      <c r="G218" s="570" t="s">
        <v>95</v>
      </c>
      <c r="H218" s="2" t="s">
        <v>888</v>
      </c>
      <c r="I218" s="616" t="s">
        <v>3147</v>
      </c>
    </row>
    <row r="219" spans="3:9" ht="76.5">
      <c r="C219" s="614" t="s">
        <v>889</v>
      </c>
      <c r="D219" s="615" t="s">
        <v>679</v>
      </c>
      <c r="E219" s="618" t="str">
        <f>Lists!B515</f>
        <v>Vertical, Steel, Open top, Earth, Single skin, Lined, 0.14 ML</v>
      </c>
      <c r="F219" s="560">
        <v>3616.5085494319578</v>
      </c>
      <c r="G219" s="570" t="s">
        <v>575</v>
      </c>
      <c r="H219" s="2" t="s">
        <v>890</v>
      </c>
      <c r="I219" s="616" t="s">
        <v>3148</v>
      </c>
    </row>
    <row r="220" spans="3:9" ht="76.5">
      <c r="C220" s="614" t="s">
        <v>891</v>
      </c>
      <c r="D220" s="615" t="s">
        <v>679</v>
      </c>
      <c r="E220" s="618" t="str">
        <f>Lists!B516</f>
        <v>Vertical, Steel, Open top, Earth, Single skin, Lined, 0.6 ML</v>
      </c>
      <c r="F220" s="560">
        <v>6543.8702042421319</v>
      </c>
      <c r="G220" s="570" t="s">
        <v>575</v>
      </c>
      <c r="H220" s="2" t="s">
        <v>890</v>
      </c>
      <c r="I220" s="616" t="s">
        <v>3148</v>
      </c>
    </row>
    <row r="221" spans="3:9" ht="76.5">
      <c r="C221" s="614" t="s">
        <v>892</v>
      </c>
      <c r="D221" s="615" t="s">
        <v>679</v>
      </c>
      <c r="E221" s="618" t="str">
        <f>Lists!B517</f>
        <v>Vertical, Steel, Open top, Earth, Single skin, Lined, 1 ML</v>
      </c>
      <c r="F221" s="560">
        <v>7430.270581491317</v>
      </c>
      <c r="G221" s="570" t="s">
        <v>575</v>
      </c>
      <c r="H221" s="2" t="s">
        <v>890</v>
      </c>
      <c r="I221" s="616" t="s">
        <v>3148</v>
      </c>
    </row>
    <row r="222" spans="3:9" ht="76.5">
      <c r="C222" s="614" t="s">
        <v>893</v>
      </c>
      <c r="D222" s="615" t="s">
        <v>679</v>
      </c>
      <c r="E222" s="618" t="str">
        <f>Lists!B518</f>
        <v>Vertical, Steel, Open top, Earth, Single skin, Lined, 3.5 ML</v>
      </c>
      <c r="F222" s="560">
        <v>15589.922184833933</v>
      </c>
      <c r="G222" s="570" t="s">
        <v>575</v>
      </c>
      <c r="H222" s="2" t="s">
        <v>890</v>
      </c>
      <c r="I222" s="616" t="s">
        <v>3148</v>
      </c>
    </row>
    <row r="223" spans="3:9" ht="76.5">
      <c r="C223" s="614" t="s">
        <v>894</v>
      </c>
      <c r="D223" s="615" t="s">
        <v>679</v>
      </c>
      <c r="E223" s="618" t="str">
        <f>Lists!B519</f>
        <v>Vertical, Steel, Open top, Earth, Single skin, Lined, 7 ML</v>
      </c>
      <c r="F223" s="560">
        <v>24675.346492518187</v>
      </c>
      <c r="G223" s="570" t="s">
        <v>575</v>
      </c>
      <c r="H223" s="2" t="s">
        <v>890</v>
      </c>
      <c r="I223" s="616" t="s">
        <v>3148</v>
      </c>
    </row>
    <row r="224" spans="3:9" ht="76.5">
      <c r="C224" s="614" t="s">
        <v>895</v>
      </c>
      <c r="D224" s="615" t="s">
        <v>679</v>
      </c>
      <c r="E224" s="618" t="str">
        <f>Lists!B520</f>
        <v>Vertical, Steel, Open top, Earth, Single skin, Lined, 8 ML</v>
      </c>
      <c r="F224" s="560">
        <v>28165.581794722446</v>
      </c>
      <c r="G224" s="570" t="s">
        <v>575</v>
      </c>
      <c r="H224" s="2" t="s">
        <v>890</v>
      </c>
      <c r="I224" s="616" t="s">
        <v>3148</v>
      </c>
    </row>
    <row r="225" spans="3:9" ht="76.5">
      <c r="C225" s="614" t="s">
        <v>896</v>
      </c>
      <c r="D225" s="615" t="s">
        <v>679</v>
      </c>
      <c r="E225" s="618" t="str">
        <f>Lists!B521</f>
        <v>Vertical, Steel, Open top, Earth, Single skin, Lined, 12 ML</v>
      </c>
      <c r="F225" s="560">
        <v>33078.119638931283</v>
      </c>
      <c r="G225" s="570" t="s">
        <v>575</v>
      </c>
      <c r="H225" s="2" t="s">
        <v>890</v>
      </c>
      <c r="I225" s="616" t="s">
        <v>3148</v>
      </c>
    </row>
    <row r="226" spans="3:9" ht="76.5">
      <c r="C226" s="614" t="s">
        <v>897</v>
      </c>
      <c r="D226" s="615" t="s">
        <v>679</v>
      </c>
      <c r="E226" s="618" t="str">
        <f>Lists!B522</f>
        <v>Vertical, Steel, Open top, Earth, Single skin, Lined, 17 ML</v>
      </c>
      <c r="F226" s="560">
        <v>44197.130488219977</v>
      </c>
      <c r="G226" s="570" t="s">
        <v>575</v>
      </c>
      <c r="H226" s="2" t="s">
        <v>890</v>
      </c>
      <c r="I226" s="616" t="s">
        <v>3148</v>
      </c>
    </row>
    <row r="227" spans="3:9" ht="76.5">
      <c r="C227" s="614" t="s">
        <v>898</v>
      </c>
      <c r="D227" s="615" t="s">
        <v>679</v>
      </c>
      <c r="E227" s="618" t="str">
        <f>Lists!B523</f>
        <v>Concrete Ring, Steel, Open top, Earth, Single skin, Lined, 4 kL</v>
      </c>
      <c r="F227" s="560">
        <v>15559.756341241293</v>
      </c>
      <c r="G227" s="570" t="s">
        <v>575</v>
      </c>
      <c r="H227" s="2" t="s">
        <v>890</v>
      </c>
      <c r="I227" s="616" t="s">
        <v>3149</v>
      </c>
    </row>
    <row r="228" spans="3:9" ht="76.5">
      <c r="C228" s="614" t="s">
        <v>899</v>
      </c>
      <c r="D228" s="615" t="s">
        <v>679</v>
      </c>
      <c r="E228" s="618" t="str">
        <f>Lists!B524</f>
        <v>Concrete Ring, Steel, Open top, Earth, Single skin, Lined, 8 kL</v>
      </c>
      <c r="F228" s="560">
        <v>23306.347912088291</v>
      </c>
      <c r="G228" s="570" t="s">
        <v>575</v>
      </c>
      <c r="H228" s="2" t="s">
        <v>890</v>
      </c>
      <c r="I228" s="616" t="s">
        <v>3149</v>
      </c>
    </row>
    <row r="229" spans="3:9" ht="76.5">
      <c r="C229" s="614" t="s">
        <v>900</v>
      </c>
      <c r="D229" s="615" t="s">
        <v>679</v>
      </c>
      <c r="E229" s="618" t="str">
        <f>Lists!B525</f>
        <v>Concrete Ring, Steel, Open top, Earth, Single skin, Lined, 12 kL</v>
      </c>
      <c r="F229" s="560">
        <v>29025.07297832983</v>
      </c>
      <c r="G229" s="570" t="s">
        <v>575</v>
      </c>
      <c r="H229" s="2" t="s">
        <v>890</v>
      </c>
      <c r="I229" s="616" t="s">
        <v>3149</v>
      </c>
    </row>
    <row r="230" spans="3:9" ht="63.75">
      <c r="C230" s="614" t="s">
        <v>901</v>
      </c>
      <c r="D230" s="615" t="s">
        <v>679</v>
      </c>
      <c r="E230" s="618" t="str">
        <f>Lists!B526</f>
        <v>Horizontal, Steel, Closed top, Skid, Single skin, Not lined, 1.2 kL</v>
      </c>
      <c r="F230" s="560">
        <v>1370.4146400743798</v>
      </c>
      <c r="G230" s="570" t="s">
        <v>575</v>
      </c>
      <c r="H230" s="2" t="s">
        <v>890</v>
      </c>
      <c r="I230" s="616" t="s">
        <v>3150</v>
      </c>
    </row>
    <row r="231" spans="3:9" ht="63.75">
      <c r="C231" s="614" t="s">
        <v>902</v>
      </c>
      <c r="D231" s="615" t="s">
        <v>679</v>
      </c>
      <c r="E231" s="618" t="str">
        <f>Lists!B527</f>
        <v>Horizontal, Steel, Closed top, Skid, Single skin, Not lined, 5 kL</v>
      </c>
      <c r="F231" s="560">
        <v>1527.4458652198159</v>
      </c>
      <c r="G231" s="570" t="s">
        <v>575</v>
      </c>
      <c r="H231" s="2" t="s">
        <v>890</v>
      </c>
      <c r="I231" s="616" t="s">
        <v>3150</v>
      </c>
    </row>
    <row r="232" spans="3:9" ht="63.75">
      <c r="C232" s="614" t="s">
        <v>903</v>
      </c>
      <c r="D232" s="615" t="s">
        <v>679</v>
      </c>
      <c r="E232" s="618" t="str">
        <f>Lists!B528</f>
        <v>Horizontal, Steel, Closed top, Skid, Single skin, Not lined, 10 kL</v>
      </c>
      <c r="F232" s="560">
        <v>1703.7843137042512</v>
      </c>
      <c r="G232" s="570" t="s">
        <v>575</v>
      </c>
      <c r="H232" s="2" t="s">
        <v>890</v>
      </c>
      <c r="I232" s="616" t="s">
        <v>3150</v>
      </c>
    </row>
    <row r="233" spans="3:9" ht="63.75">
      <c r="C233" s="614" t="s">
        <v>904</v>
      </c>
      <c r="D233" s="615" t="s">
        <v>679</v>
      </c>
      <c r="E233" s="618" t="str">
        <f>Lists!B529</f>
        <v>Horizontal, Steel, Closed top, Skid, Single skin, Not lined, 20 kL</v>
      </c>
      <c r="F233" s="560">
        <v>1995.77714198845</v>
      </c>
      <c r="G233" s="570" t="s">
        <v>575</v>
      </c>
      <c r="H233" s="2" t="s">
        <v>890</v>
      </c>
      <c r="I233" s="616" t="s">
        <v>3150</v>
      </c>
    </row>
    <row r="234" spans="3:9" ht="63.75">
      <c r="C234" s="614" t="s">
        <v>905</v>
      </c>
      <c r="D234" s="615" t="s">
        <v>679</v>
      </c>
      <c r="E234" s="618" t="str">
        <f>Lists!B530</f>
        <v>Horizontal, Steel, Closed top, Skid, Single skin, Not lined, 30 kL</v>
      </c>
      <c r="F234" s="560">
        <v>2093.8108621338506</v>
      </c>
      <c r="G234" s="570" t="s">
        <v>575</v>
      </c>
      <c r="H234" s="2" t="s">
        <v>890</v>
      </c>
      <c r="I234" s="616" t="s">
        <v>3150</v>
      </c>
    </row>
    <row r="235" spans="3:9" ht="63.75">
      <c r="C235" s="614" t="s">
        <v>906</v>
      </c>
      <c r="D235" s="615" t="s">
        <v>679</v>
      </c>
      <c r="E235" s="618" t="str">
        <f>Lists!B531</f>
        <v>Horizontal, Steel, Closed top, Skid, Single skin, Not lined, 40 kL</v>
      </c>
      <c r="F235" s="560">
        <v>2374.9150689675726</v>
      </c>
      <c r="G235" s="570" t="s">
        <v>575</v>
      </c>
      <c r="H235" s="2" t="s">
        <v>890</v>
      </c>
      <c r="I235" s="616" t="s">
        <v>3150</v>
      </c>
    </row>
    <row r="236" spans="3:9" ht="63.75">
      <c r="C236" s="614" t="s">
        <v>907</v>
      </c>
      <c r="D236" s="615" t="s">
        <v>679</v>
      </c>
      <c r="E236" s="618" t="str">
        <f>Lists!B532</f>
        <v>Horizontal, Steel, Closed top, Skid, Single skin, Not lined, 50 kL</v>
      </c>
      <c r="F236" s="560">
        <v>2594.9096656200509</v>
      </c>
      <c r="G236" s="570" t="s">
        <v>575</v>
      </c>
      <c r="H236" s="2" t="s">
        <v>890</v>
      </c>
      <c r="I236" s="616" t="s">
        <v>3150</v>
      </c>
    </row>
    <row r="237" spans="3:9" ht="63.75">
      <c r="C237" s="614" t="s">
        <v>908</v>
      </c>
      <c r="D237" s="615" t="s">
        <v>679</v>
      </c>
      <c r="E237" s="618" t="str">
        <f>Lists!B533</f>
        <v>Horizontal, Steel, Closed top, Skid, Single skin, Not lined, 55 kL</v>
      </c>
      <c r="F237" s="560">
        <v>2668.241197837544</v>
      </c>
      <c r="G237" s="570" t="s">
        <v>575</v>
      </c>
      <c r="H237" s="2" t="s">
        <v>890</v>
      </c>
      <c r="I237" s="616" t="s">
        <v>3150</v>
      </c>
    </row>
    <row r="238" spans="3:9" ht="63.75">
      <c r="C238" s="614" t="s">
        <v>909</v>
      </c>
      <c r="D238" s="615" t="s">
        <v>679</v>
      </c>
      <c r="E238" s="618" t="str">
        <f>Lists!B534</f>
        <v>Horizontal, Steel, Closed top, Skid, Single skin, Not lined, 70 kL</v>
      </c>
      <c r="F238" s="560">
        <v>2961.5673267075149</v>
      </c>
      <c r="G238" s="570" t="s">
        <v>575</v>
      </c>
      <c r="H238" s="2" t="s">
        <v>890</v>
      </c>
      <c r="I238" s="616" t="s">
        <v>3150</v>
      </c>
    </row>
    <row r="239" spans="3:9" ht="63.75">
      <c r="C239" s="614" t="s">
        <v>910</v>
      </c>
      <c r="D239" s="615" t="s">
        <v>679</v>
      </c>
      <c r="E239" s="618" t="str">
        <f>Lists!B535</f>
        <v>Horizontal, Steel, Closed top, Skid, Single skin, Not lined, 90 kL</v>
      </c>
      <c r="F239" s="560">
        <v>3105.5533860047144</v>
      </c>
      <c r="G239" s="570" t="s">
        <v>575</v>
      </c>
      <c r="H239" s="2" t="s">
        <v>890</v>
      </c>
      <c r="I239" s="616" t="s">
        <v>3150</v>
      </c>
    </row>
    <row r="240" spans="3:9" ht="63.75">
      <c r="C240" s="614" t="s">
        <v>911</v>
      </c>
      <c r="D240" s="615" t="s">
        <v>679</v>
      </c>
      <c r="E240" s="618" t="str">
        <f>Lists!B536</f>
        <v>Horizontal, Steel, Closed top, Skid, Single skin, Not lined, 110 kL</v>
      </c>
      <c r="F240" s="560">
        <v>3383.1465679625685</v>
      </c>
      <c r="G240" s="570" t="s">
        <v>575</v>
      </c>
      <c r="H240" s="2" t="s">
        <v>890</v>
      </c>
      <c r="I240" s="616" t="s">
        <v>3150</v>
      </c>
    </row>
    <row r="241" spans="3:9" ht="63.75">
      <c r="C241" s="614" t="s">
        <v>912</v>
      </c>
      <c r="D241" s="615" t="s">
        <v>679</v>
      </c>
      <c r="E241" s="618" t="str">
        <f>Lists!B537</f>
        <v>Vertical, Steel, Closed top, Steel, Single skin, Not lined, 100 kL</v>
      </c>
      <c r="F241" s="560">
        <v>4565.7622203920992</v>
      </c>
      <c r="G241" s="570" t="s">
        <v>575</v>
      </c>
      <c r="H241" s="2" t="s">
        <v>890</v>
      </c>
      <c r="I241" s="616" t="s">
        <v>3150</v>
      </c>
    </row>
    <row r="242" spans="3:9" ht="63.75">
      <c r="C242" s="614" t="s">
        <v>913</v>
      </c>
      <c r="D242" s="615" t="s">
        <v>679</v>
      </c>
      <c r="E242" s="618" t="str">
        <f>Lists!B538</f>
        <v>Vertical, Steel, Closed top, Steel, Single skin, Not lined, 200 kL</v>
      </c>
      <c r="F242" s="560">
        <v>5895.2787491132995</v>
      </c>
      <c r="G242" s="570" t="s">
        <v>575</v>
      </c>
      <c r="H242" s="2" t="s">
        <v>890</v>
      </c>
      <c r="I242" s="616" t="s">
        <v>3150</v>
      </c>
    </row>
    <row r="243" spans="3:9" ht="63.75">
      <c r="C243" s="614" t="s">
        <v>914</v>
      </c>
      <c r="D243" s="615" t="s">
        <v>679</v>
      </c>
      <c r="E243" s="618" t="str">
        <f>Lists!B539</f>
        <v>Vertical, Steel, Closed top, Steel, Single skin, Not lined, 300 kL</v>
      </c>
      <c r="F243" s="560">
        <v>7449.6797324002691</v>
      </c>
      <c r="G243" s="570" t="s">
        <v>575</v>
      </c>
      <c r="H243" s="2" t="s">
        <v>890</v>
      </c>
      <c r="I243" s="616" t="s">
        <v>3150</v>
      </c>
    </row>
    <row r="244" spans="3:9" ht="76.5">
      <c r="C244" s="614" t="s">
        <v>915</v>
      </c>
      <c r="D244" s="615" t="s">
        <v>679</v>
      </c>
      <c r="E244" s="618" t="str">
        <f>Lists!B540</f>
        <v>Panel, Concrete, Open top, Earth, Single skin, Lined, 1.2 kL</v>
      </c>
      <c r="F244" s="560">
        <v>18426.03951355871</v>
      </c>
      <c r="G244" s="570" t="s">
        <v>575</v>
      </c>
      <c r="H244" s="2" t="s">
        <v>890</v>
      </c>
      <c r="I244" s="616" t="s">
        <v>3151</v>
      </c>
    </row>
    <row r="245" spans="3:9" ht="76.5">
      <c r="C245" s="614" t="s">
        <v>916</v>
      </c>
      <c r="D245" s="615" t="s">
        <v>679</v>
      </c>
      <c r="E245" s="618" t="str">
        <f>Lists!B541</f>
        <v>Panel, Concrete, Open top, Earth, Single skin, Lined, 1.9 kL</v>
      </c>
      <c r="F245" s="560">
        <v>23896.381191263394</v>
      </c>
      <c r="G245" s="570" t="s">
        <v>575</v>
      </c>
      <c r="H245" s="2" t="s">
        <v>890</v>
      </c>
      <c r="I245" s="616" t="s">
        <v>3151</v>
      </c>
    </row>
    <row r="246" spans="3:9" ht="76.5">
      <c r="C246" s="614" t="s">
        <v>917</v>
      </c>
      <c r="D246" s="615" t="s">
        <v>679</v>
      </c>
      <c r="E246" s="618" t="str">
        <f>Lists!B542</f>
        <v>Panel, Concrete, Open top, Earth, Single skin, Lined, 3.6 kL</v>
      </c>
      <c r="F246" s="560">
        <v>35845.213069831079</v>
      </c>
      <c r="G246" s="570" t="s">
        <v>575</v>
      </c>
      <c r="H246" s="2" t="s">
        <v>890</v>
      </c>
      <c r="I246" s="616" t="s">
        <v>3151</v>
      </c>
    </row>
    <row r="247" spans="3:9" ht="76.5">
      <c r="C247" s="614" t="s">
        <v>918</v>
      </c>
      <c r="D247" s="615" t="s">
        <v>679</v>
      </c>
      <c r="E247" s="618" t="str">
        <f>Lists!B543</f>
        <v>Panel, Concrete, Open top, Earth, Single skin, Lined, 5.5 kL</v>
      </c>
      <c r="F247" s="560">
        <v>45832.543036542585</v>
      </c>
      <c r="G247" s="570" t="s">
        <v>575</v>
      </c>
      <c r="H247" s="2" t="s">
        <v>890</v>
      </c>
      <c r="I247" s="616" t="s">
        <v>3151</v>
      </c>
    </row>
    <row r="248" spans="3:9" ht="76.5">
      <c r="C248" s="614" t="s">
        <v>919</v>
      </c>
      <c r="D248" s="615" t="s">
        <v>679</v>
      </c>
      <c r="E248" s="618" t="str">
        <f>Lists!B544</f>
        <v>Panel, Concrete, Open top, Earth, Single skin, Lined, 7.6 kL</v>
      </c>
      <c r="F248" s="560">
        <v>57093.131616084633</v>
      </c>
      <c r="G248" s="570" t="s">
        <v>575</v>
      </c>
      <c r="H248" s="2" t="s">
        <v>890</v>
      </c>
      <c r="I248" s="616" t="s">
        <v>3151</v>
      </c>
    </row>
    <row r="249" spans="3:9" ht="76.5">
      <c r="C249" s="614" t="s">
        <v>920</v>
      </c>
      <c r="D249" s="615" t="s">
        <v>679</v>
      </c>
      <c r="E249" s="618" t="str">
        <f>Lists!B545</f>
        <v>Panel, Concrete, Open top, Earth, Single skin, Lined, 12 kL</v>
      </c>
      <c r="F249" s="560">
        <v>71244.341386603788</v>
      </c>
      <c r="G249" s="570" t="s">
        <v>575</v>
      </c>
      <c r="H249" s="2" t="s">
        <v>890</v>
      </c>
      <c r="I249" s="616" t="s">
        <v>3151</v>
      </c>
    </row>
    <row r="250" spans="3:9" ht="76.5">
      <c r="C250" s="614" t="s">
        <v>921</v>
      </c>
      <c r="D250" s="615" t="s">
        <v>679</v>
      </c>
      <c r="E250" s="618" t="str">
        <f>Lists!B546</f>
        <v>Panel, Concrete, Open top, Earth, Single skin, Lined, 15.5 kL</v>
      </c>
      <c r="F250" s="560">
        <v>84220.688971618423</v>
      </c>
      <c r="G250" s="570" t="s">
        <v>575</v>
      </c>
      <c r="H250" s="2" t="s">
        <v>890</v>
      </c>
      <c r="I250" s="616" t="s">
        <v>3151</v>
      </c>
    </row>
    <row r="251" spans="3:9" ht="76.5">
      <c r="C251" s="614" t="s">
        <v>922</v>
      </c>
      <c r="D251" s="615" t="s">
        <v>679</v>
      </c>
      <c r="E251" s="618" t="str">
        <f>Lists!B547</f>
        <v>Panel, Concrete, Open top, Earth, Single skin, Lined, 25 kL</v>
      </c>
      <c r="F251" s="560">
        <v>121840.87399630764</v>
      </c>
      <c r="G251" s="570" t="s">
        <v>575</v>
      </c>
      <c r="H251" s="2" t="s">
        <v>890</v>
      </c>
      <c r="I251" s="616" t="s">
        <v>3151</v>
      </c>
    </row>
    <row r="252" spans="3:9" ht="76.5">
      <c r="C252" s="614" t="s">
        <v>923</v>
      </c>
      <c r="D252" s="615" t="s">
        <v>679</v>
      </c>
      <c r="E252" s="618" t="str">
        <f>Lists!B548</f>
        <v>Panel, Concrete, Open top, Earth, Single skin, Lined, 40 kL</v>
      </c>
      <c r="F252" s="560">
        <v>173539.58467974025</v>
      </c>
      <c r="G252" s="570" t="s">
        <v>575</v>
      </c>
      <c r="H252" s="2" t="s">
        <v>890</v>
      </c>
      <c r="I252" s="616" t="s">
        <v>3151</v>
      </c>
    </row>
    <row r="253" spans="3:9" ht="76.5">
      <c r="C253" s="614" t="s">
        <v>924</v>
      </c>
      <c r="D253" s="615" t="s">
        <v>679</v>
      </c>
      <c r="E253" s="618" t="str">
        <f>Lists!B549</f>
        <v>Panel, Concrete, Open top, Earth, Single skin, Lined, 50 kL</v>
      </c>
      <c r="F253" s="560">
        <v>204470.22330721276</v>
      </c>
      <c r="G253" s="570" t="s">
        <v>575</v>
      </c>
      <c r="H253" s="2" t="s">
        <v>890</v>
      </c>
      <c r="I253" s="616" t="s">
        <v>3151</v>
      </c>
    </row>
    <row r="254" spans="3:9" ht="38.25">
      <c r="C254" s="614" t="s">
        <v>925</v>
      </c>
      <c r="D254" s="615" t="s">
        <v>679</v>
      </c>
      <c r="E254" s="618" t="str">
        <f>Lists!B550</f>
        <v>Rainwater, Plastic, Closed top, Plastic, Single skin, Not lined, 1.5 kL</v>
      </c>
      <c r="F254" s="560">
        <v>6137.7625027559507</v>
      </c>
      <c r="G254" s="570" t="s">
        <v>575</v>
      </c>
      <c r="H254" s="2" t="s">
        <v>890</v>
      </c>
      <c r="I254" s="616" t="s">
        <v>3152</v>
      </c>
    </row>
    <row r="255" spans="3:9" ht="38.25">
      <c r="C255" s="614" t="s">
        <v>926</v>
      </c>
      <c r="D255" s="615" t="s">
        <v>679</v>
      </c>
      <c r="E255" s="618" t="str">
        <f>Lists!B551</f>
        <v>Rainwater, Plastic, Closed top, Plastic, Single skin, Not lined, 3 kL</v>
      </c>
      <c r="F255" s="560">
        <v>570.08381899896267</v>
      </c>
      <c r="G255" s="570" t="s">
        <v>575</v>
      </c>
      <c r="H255" s="2" t="s">
        <v>890</v>
      </c>
      <c r="I255" s="616" t="s">
        <v>3152</v>
      </c>
    </row>
    <row r="256" spans="3:9" ht="38.25">
      <c r="C256" s="614" t="s">
        <v>927</v>
      </c>
      <c r="D256" s="615" t="s">
        <v>679</v>
      </c>
      <c r="E256" s="618" t="str">
        <f>Lists!B552</f>
        <v>Rainwater, Plastic, Closed top, Plastic, Single skin, Not lined, 5 kL</v>
      </c>
      <c r="F256" s="560">
        <v>570.70756881825878</v>
      </c>
      <c r="G256" s="570" t="s">
        <v>575</v>
      </c>
      <c r="H256" s="2" t="s">
        <v>890</v>
      </c>
      <c r="I256" s="616" t="s">
        <v>3152</v>
      </c>
    </row>
    <row r="257" spans="3:9" ht="38.25">
      <c r="C257" s="614" t="s">
        <v>928</v>
      </c>
      <c r="D257" s="615" t="s">
        <v>679</v>
      </c>
      <c r="E257" s="618" t="str">
        <f>Lists!B553</f>
        <v>Rainwater, Plastic, Closed top, Plastic, Single skin, Not lined, 10 kL</v>
      </c>
      <c r="F257" s="560">
        <v>571.15857244515882</v>
      </c>
      <c r="G257" s="570" t="s">
        <v>575</v>
      </c>
      <c r="H257" s="2" t="s">
        <v>890</v>
      </c>
      <c r="I257" s="616" t="s">
        <v>3152</v>
      </c>
    </row>
    <row r="258" spans="3:9" ht="38.25">
      <c r="C258" s="614" t="s">
        <v>929</v>
      </c>
      <c r="D258" s="615" t="s">
        <v>679</v>
      </c>
      <c r="E258" s="618" t="str">
        <f>Lists!B554</f>
        <v>Rainwater, Plastic, Closed top, Plastic, Single skin, Not lined, 13.5 kL</v>
      </c>
      <c r="F258" s="560">
        <v>698.66345046978995</v>
      </c>
      <c r="G258" s="570" t="s">
        <v>575</v>
      </c>
      <c r="H258" s="2" t="s">
        <v>890</v>
      </c>
      <c r="I258" s="616" t="s">
        <v>3152</v>
      </c>
    </row>
    <row r="259" spans="3:9" ht="38.25">
      <c r="C259" s="614" t="s">
        <v>930</v>
      </c>
      <c r="D259" s="615" t="s">
        <v>679</v>
      </c>
      <c r="E259" s="618" t="str">
        <f>Lists!B555</f>
        <v>Rainwater, Plastic, Closed top, Plastic, Single skin, Not lined, 18.2 kL</v>
      </c>
      <c r="F259" s="560">
        <v>699.51837386161856</v>
      </c>
      <c r="G259" s="570" t="s">
        <v>575</v>
      </c>
      <c r="H259" s="2" t="s">
        <v>890</v>
      </c>
      <c r="I259" s="616" t="s">
        <v>3152</v>
      </c>
    </row>
    <row r="260" spans="3:9">
      <c r="C260" s="624" t="str">
        <f>'4. Process Equipment'!C2</f>
        <v>4. Process and Heavy Equipment</v>
      </c>
      <c r="D260" s="610"/>
      <c r="E260" s="611"/>
      <c r="F260" s="617"/>
      <c r="G260" s="612"/>
      <c r="H260" s="611"/>
      <c r="I260" s="611"/>
    </row>
    <row r="261" spans="3:9" ht="140.25">
      <c r="C261" s="614" t="s">
        <v>931</v>
      </c>
      <c r="D261" s="625" t="s">
        <v>932</v>
      </c>
      <c r="E261" s="618" t="str">
        <f>Lists!B255</f>
        <v xml:space="preserve">Demolish and remove processing plant </v>
      </c>
      <c r="F261" s="36">
        <v>216.0563333333333</v>
      </c>
      <c r="G261" s="570" t="s">
        <v>245</v>
      </c>
      <c r="H261" s="2" t="s">
        <v>933</v>
      </c>
      <c r="I261" s="616" t="s">
        <v>3153</v>
      </c>
    </row>
    <row r="262" spans="3:9" ht="127.5">
      <c r="C262" s="614" t="s">
        <v>934</v>
      </c>
      <c r="D262" s="625" t="s">
        <v>932</v>
      </c>
      <c r="E262" s="618" t="str">
        <f>Lists!B256</f>
        <v>Remove stacker or reclaimer</v>
      </c>
      <c r="F262" s="36">
        <v>750000</v>
      </c>
      <c r="G262" s="570" t="s">
        <v>178</v>
      </c>
      <c r="H262" s="2" t="s">
        <v>935</v>
      </c>
      <c r="I262" s="616" t="s">
        <v>3153</v>
      </c>
    </row>
    <row r="263" spans="3:9" ht="127.5">
      <c r="C263" s="614" t="s">
        <v>936</v>
      </c>
      <c r="D263" s="625" t="s">
        <v>932</v>
      </c>
      <c r="E263" s="618" t="str">
        <f>Lists!B257</f>
        <v>Demolish and remove bucket wheel stacker/reclaimer or wing stacker</v>
      </c>
      <c r="F263" s="36">
        <v>2000000</v>
      </c>
      <c r="G263" s="570" t="s">
        <v>178</v>
      </c>
      <c r="H263" s="2" t="s">
        <v>937</v>
      </c>
      <c r="I263" s="616" t="s">
        <v>3153</v>
      </c>
    </row>
    <row r="264" spans="3:9" ht="127.5">
      <c r="C264" s="614" t="s">
        <v>938</v>
      </c>
      <c r="D264" s="625" t="s">
        <v>932</v>
      </c>
      <c r="E264" s="618" t="str">
        <f>Lists!B258</f>
        <v>Remove rails and ballast for stacker and/or reclaimer</v>
      </c>
      <c r="F264" s="36">
        <v>75</v>
      </c>
      <c r="G264" s="570" t="s">
        <v>11</v>
      </c>
      <c r="H264" s="2" t="s">
        <v>939</v>
      </c>
      <c r="I264" s="616" t="s">
        <v>3153</v>
      </c>
    </row>
    <row r="265" spans="3:9" ht="127.5">
      <c r="C265" s="614" t="s">
        <v>940</v>
      </c>
      <c r="D265" s="625" t="s">
        <v>932</v>
      </c>
      <c r="E265" s="618" t="str">
        <f>Lists!B262</f>
        <v>Demolish and remove on-ground conveyors and gantries</v>
      </c>
      <c r="F265" s="36">
        <v>185</v>
      </c>
      <c r="G265" s="570" t="s">
        <v>11</v>
      </c>
      <c r="H265" s="2" t="s">
        <v>941</v>
      </c>
      <c r="I265" s="616" t="s">
        <v>3153</v>
      </c>
    </row>
    <row r="266" spans="3:9" ht="127.5">
      <c r="C266" s="614" t="s">
        <v>942</v>
      </c>
      <c r="D266" s="625" t="s">
        <v>932</v>
      </c>
      <c r="E266" s="618" t="str">
        <f>Lists!B263</f>
        <v xml:space="preserve">Demolish and remove overhead conveyors and gantries </v>
      </c>
      <c r="F266" s="36">
        <v>297.90019999999998</v>
      </c>
      <c r="G266" s="570" t="s">
        <v>11</v>
      </c>
      <c r="H266" s="2" t="s">
        <v>943</v>
      </c>
      <c r="I266" s="616" t="s">
        <v>3153</v>
      </c>
    </row>
    <row r="267" spans="3:9" ht="127.5">
      <c r="C267" s="614" t="s">
        <v>944</v>
      </c>
      <c r="D267" s="625" t="s">
        <v>932</v>
      </c>
      <c r="E267" s="618" t="str">
        <f>Lists!B264</f>
        <v xml:space="preserve">Demolish and remove elevated conveyors and gantries </v>
      </c>
      <c r="F267" s="36">
        <v>850</v>
      </c>
      <c r="G267" s="570" t="s">
        <v>11</v>
      </c>
      <c r="H267" s="2" t="s">
        <v>945</v>
      </c>
      <c r="I267" s="616" t="s">
        <v>3153</v>
      </c>
    </row>
    <row r="268" spans="3:9" ht="127.5">
      <c r="C268" s="614" t="s">
        <v>946</v>
      </c>
      <c r="D268" s="625" t="s">
        <v>932</v>
      </c>
      <c r="E268" s="618" t="str">
        <f>Lists!B265</f>
        <v xml:space="preserve">Demolish reclaim tunnel, cut reo and expose reclaim conveyor, then collapse into the reclaim tunnel void </v>
      </c>
      <c r="F268" s="36">
        <v>80</v>
      </c>
      <c r="G268" s="570" t="s">
        <v>36</v>
      </c>
      <c r="H268" s="2" t="s">
        <v>947</v>
      </c>
      <c r="I268" s="616" t="s">
        <v>3153</v>
      </c>
    </row>
    <row r="269" spans="3:9" ht="127.5">
      <c r="C269" s="614" t="s">
        <v>948</v>
      </c>
      <c r="D269" s="625" t="s">
        <v>932</v>
      </c>
      <c r="E269" s="618" t="str">
        <f>Lists!B266</f>
        <v xml:space="preserve">Remove and demolish conveyor from reclaim tunnel </v>
      </c>
      <c r="F269" s="36">
        <v>150</v>
      </c>
      <c r="G269" s="570" t="s">
        <v>11</v>
      </c>
      <c r="H269" s="2" t="s">
        <v>949</v>
      </c>
      <c r="I269" s="616" t="s">
        <v>3153</v>
      </c>
    </row>
    <row r="270" spans="3:9" ht="38.25">
      <c r="C270" s="614" t="s">
        <v>950</v>
      </c>
      <c r="D270" s="625" t="s">
        <v>932</v>
      </c>
      <c r="E270" s="618" t="str">
        <f>Lists!B267</f>
        <v xml:space="preserve">Demolition of reclaim tunnel concrete </v>
      </c>
      <c r="F270" s="36">
        <v>950</v>
      </c>
      <c r="G270" s="570" t="s">
        <v>36</v>
      </c>
      <c r="H270" s="2" t="s">
        <v>951</v>
      </c>
      <c r="I270" s="616" t="s">
        <v>3154</v>
      </c>
    </row>
    <row r="271" spans="3:9" ht="38.25">
      <c r="C271" s="614" t="s">
        <v>952</v>
      </c>
      <c r="D271" s="625" t="s">
        <v>932</v>
      </c>
      <c r="E271" s="618" t="str">
        <f>Lists!B268</f>
        <v>Dismantle on-ground conveyors for reuse/resale</v>
      </c>
      <c r="F271" s="36">
        <v>462.5</v>
      </c>
      <c r="G271" s="570" t="s">
        <v>11</v>
      </c>
      <c r="H271" s="2" t="s">
        <v>953</v>
      </c>
      <c r="I271" s="616" t="s">
        <v>3155</v>
      </c>
    </row>
    <row r="272" spans="3:9" ht="38.25">
      <c r="C272" s="614" t="s">
        <v>954</v>
      </c>
      <c r="D272" s="625" t="s">
        <v>932</v>
      </c>
      <c r="E272" s="618" t="str">
        <f>Lists!B269</f>
        <v>Dismantle overhead conveyors for reuse/resale</v>
      </c>
      <c r="F272" s="36">
        <v>750</v>
      </c>
      <c r="G272" s="570" t="s">
        <v>11</v>
      </c>
      <c r="H272" s="2" t="s">
        <v>955</v>
      </c>
      <c r="I272" s="616" t="s">
        <v>3155</v>
      </c>
    </row>
    <row r="273" spans="3:9" ht="127.5">
      <c r="C273" s="614" t="s">
        <v>956</v>
      </c>
      <c r="D273" s="625" t="s">
        <v>932</v>
      </c>
      <c r="E273" s="618" t="str">
        <f>Lists!B259</f>
        <v>Collapse, cut and remove 1250 t silo / bin / hopper</v>
      </c>
      <c r="F273" s="36">
        <v>75881.256249999991</v>
      </c>
      <c r="G273" s="570" t="s">
        <v>178</v>
      </c>
      <c r="H273" s="2" t="s">
        <v>957</v>
      </c>
      <c r="I273" s="616" t="s">
        <v>3153</v>
      </c>
    </row>
    <row r="274" spans="3:9" ht="127.5">
      <c r="C274" s="614" t="s">
        <v>958</v>
      </c>
      <c r="D274" s="625" t="s">
        <v>932</v>
      </c>
      <c r="E274" s="618" t="str">
        <f>Lists!B260</f>
        <v>Collapse, cut and remove 3000 t silo / bin / hopper</v>
      </c>
      <c r="F274" s="36">
        <v>107362.51249999998</v>
      </c>
      <c r="G274" s="570" t="s">
        <v>178</v>
      </c>
      <c r="H274" s="2" t="s">
        <v>959</v>
      </c>
      <c r="I274" s="616" t="s">
        <v>3153</v>
      </c>
    </row>
    <row r="275" spans="3:9" ht="127.5">
      <c r="C275" s="614" t="s">
        <v>960</v>
      </c>
      <c r="D275" s="625" t="s">
        <v>932</v>
      </c>
      <c r="E275" s="618" t="str">
        <f>Lists!B261</f>
        <v>Collapse, cut and remove 5000 t silo / bin / hopper</v>
      </c>
      <c r="F275" s="36">
        <v>143603.15</v>
      </c>
      <c r="G275" s="570" t="s">
        <v>178</v>
      </c>
      <c r="H275" s="2" t="s">
        <v>961</v>
      </c>
      <c r="I275" s="616" t="s">
        <v>3153</v>
      </c>
    </row>
    <row r="276" spans="3:9" ht="51">
      <c r="C276" s="614" t="s">
        <v>962</v>
      </c>
      <c r="D276" s="625" t="s">
        <v>932</v>
      </c>
      <c r="E276" s="618" t="str">
        <f>Lists!B271</f>
        <v>Demolish and remove above ground small tank clean (Fuel storage, thickener etc. 3 - 9 m diameter)</v>
      </c>
      <c r="F276" s="36">
        <v>10000</v>
      </c>
      <c r="G276" s="570" t="s">
        <v>94</v>
      </c>
      <c r="H276" s="2" t="s">
        <v>963</v>
      </c>
      <c r="I276" s="616" t="s">
        <v>3156</v>
      </c>
    </row>
    <row r="277" spans="3:9" ht="51">
      <c r="C277" s="614" t="s">
        <v>964</v>
      </c>
      <c r="D277" s="625" t="s">
        <v>932</v>
      </c>
      <c r="E277" s="618" t="str">
        <f>Lists!B272</f>
        <v>Demolish and remove above ground medium tank clean (Fuel storage, thickener etc. 10 - 15 m diameter)</v>
      </c>
      <c r="F277" s="36">
        <v>30000</v>
      </c>
      <c r="G277" s="570" t="s">
        <v>94</v>
      </c>
      <c r="H277" s="2" t="s">
        <v>963</v>
      </c>
      <c r="I277" s="616" t="s">
        <v>3156</v>
      </c>
    </row>
    <row r="278" spans="3:9" ht="51">
      <c r="C278" s="614" t="s">
        <v>965</v>
      </c>
      <c r="D278" s="625" t="s">
        <v>932</v>
      </c>
      <c r="E278" s="618" t="str">
        <f>Lists!B273</f>
        <v>Demolish and remove above ground large tank clean (Fuel storage, thickener etc. 16 - 25 m diameter)</v>
      </c>
      <c r="F278" s="36">
        <v>45000</v>
      </c>
      <c r="G278" s="570" t="s">
        <v>94</v>
      </c>
      <c r="H278" s="2" t="s">
        <v>963</v>
      </c>
      <c r="I278" s="616" t="s">
        <v>3156</v>
      </c>
    </row>
    <row r="279" spans="3:9" ht="51">
      <c r="C279" s="614" t="s">
        <v>966</v>
      </c>
      <c r="D279" s="625" t="s">
        <v>932</v>
      </c>
      <c r="E279" s="618" t="str">
        <f>Lists!B274</f>
        <v>Demolish and remove above ground extra large tank clean (Fuel storage, thickener etc. 26 - 50 m diameter)</v>
      </c>
      <c r="F279" s="36">
        <v>100000</v>
      </c>
      <c r="G279" s="570" t="s">
        <v>94</v>
      </c>
      <c r="H279" s="2" t="s">
        <v>963</v>
      </c>
      <c r="I279" s="616" t="s">
        <v>3156</v>
      </c>
    </row>
    <row r="280" spans="3:9" ht="51">
      <c r="C280" s="614" t="s">
        <v>967</v>
      </c>
      <c r="D280" s="625" t="s">
        <v>932</v>
      </c>
      <c r="E280" s="618" t="str">
        <f>Lists!B275</f>
        <v>Demolish and remove above ground extra extra large tank clean (Fuel storage, thickener etc. &gt;50 m diameter)</v>
      </c>
      <c r="F280" s="36">
        <v>175000</v>
      </c>
      <c r="G280" s="570" t="s">
        <v>94</v>
      </c>
      <c r="H280" s="2" t="s">
        <v>963</v>
      </c>
      <c r="I280" s="616" t="s">
        <v>3156</v>
      </c>
    </row>
    <row r="281" spans="3:9" ht="51">
      <c r="C281" s="614" t="s">
        <v>968</v>
      </c>
      <c r="D281" s="625" t="s">
        <v>932</v>
      </c>
      <c r="E281" s="618" t="str">
        <f>Lists!B276</f>
        <v xml:space="preserve">Removal of small underground tank (&lt;5000 L) - including pipes, bunds etc. </v>
      </c>
      <c r="F281" s="36">
        <v>21000</v>
      </c>
      <c r="G281" s="570" t="s">
        <v>94</v>
      </c>
      <c r="H281" s="2" t="s">
        <v>969</v>
      </c>
      <c r="I281" s="616" t="s">
        <v>3156</v>
      </c>
    </row>
    <row r="282" spans="3:9" ht="51">
      <c r="C282" s="614" t="s">
        <v>970</v>
      </c>
      <c r="D282" s="625" t="s">
        <v>932</v>
      </c>
      <c r="E282" s="618" t="str">
        <f>Lists!B277</f>
        <v>Removal of large underground tank (&gt;5000 L) - including pipes, bunds etc.</v>
      </c>
      <c r="F282" s="36">
        <v>30000</v>
      </c>
      <c r="G282" s="570" t="s">
        <v>94</v>
      </c>
      <c r="H282" s="2" t="s">
        <v>971</v>
      </c>
      <c r="I282" s="616" t="s">
        <v>3156</v>
      </c>
    </row>
    <row r="283" spans="3:9" ht="63.75">
      <c r="C283" s="614" t="s">
        <v>972</v>
      </c>
      <c r="D283" s="625" t="s">
        <v>932</v>
      </c>
      <c r="E283" s="618" t="str">
        <f>Lists!B270</f>
        <v>Transport small tank and dispose</v>
      </c>
      <c r="F283" s="36">
        <v>5000</v>
      </c>
      <c r="G283" s="570" t="s">
        <v>94</v>
      </c>
      <c r="H283" s="2" t="s">
        <v>973</v>
      </c>
      <c r="I283" s="616" t="s">
        <v>3157</v>
      </c>
    </row>
    <row r="284" spans="3:9" ht="38.25">
      <c r="C284" s="614" t="s">
        <v>974</v>
      </c>
      <c r="D284" s="625" t="s">
        <v>932</v>
      </c>
      <c r="E284" s="618" t="str">
        <f>Lists!B63</f>
        <v>Small Pump Set</v>
      </c>
      <c r="F284" s="36">
        <v>431.16750536680615</v>
      </c>
      <c r="G284" s="570" t="s">
        <v>94</v>
      </c>
      <c r="H284" s="2" t="s">
        <v>975</v>
      </c>
      <c r="I284" s="616" t="s">
        <v>3152</v>
      </c>
    </row>
    <row r="285" spans="3:9" ht="38.25">
      <c r="C285" s="614" t="s">
        <v>976</v>
      </c>
      <c r="D285" s="625" t="s">
        <v>932</v>
      </c>
      <c r="E285" s="618" t="str">
        <f>Lists!B64</f>
        <v>Large Pump Set</v>
      </c>
      <c r="F285" s="36">
        <v>2587.0050322008369</v>
      </c>
      <c r="G285" s="570" t="s">
        <v>178</v>
      </c>
      <c r="H285" s="2" t="s">
        <v>977</v>
      </c>
      <c r="I285" s="616" t="s">
        <v>3152</v>
      </c>
    </row>
    <row r="286" spans="3:9" ht="51">
      <c r="C286" s="614" t="s">
        <v>978</v>
      </c>
      <c r="D286" s="625" t="s">
        <v>932</v>
      </c>
      <c r="E286" s="618" t="str">
        <f>Lists!B289</f>
        <v>Dismantle and remove dragline up to 2,000 t</v>
      </c>
      <c r="F286" s="36">
        <v>1500000</v>
      </c>
      <c r="G286" s="570" t="s">
        <v>94</v>
      </c>
      <c r="H286" s="2" t="s">
        <v>979</v>
      </c>
      <c r="I286" s="616" t="s">
        <v>3158</v>
      </c>
    </row>
    <row r="287" spans="3:9" ht="51">
      <c r="C287" s="614" t="s">
        <v>980</v>
      </c>
      <c r="D287" s="625" t="s">
        <v>932</v>
      </c>
      <c r="E287" s="618" t="str">
        <f>Lists!B290</f>
        <v>Dismantle and remove dragline &gt;2,000 t to 5,000 t</v>
      </c>
      <c r="F287" s="36">
        <v>2000000</v>
      </c>
      <c r="G287" s="570" t="s">
        <v>94</v>
      </c>
      <c r="H287" s="2" t="s">
        <v>979</v>
      </c>
      <c r="I287" s="616" t="s">
        <v>3158</v>
      </c>
    </row>
    <row r="288" spans="3:9" ht="51">
      <c r="C288" s="614" t="s">
        <v>981</v>
      </c>
      <c r="D288" s="625" t="s">
        <v>932</v>
      </c>
      <c r="E288" s="618" t="str">
        <f>Lists!B291</f>
        <v>Dismantle and remove dragline &gt; 5,000 t</v>
      </c>
      <c r="F288" s="36">
        <v>2500000</v>
      </c>
      <c r="G288" s="570" t="s">
        <v>94</v>
      </c>
      <c r="H288" s="2" t="s">
        <v>979</v>
      </c>
      <c r="I288" s="616" t="s">
        <v>3158</v>
      </c>
    </row>
    <row r="289" spans="3:9" ht="38.25">
      <c r="C289" s="614" t="s">
        <v>982</v>
      </c>
      <c r="D289" s="615" t="s">
        <v>679</v>
      </c>
      <c r="E289" s="618" t="str">
        <f>Lists!$B$281</f>
        <v>Remove bitumen (aprons, sealed areas) for dumping in a void on-site</v>
      </c>
      <c r="F289" s="36">
        <v>10</v>
      </c>
      <c r="G289" s="570" t="s">
        <v>36</v>
      </c>
      <c r="H289" s="2" t="s">
        <v>863</v>
      </c>
      <c r="I289" s="616" t="s">
        <v>3139</v>
      </c>
    </row>
    <row r="290" spans="3:9" ht="38.25">
      <c r="C290" s="614" t="s">
        <v>983</v>
      </c>
      <c r="D290" s="615" t="s">
        <v>679</v>
      </c>
      <c r="E290" s="618" t="str">
        <f>Lists!$B$282</f>
        <v>Remove bitumen (airstrip) for dumping in a void on-site</v>
      </c>
      <c r="F290" s="36">
        <v>20</v>
      </c>
      <c r="G290" s="570" t="s">
        <v>36</v>
      </c>
      <c r="H290" s="2" t="s">
        <v>865</v>
      </c>
      <c r="I290" s="616" t="s">
        <v>3140</v>
      </c>
    </row>
    <row r="291" spans="3:9" ht="38.25">
      <c r="C291" s="614" t="s">
        <v>984</v>
      </c>
      <c r="D291" s="615" t="s">
        <v>679</v>
      </c>
      <c r="E291" s="618" t="str">
        <f>Lists!$B$79</f>
        <v>Remove concrete pads &amp; footings (&lt;=0.3 m thickness) and dumping in void</v>
      </c>
      <c r="F291" s="36">
        <v>37</v>
      </c>
      <c r="G291" s="570" t="s">
        <v>36</v>
      </c>
      <c r="H291" s="2" t="s">
        <v>867</v>
      </c>
      <c r="I291" s="616" t="s">
        <v>3141</v>
      </c>
    </row>
    <row r="292" spans="3:9" ht="38.25">
      <c r="C292" s="614" t="s">
        <v>985</v>
      </c>
      <c r="D292" s="615" t="s">
        <v>679</v>
      </c>
      <c r="E292" s="618" t="str">
        <f>Lists!$B$80</f>
        <v>Remove concrete pads &amp; footings (&gt;0.3 m thickness) and dumping in void</v>
      </c>
      <c r="F292" s="36">
        <v>75</v>
      </c>
      <c r="G292" s="570" t="s">
        <v>36</v>
      </c>
      <c r="H292" s="2" t="s">
        <v>868</v>
      </c>
      <c r="I292" s="616" t="s">
        <v>3141</v>
      </c>
    </row>
    <row r="293" spans="3:9" ht="38.25">
      <c r="C293" s="614" t="s">
        <v>986</v>
      </c>
      <c r="D293" s="615" t="s">
        <v>679</v>
      </c>
      <c r="E293" s="618" t="str">
        <f>Lists!$B$285</f>
        <v>Crush concrete to make road aggregate - 75 mm</v>
      </c>
      <c r="F293" s="36">
        <v>10</v>
      </c>
      <c r="G293" s="570" t="s">
        <v>33</v>
      </c>
      <c r="H293" s="2" t="s">
        <v>871</v>
      </c>
      <c r="I293" s="616" t="s">
        <v>3142</v>
      </c>
    </row>
    <row r="294" spans="3:9" ht="38.25">
      <c r="C294" s="614" t="s">
        <v>987</v>
      </c>
      <c r="D294" s="615" t="s">
        <v>679</v>
      </c>
      <c r="E294" s="618" t="str">
        <f>Lists!$B$286</f>
        <v>Crush concrete to make road aggregate - 50 mm</v>
      </c>
      <c r="F294" s="36">
        <v>13</v>
      </c>
      <c r="G294" s="570" t="s">
        <v>33</v>
      </c>
      <c r="H294" s="2" t="s">
        <v>872</v>
      </c>
      <c r="I294" s="616" t="s">
        <v>3142</v>
      </c>
    </row>
    <row r="295" spans="3:9" ht="38.25">
      <c r="C295" s="614" t="s">
        <v>988</v>
      </c>
      <c r="D295" s="615" t="s">
        <v>679</v>
      </c>
      <c r="E295" s="618" t="str">
        <f>Lists!$B$287</f>
        <v>Crush concrete to make road aggregate - 30 mm</v>
      </c>
      <c r="F295" s="36">
        <v>15</v>
      </c>
      <c r="G295" s="570" t="s">
        <v>33</v>
      </c>
      <c r="H295" s="2" t="s">
        <v>875</v>
      </c>
      <c r="I295" s="616" t="s">
        <v>3142</v>
      </c>
    </row>
    <row r="296" spans="3:9" ht="63.75">
      <c r="C296" s="614" t="s">
        <v>989</v>
      </c>
      <c r="D296" s="615" t="s">
        <v>679</v>
      </c>
      <c r="E296" s="618" t="s">
        <v>990</v>
      </c>
      <c r="F296" s="231">
        <v>0.65</v>
      </c>
      <c r="G296" s="570" t="s">
        <v>36</v>
      </c>
      <c r="H296" s="2" t="s">
        <v>885</v>
      </c>
      <c r="I296" s="616" t="s">
        <v>3146</v>
      </c>
    </row>
    <row r="297" spans="3:9">
      <c r="C297" s="626" t="str">
        <f>_5._WATER_STORAGE</f>
        <v>5. Water Storage</v>
      </c>
      <c r="D297" s="610"/>
      <c r="E297" s="611"/>
      <c r="F297" s="627"/>
      <c r="G297" s="612"/>
      <c r="H297" s="611"/>
      <c r="I297" s="613"/>
    </row>
    <row r="298" spans="3:9" ht="51">
      <c r="C298" s="614" t="s">
        <v>991</v>
      </c>
      <c r="D298" s="625" t="s">
        <v>992</v>
      </c>
      <c r="E298" s="618" t="s">
        <v>993</v>
      </c>
      <c r="F298" s="36">
        <v>10500</v>
      </c>
      <c r="G298" s="570" t="s">
        <v>178</v>
      </c>
      <c r="H298" s="2" t="s">
        <v>994</v>
      </c>
      <c r="I298" s="616" t="s">
        <v>3159</v>
      </c>
    </row>
    <row r="299" spans="3:9" ht="63.75">
      <c r="C299" s="614" t="s">
        <v>995</v>
      </c>
      <c r="D299" s="625" t="s">
        <v>992</v>
      </c>
      <c r="E299" s="618" t="s">
        <v>996</v>
      </c>
      <c r="F299" s="36">
        <v>2500</v>
      </c>
      <c r="G299" s="570" t="s">
        <v>178</v>
      </c>
      <c r="H299" s="2" t="s">
        <v>997</v>
      </c>
      <c r="I299" s="616" t="s">
        <v>3160</v>
      </c>
    </row>
    <row r="300" spans="3:9" ht="102">
      <c r="C300" s="614" t="s">
        <v>998</v>
      </c>
      <c r="D300" s="625" t="s">
        <v>992</v>
      </c>
      <c r="E300" s="618" t="str">
        <f>Lists!B319</f>
        <v>Process &gt; 0 and &lt;= 1 ML, Pasture</v>
      </c>
      <c r="F300" s="36">
        <v>7677.2044859809457</v>
      </c>
      <c r="G300" s="570" t="s">
        <v>999</v>
      </c>
      <c r="H300" s="2" t="s">
        <v>1000</v>
      </c>
      <c r="I300" s="616" t="s">
        <v>3161</v>
      </c>
    </row>
    <row r="301" spans="3:9" ht="102">
      <c r="C301" s="614" t="s">
        <v>1001</v>
      </c>
      <c r="D301" s="625" t="s">
        <v>992</v>
      </c>
      <c r="E301" s="618" t="str">
        <f>Lists!B320</f>
        <v>Process &gt; 1 and &lt;= 3.5 ML, Pasture</v>
      </c>
      <c r="F301" s="36">
        <v>26041.114284090549</v>
      </c>
      <c r="G301" s="570" t="s">
        <v>999</v>
      </c>
      <c r="H301" s="2" t="s">
        <v>1000</v>
      </c>
      <c r="I301" s="616" t="s">
        <v>3161</v>
      </c>
    </row>
    <row r="302" spans="3:9" ht="102">
      <c r="C302" s="614" t="s">
        <v>1002</v>
      </c>
      <c r="D302" s="625" t="s">
        <v>992</v>
      </c>
      <c r="E302" s="618" t="str">
        <f>Lists!B321</f>
        <v>Process &gt; 3.5 and &lt;= 7.5 ML, Pasture</v>
      </c>
      <c r="F302" s="36">
        <v>37490.4106259584</v>
      </c>
      <c r="G302" s="570" t="s">
        <v>999</v>
      </c>
      <c r="H302" s="2" t="s">
        <v>1000</v>
      </c>
      <c r="I302" s="616" t="s">
        <v>3161</v>
      </c>
    </row>
    <row r="303" spans="3:9" ht="102">
      <c r="C303" s="614" t="s">
        <v>1003</v>
      </c>
      <c r="D303" s="625" t="s">
        <v>992</v>
      </c>
      <c r="E303" s="618" t="str">
        <f>Lists!B322</f>
        <v>Process &gt; 7.5 and &lt;= 10 ML, Pasture</v>
      </c>
      <c r="F303" s="36">
        <v>48164.453595905346</v>
      </c>
      <c r="G303" s="570" t="s">
        <v>999</v>
      </c>
      <c r="H303" s="2" t="s">
        <v>1000</v>
      </c>
      <c r="I303" s="616" t="s">
        <v>3161</v>
      </c>
    </row>
    <row r="304" spans="3:9" ht="102">
      <c r="C304" s="614" t="s">
        <v>1004</v>
      </c>
      <c r="D304" s="625" t="s">
        <v>992</v>
      </c>
      <c r="E304" s="618" t="str">
        <f>Lists!B323</f>
        <v>Process &gt; 10 and &lt;= 20 ML, Pasture</v>
      </c>
      <c r="F304" s="36">
        <v>97437.476363535097</v>
      </c>
      <c r="G304" s="570" t="s">
        <v>999</v>
      </c>
      <c r="H304" s="2" t="s">
        <v>1000</v>
      </c>
      <c r="I304" s="616" t="s">
        <v>3161</v>
      </c>
    </row>
    <row r="305" spans="3:9" ht="102">
      <c r="C305" s="614" t="s">
        <v>1005</v>
      </c>
      <c r="D305" s="625" t="s">
        <v>992</v>
      </c>
      <c r="E305" s="618" t="str">
        <f>Lists!B324</f>
        <v>Process &gt; 20 and &lt;= 50 ML, Pasture</v>
      </c>
      <c r="F305" s="36">
        <v>179912.23802624948</v>
      </c>
      <c r="G305" s="570" t="s">
        <v>999</v>
      </c>
      <c r="H305" s="2" t="s">
        <v>1000</v>
      </c>
      <c r="I305" s="616" t="s">
        <v>3161</v>
      </c>
    </row>
    <row r="306" spans="3:9" ht="102">
      <c r="C306" s="614" t="s">
        <v>1006</v>
      </c>
      <c r="D306" s="625" t="s">
        <v>992</v>
      </c>
      <c r="E306" s="618" t="str">
        <f>Lists!B325</f>
        <v>Process &gt; 50 and &lt;= 100 ML, Pasture</v>
      </c>
      <c r="F306" s="36">
        <v>195528.57077198915</v>
      </c>
      <c r="G306" s="570" t="s">
        <v>999</v>
      </c>
      <c r="H306" s="2" t="s">
        <v>1000</v>
      </c>
      <c r="I306" s="616" t="s">
        <v>3161</v>
      </c>
    </row>
    <row r="307" spans="3:9" ht="102">
      <c r="C307" s="614" t="s">
        <v>1007</v>
      </c>
      <c r="D307" s="625" t="s">
        <v>992</v>
      </c>
      <c r="E307" s="618" t="str">
        <f>Lists!B326</f>
        <v>Process &gt; 100 and &lt;= 200 ML, Pasture</v>
      </c>
      <c r="F307" s="36">
        <v>310641.8803884114</v>
      </c>
      <c r="G307" s="570" t="s">
        <v>999</v>
      </c>
      <c r="H307" s="2" t="s">
        <v>1000</v>
      </c>
      <c r="I307" s="616" t="s">
        <v>3161</v>
      </c>
    </row>
    <row r="308" spans="3:9" ht="102">
      <c r="C308" s="614" t="s">
        <v>1008</v>
      </c>
      <c r="D308" s="625" t="s">
        <v>992</v>
      </c>
      <c r="E308" s="618" t="str">
        <f>Lists!B327</f>
        <v>Process &gt; 200 and &lt;= 300 ML, Pasture</v>
      </c>
      <c r="F308" s="36">
        <v>469212.60598153266</v>
      </c>
      <c r="G308" s="570" t="s">
        <v>999</v>
      </c>
      <c r="H308" s="2" t="s">
        <v>1000</v>
      </c>
      <c r="I308" s="616" t="s">
        <v>3161</v>
      </c>
    </row>
    <row r="309" spans="3:9" ht="102">
      <c r="C309" s="614" t="s">
        <v>1009</v>
      </c>
      <c r="D309" s="625" t="s">
        <v>992</v>
      </c>
      <c r="E309" s="618" t="str">
        <f>Lists!B328</f>
        <v>Process &gt; 300 and &lt;= 500 ML, Pasture</v>
      </c>
      <c r="F309" s="36">
        <v>684443.57293870486</v>
      </c>
      <c r="G309" s="570" t="s">
        <v>999</v>
      </c>
      <c r="H309" s="2" t="s">
        <v>1000</v>
      </c>
      <c r="I309" s="616" t="s">
        <v>3161</v>
      </c>
    </row>
    <row r="310" spans="3:9" ht="102">
      <c r="C310" s="614" t="s">
        <v>1010</v>
      </c>
      <c r="D310" s="625" t="s">
        <v>992</v>
      </c>
      <c r="E310" s="618" t="str">
        <f>Lists!B329</f>
        <v>Process &gt; 500 and &lt;= 1000 ML, Pasture</v>
      </c>
      <c r="F310" s="36">
        <v>1138676.0472063068</v>
      </c>
      <c r="G310" s="570" t="s">
        <v>999</v>
      </c>
      <c r="H310" s="2" t="s">
        <v>1000</v>
      </c>
      <c r="I310" s="616" t="s">
        <v>3161</v>
      </c>
    </row>
    <row r="311" spans="3:9" ht="102">
      <c r="C311" s="614" t="s">
        <v>1011</v>
      </c>
      <c r="D311" s="625" t="s">
        <v>992</v>
      </c>
      <c r="E311" s="618" t="str">
        <f>Lists!B330</f>
        <v>Process &gt; 1000 and &lt;= 2000 ML, Pasture</v>
      </c>
      <c r="F311" s="36">
        <v>1530667.9583027884</v>
      </c>
      <c r="G311" s="570" t="s">
        <v>999</v>
      </c>
      <c r="H311" s="2" t="s">
        <v>1000</v>
      </c>
      <c r="I311" s="616" t="s">
        <v>3161</v>
      </c>
    </row>
    <row r="312" spans="3:9" ht="102">
      <c r="C312" s="614" t="s">
        <v>1012</v>
      </c>
      <c r="D312" s="625" t="s">
        <v>992</v>
      </c>
      <c r="E312" s="618" t="str">
        <f>Lists!B331</f>
        <v>Process &gt; 2000 and &lt;= 3000 ML, Pasture</v>
      </c>
      <c r="F312" s="36">
        <v>2111389.9625048107</v>
      </c>
      <c r="G312" s="570" t="s">
        <v>999</v>
      </c>
      <c r="H312" s="2" t="s">
        <v>1000</v>
      </c>
      <c r="I312" s="616" t="s">
        <v>3161</v>
      </c>
    </row>
    <row r="313" spans="3:9" ht="102">
      <c r="C313" s="614" t="s">
        <v>1013</v>
      </c>
      <c r="D313" s="625" t="s">
        <v>992</v>
      </c>
      <c r="E313" s="618" t="str">
        <f>Lists!B332</f>
        <v>Process &gt; 3000 and &lt;= 4000 ML, Pasture</v>
      </c>
      <c r="F313" s="36">
        <v>2431941.8581062001</v>
      </c>
      <c r="G313" s="570" t="s">
        <v>999</v>
      </c>
      <c r="H313" s="2" t="s">
        <v>1000</v>
      </c>
      <c r="I313" s="616" t="s">
        <v>3161</v>
      </c>
    </row>
    <row r="314" spans="3:9" ht="102">
      <c r="C314" s="614" t="s">
        <v>1014</v>
      </c>
      <c r="D314" s="625" t="s">
        <v>992</v>
      </c>
      <c r="E314" s="618" t="str">
        <f>Lists!B333</f>
        <v>Process &gt; 4000 and &lt;= 5000 ML, Pasture</v>
      </c>
      <c r="F314" s="36">
        <v>2803157.3515085224</v>
      </c>
      <c r="G314" s="570" t="s">
        <v>999</v>
      </c>
      <c r="H314" s="2" t="s">
        <v>1000</v>
      </c>
      <c r="I314" s="616" t="s">
        <v>3161</v>
      </c>
    </row>
    <row r="315" spans="3:9" ht="102">
      <c r="C315" s="614" t="s">
        <v>1015</v>
      </c>
      <c r="D315" s="625" t="s">
        <v>992</v>
      </c>
      <c r="E315" s="618" t="str">
        <f>Lists!B334</f>
        <v>Process &gt; 0 and &lt;= 1 ML, Native</v>
      </c>
      <c r="F315" s="36">
        <v>7931.3044859809452</v>
      </c>
      <c r="G315" s="570" t="s">
        <v>999</v>
      </c>
      <c r="H315" s="2" t="s">
        <v>1000</v>
      </c>
      <c r="I315" s="616" t="s">
        <v>3162</v>
      </c>
    </row>
    <row r="316" spans="3:9" ht="102">
      <c r="C316" s="614" t="s">
        <v>1016</v>
      </c>
      <c r="D316" s="625" t="s">
        <v>992</v>
      </c>
      <c r="E316" s="618" t="str">
        <f>Lists!B335</f>
        <v>Process &gt; 1 and &lt;= 3.5 ML, Native</v>
      </c>
      <c r="F316" s="36">
        <v>26803.414284090548</v>
      </c>
      <c r="G316" s="570" t="s">
        <v>999</v>
      </c>
      <c r="H316" s="2" t="s">
        <v>1000</v>
      </c>
      <c r="I316" s="616" t="s">
        <v>3162</v>
      </c>
    </row>
    <row r="317" spans="3:9" ht="102">
      <c r="C317" s="614" t="s">
        <v>1017</v>
      </c>
      <c r="D317" s="625" t="s">
        <v>992</v>
      </c>
      <c r="E317" s="618" t="str">
        <f>Lists!B336</f>
        <v>Process &gt; 3.5 and &lt;= 7.5 ML, Native</v>
      </c>
      <c r="F317" s="36">
        <v>38760.9106259584</v>
      </c>
      <c r="G317" s="570" t="s">
        <v>999</v>
      </c>
      <c r="H317" s="2" t="s">
        <v>1000</v>
      </c>
      <c r="I317" s="616" t="s">
        <v>3162</v>
      </c>
    </row>
    <row r="318" spans="3:9" ht="102">
      <c r="C318" s="614" t="s">
        <v>1018</v>
      </c>
      <c r="D318" s="625" t="s">
        <v>992</v>
      </c>
      <c r="E318" s="618" t="str">
        <f>Lists!B337</f>
        <v>Process &gt; 7.5 and &lt;= 10 ML, Native</v>
      </c>
      <c r="F318" s="36">
        <v>49689.053595905352</v>
      </c>
      <c r="G318" s="570" t="s">
        <v>999</v>
      </c>
      <c r="H318" s="2" t="s">
        <v>1000</v>
      </c>
      <c r="I318" s="616" t="s">
        <v>3162</v>
      </c>
    </row>
    <row r="319" spans="3:9" ht="102">
      <c r="C319" s="614" t="s">
        <v>1019</v>
      </c>
      <c r="D319" s="625" t="s">
        <v>992</v>
      </c>
      <c r="E319" s="618" t="str">
        <f>Lists!B338</f>
        <v>Process &gt; 10 and &lt;= 20 ML, Native</v>
      </c>
      <c r="F319" s="36">
        <v>100486.67636353508</v>
      </c>
      <c r="G319" s="570" t="s">
        <v>999</v>
      </c>
      <c r="H319" s="2" t="s">
        <v>1000</v>
      </c>
      <c r="I319" s="616" t="s">
        <v>3162</v>
      </c>
    </row>
    <row r="320" spans="3:9" ht="102">
      <c r="C320" s="614" t="s">
        <v>1020</v>
      </c>
      <c r="D320" s="625" t="s">
        <v>992</v>
      </c>
      <c r="E320" s="618" t="str">
        <f>Lists!B339</f>
        <v>Process &gt; 20 and &lt;= 50 ML, Native</v>
      </c>
      <c r="F320" s="36">
        <v>186772.93802624947</v>
      </c>
      <c r="G320" s="570" t="s">
        <v>999</v>
      </c>
      <c r="H320" s="2" t="s">
        <v>1000</v>
      </c>
      <c r="I320" s="616" t="s">
        <v>3162</v>
      </c>
    </row>
    <row r="321" spans="3:9" ht="102">
      <c r="C321" s="614" t="s">
        <v>1021</v>
      </c>
      <c r="D321" s="625" t="s">
        <v>992</v>
      </c>
      <c r="E321" s="618" t="str">
        <f>Lists!B340</f>
        <v>Process &gt; 50 and &lt;= 100 ML, Native</v>
      </c>
      <c r="F321" s="36">
        <v>203151.57077198915</v>
      </c>
      <c r="G321" s="570" t="s">
        <v>999</v>
      </c>
      <c r="H321" s="2" t="s">
        <v>1000</v>
      </c>
      <c r="I321" s="616" t="s">
        <v>3162</v>
      </c>
    </row>
    <row r="322" spans="3:9" ht="102">
      <c r="C322" s="614" t="s">
        <v>1022</v>
      </c>
      <c r="D322" s="625" t="s">
        <v>992</v>
      </c>
      <c r="E322" s="618" t="str">
        <f>Lists!B341</f>
        <v>Process &gt; 100 and &lt;= 200 ML, Native</v>
      </c>
      <c r="F322" s="36">
        <v>323092.78038841143</v>
      </c>
      <c r="G322" s="570" t="s">
        <v>999</v>
      </c>
      <c r="H322" s="2" t="s">
        <v>1000</v>
      </c>
      <c r="I322" s="616" t="s">
        <v>3162</v>
      </c>
    </row>
    <row r="323" spans="3:9" ht="102">
      <c r="C323" s="614" t="s">
        <v>1023</v>
      </c>
      <c r="D323" s="625" t="s">
        <v>992</v>
      </c>
      <c r="E323" s="618" t="str">
        <f>Lists!B342</f>
        <v>Process &gt; 200 and &lt;= 300 ML, Native</v>
      </c>
      <c r="F323" s="36">
        <v>488778.30598153267</v>
      </c>
      <c r="G323" s="570" t="s">
        <v>999</v>
      </c>
      <c r="H323" s="2" t="s">
        <v>1000</v>
      </c>
      <c r="I323" s="616" t="s">
        <v>3162</v>
      </c>
    </row>
    <row r="324" spans="3:9" ht="102">
      <c r="C324" s="614" t="s">
        <v>1024</v>
      </c>
      <c r="D324" s="625" t="s">
        <v>992</v>
      </c>
      <c r="E324" s="618" t="str">
        <f>Lists!B343</f>
        <v>Process &gt; 300 and &lt;= 500 ML, Native</v>
      </c>
      <c r="F324" s="36">
        <v>715443.77293870493</v>
      </c>
      <c r="G324" s="570" t="s">
        <v>999</v>
      </c>
      <c r="H324" s="2" t="s">
        <v>1000</v>
      </c>
      <c r="I324" s="616" t="s">
        <v>3162</v>
      </c>
    </row>
    <row r="325" spans="3:9" ht="102">
      <c r="C325" s="614" t="s">
        <v>1025</v>
      </c>
      <c r="D325" s="625" t="s">
        <v>992</v>
      </c>
      <c r="E325" s="618" t="str">
        <f>Lists!B344</f>
        <v>Process &gt; 500 and &lt;= 1000 ML, Native</v>
      </c>
      <c r="F325" s="36">
        <v>1191782.9472063067</v>
      </c>
      <c r="G325" s="570" t="s">
        <v>999</v>
      </c>
      <c r="H325" s="2" t="s">
        <v>1000</v>
      </c>
      <c r="I325" s="616" t="s">
        <v>3162</v>
      </c>
    </row>
    <row r="326" spans="3:9" ht="102">
      <c r="C326" s="614" t="s">
        <v>1026</v>
      </c>
      <c r="D326" s="625" t="s">
        <v>992</v>
      </c>
      <c r="E326" s="618" t="str">
        <f>Lists!B345</f>
        <v>Process &gt; 1000 and &lt;= 2000 ML, Native</v>
      </c>
      <c r="F326" s="36">
        <v>1617061.958302788</v>
      </c>
      <c r="G326" s="570" t="s">
        <v>999</v>
      </c>
      <c r="H326" s="2" t="s">
        <v>1000</v>
      </c>
      <c r="I326" s="616" t="s">
        <v>3162</v>
      </c>
    </row>
    <row r="327" spans="3:9" ht="102">
      <c r="C327" s="614" t="s">
        <v>1027</v>
      </c>
      <c r="D327" s="625" t="s">
        <v>992</v>
      </c>
      <c r="E327" s="618" t="str">
        <f>Lists!B346</f>
        <v>Process &gt; 2000 and &lt;= 3000 ML, Native</v>
      </c>
      <c r="F327" s="36">
        <v>2233357.9625048107</v>
      </c>
      <c r="G327" s="570" t="s">
        <v>999</v>
      </c>
      <c r="H327" s="2" t="s">
        <v>1000</v>
      </c>
      <c r="I327" s="616" t="s">
        <v>3162</v>
      </c>
    </row>
    <row r="328" spans="3:9" ht="102">
      <c r="C328" s="614" t="s">
        <v>1028</v>
      </c>
      <c r="D328" s="625" t="s">
        <v>992</v>
      </c>
      <c r="E328" s="618" t="str">
        <f>Lists!B347</f>
        <v>Process &gt; 3000 and &lt;= 4000 ML, Native</v>
      </c>
      <c r="F328" s="36">
        <v>2571696.8581062001</v>
      </c>
      <c r="G328" s="570" t="s">
        <v>999</v>
      </c>
      <c r="H328" s="2" t="s">
        <v>1000</v>
      </c>
      <c r="I328" s="616" t="s">
        <v>3162</v>
      </c>
    </row>
    <row r="329" spans="3:9" ht="102">
      <c r="C329" s="614" t="s">
        <v>1029</v>
      </c>
      <c r="D329" s="625" t="s">
        <v>992</v>
      </c>
      <c r="E329" s="618" t="str">
        <f>Lists!B348</f>
        <v>Process &gt; 4000 and &lt;= 5000 ML, Native</v>
      </c>
      <c r="F329" s="36">
        <v>2955617.3515085224</v>
      </c>
      <c r="G329" s="570" t="s">
        <v>999</v>
      </c>
      <c r="H329" s="2" t="s">
        <v>1000</v>
      </c>
      <c r="I329" s="616" t="s">
        <v>3162</v>
      </c>
    </row>
    <row r="330" spans="3:9" ht="102">
      <c r="C330" s="614" t="s">
        <v>1030</v>
      </c>
      <c r="D330" s="625" t="s">
        <v>992</v>
      </c>
      <c r="E330" s="618" t="str">
        <f>Lists!B349</f>
        <v>Process &gt; 0 and &lt;= 1 ML, Arid</v>
      </c>
      <c r="F330" s="36">
        <v>7511.6544859809455</v>
      </c>
      <c r="G330" s="570" t="s">
        <v>999</v>
      </c>
      <c r="H330" s="2" t="s">
        <v>1000</v>
      </c>
      <c r="I330" s="616" t="s">
        <v>3163</v>
      </c>
    </row>
    <row r="331" spans="3:9" ht="102">
      <c r="C331" s="614" t="s">
        <v>1031</v>
      </c>
      <c r="D331" s="625" t="s">
        <v>992</v>
      </c>
      <c r="E331" s="618" t="str">
        <f>Lists!B350</f>
        <v>Process &gt; 1 and &lt;= 3.5 ML, Arid</v>
      </c>
      <c r="F331" s="36">
        <v>24151.576806976016</v>
      </c>
      <c r="G331" s="570" t="s">
        <v>999</v>
      </c>
      <c r="H331" s="2" t="s">
        <v>1000</v>
      </c>
      <c r="I331" s="616" t="s">
        <v>3163</v>
      </c>
    </row>
    <row r="332" spans="3:9" ht="102">
      <c r="C332" s="614" t="s">
        <v>1032</v>
      </c>
      <c r="D332" s="625" t="s">
        <v>992</v>
      </c>
      <c r="E332" s="618" t="str">
        <f>Lists!B351</f>
        <v>Process &gt; 3.5 and &lt;= 7.5 ML, Arid</v>
      </c>
      <c r="F332" s="36">
        <v>34341.181497434183</v>
      </c>
      <c r="G332" s="570" t="s">
        <v>999</v>
      </c>
      <c r="H332" s="2" t="s">
        <v>1000</v>
      </c>
      <c r="I332" s="616" t="s">
        <v>3163</v>
      </c>
    </row>
    <row r="333" spans="3:9" ht="102">
      <c r="C333" s="614" t="s">
        <v>1033</v>
      </c>
      <c r="D333" s="625" t="s">
        <v>992</v>
      </c>
      <c r="E333" s="618" t="str">
        <f>Lists!B352</f>
        <v>Process &gt; 7.5 and &lt;= 10 ML, Arid</v>
      </c>
      <c r="F333" s="36">
        <v>44385.378641676289</v>
      </c>
      <c r="G333" s="570" t="s">
        <v>999</v>
      </c>
      <c r="H333" s="2" t="s">
        <v>1000</v>
      </c>
      <c r="I333" s="616" t="s">
        <v>3163</v>
      </c>
    </row>
    <row r="334" spans="3:9" ht="102">
      <c r="C334" s="614" t="s">
        <v>1034</v>
      </c>
      <c r="D334" s="625" t="s">
        <v>992</v>
      </c>
      <c r="E334" s="618" t="str">
        <f>Lists!B353</f>
        <v>Process &gt; 10 and &lt;= 20 ML, Arid</v>
      </c>
      <c r="F334" s="36">
        <v>89879.326455076953</v>
      </c>
      <c r="G334" s="570" t="s">
        <v>999</v>
      </c>
      <c r="H334" s="2" t="s">
        <v>1000</v>
      </c>
      <c r="I334" s="616" t="s">
        <v>3163</v>
      </c>
    </row>
    <row r="335" spans="3:9" ht="102">
      <c r="C335" s="614" t="s">
        <v>1035</v>
      </c>
      <c r="D335" s="625" t="s">
        <v>992</v>
      </c>
      <c r="E335" s="618" t="str">
        <f>Lists!B354</f>
        <v>Process &gt; 20 and &lt;= 50 ML, Arid</v>
      </c>
      <c r="F335" s="36">
        <v>162906.4007322187</v>
      </c>
      <c r="G335" s="570" t="s">
        <v>999</v>
      </c>
      <c r="H335" s="2" t="s">
        <v>1000</v>
      </c>
      <c r="I335" s="616" t="s">
        <v>3163</v>
      </c>
    </row>
    <row r="336" spans="3:9" ht="102">
      <c r="C336" s="614" t="s">
        <v>1036</v>
      </c>
      <c r="D336" s="625" t="s">
        <v>992</v>
      </c>
      <c r="E336" s="618" t="str">
        <f>Lists!B355</f>
        <v>Process &gt; 50 and &lt;= 100 ML, Arid</v>
      </c>
      <c r="F336" s="36">
        <v>176633.19600084383</v>
      </c>
      <c r="G336" s="570" t="s">
        <v>999</v>
      </c>
      <c r="H336" s="2" t="s">
        <v>1000</v>
      </c>
      <c r="I336" s="616" t="s">
        <v>3163</v>
      </c>
    </row>
    <row r="337" spans="3:9" ht="102">
      <c r="C337" s="614" t="s">
        <v>1037</v>
      </c>
      <c r="D337" s="625" t="s">
        <v>992</v>
      </c>
      <c r="E337" s="618" t="str">
        <f>Lists!B356</f>
        <v>Process &gt; 100 and &lt;= 200 ML, Arid</v>
      </c>
      <c r="F337" s="36">
        <v>279779.43492887408</v>
      </c>
      <c r="G337" s="570" t="s">
        <v>999</v>
      </c>
      <c r="H337" s="2" t="s">
        <v>1000</v>
      </c>
      <c r="I337" s="616" t="s">
        <v>3163</v>
      </c>
    </row>
    <row r="338" spans="3:9" ht="102">
      <c r="C338" s="614" t="s">
        <v>1038</v>
      </c>
      <c r="D338" s="625" t="s">
        <v>992</v>
      </c>
      <c r="E338" s="618" t="str">
        <f>Lists!B357</f>
        <v>Process &gt; 200 and &lt;= 300 ML, Arid</v>
      </c>
      <c r="F338" s="36">
        <v>420714.47740225971</v>
      </c>
      <c r="G338" s="570" t="s">
        <v>999</v>
      </c>
      <c r="H338" s="2" t="s">
        <v>1000</v>
      </c>
      <c r="I338" s="616" t="s">
        <v>3163</v>
      </c>
    </row>
    <row r="339" spans="3:9" ht="102">
      <c r="C339" s="614" t="s">
        <v>1039</v>
      </c>
      <c r="D339" s="625" t="s">
        <v>992</v>
      </c>
      <c r="E339" s="618" t="str">
        <f>Lists!B358</f>
        <v>Process &gt; 300 and &lt;= 500 ML, Arid</v>
      </c>
      <c r="F339" s="36">
        <v>607602.38220271398</v>
      </c>
      <c r="G339" s="570" t="s">
        <v>999</v>
      </c>
      <c r="H339" s="2" t="s">
        <v>1000</v>
      </c>
      <c r="I339" s="616" t="s">
        <v>3163</v>
      </c>
    </row>
    <row r="340" spans="3:9" ht="102">
      <c r="C340" s="614" t="s">
        <v>1040</v>
      </c>
      <c r="D340" s="625" t="s">
        <v>992</v>
      </c>
      <c r="E340" s="618" t="str">
        <f>Lists!B359</f>
        <v>Process &gt; 500 and &lt;= 1000 ML, Arid</v>
      </c>
      <c r="F340" s="36">
        <v>1007038.2696339944</v>
      </c>
      <c r="G340" s="570" t="s">
        <v>999</v>
      </c>
      <c r="H340" s="2" t="s">
        <v>1000</v>
      </c>
      <c r="I340" s="616" t="s">
        <v>3163</v>
      </c>
    </row>
    <row r="341" spans="3:9" ht="102">
      <c r="C341" s="614" t="s">
        <v>1041</v>
      </c>
      <c r="D341" s="625" t="s">
        <v>992</v>
      </c>
      <c r="E341" s="618" t="str">
        <f>Lists!B360</f>
        <v>Process &gt; 1000 and &lt;= 2000 ML, Arid</v>
      </c>
      <c r="F341" s="36">
        <v>1316520.3775631413</v>
      </c>
      <c r="G341" s="570" t="s">
        <v>999</v>
      </c>
      <c r="H341" s="2" t="s">
        <v>1000</v>
      </c>
      <c r="I341" s="616" t="s">
        <v>3163</v>
      </c>
    </row>
    <row r="342" spans="3:9" ht="102">
      <c r="C342" s="614" t="s">
        <v>1042</v>
      </c>
      <c r="D342" s="625" t="s">
        <v>992</v>
      </c>
      <c r="E342" s="618" t="str">
        <f>Lists!B361</f>
        <v>Process &gt; 2000 and &lt;= 3000 ML, Arid</v>
      </c>
      <c r="F342" s="36">
        <v>1809063.9661664856</v>
      </c>
      <c r="G342" s="570" t="s">
        <v>999</v>
      </c>
      <c r="H342" s="2" t="s">
        <v>1000</v>
      </c>
      <c r="I342" s="616" t="s">
        <v>3163</v>
      </c>
    </row>
    <row r="343" spans="3:9" ht="102">
      <c r="C343" s="614" t="s">
        <v>1043</v>
      </c>
      <c r="D343" s="625" t="s">
        <v>992</v>
      </c>
      <c r="E343" s="618" t="str">
        <f>Lists!B362</f>
        <v>Process &gt; 3000 and &lt;= 4000 ML, Arid</v>
      </c>
      <c r="F343" s="36">
        <v>2085526.6539685363</v>
      </c>
      <c r="G343" s="570" t="s">
        <v>999</v>
      </c>
      <c r="H343" s="2" t="s">
        <v>1000</v>
      </c>
      <c r="I343" s="616" t="s">
        <v>3163</v>
      </c>
    </row>
    <row r="344" spans="3:9" ht="102">
      <c r="C344" s="614" t="s">
        <v>1044</v>
      </c>
      <c r="D344" s="625" t="s">
        <v>992</v>
      </c>
      <c r="E344" s="618" t="str">
        <f>Lists!B363</f>
        <v>Process &gt; 4000 and &lt;= 5000 ML, Arid</v>
      </c>
      <c r="F344" s="36">
        <v>2425249.8560856162</v>
      </c>
      <c r="G344" s="570" t="s">
        <v>999</v>
      </c>
      <c r="H344" s="2" t="s">
        <v>1000</v>
      </c>
      <c r="I344" s="616" t="s">
        <v>3163</v>
      </c>
    </row>
    <row r="345" spans="3:9" ht="102">
      <c r="C345" s="614" t="s">
        <v>1045</v>
      </c>
      <c r="D345" s="625" t="s">
        <v>992</v>
      </c>
      <c r="E345" s="618" t="str">
        <f>Lists!B364</f>
        <v>Raw &gt; 0 and &lt;= 1 ML, Pasture</v>
      </c>
      <c r="F345" s="36">
        <v>6664.7927116848359</v>
      </c>
      <c r="G345" s="570" t="s">
        <v>999</v>
      </c>
      <c r="H345" s="2" t="s">
        <v>1000</v>
      </c>
      <c r="I345" s="616" t="s">
        <v>3164</v>
      </c>
    </row>
    <row r="346" spans="3:9" ht="102">
      <c r="C346" s="614" t="s">
        <v>1046</v>
      </c>
      <c r="D346" s="625" t="s">
        <v>992</v>
      </c>
      <c r="E346" s="618" t="str">
        <f>Lists!B365</f>
        <v>Raw &gt; 1 and &lt;= 3.5 ML, Pasture</v>
      </c>
      <c r="F346" s="36">
        <v>23003.878961202219</v>
      </c>
      <c r="G346" s="570" t="s">
        <v>999</v>
      </c>
      <c r="H346" s="2" t="s">
        <v>1000</v>
      </c>
      <c r="I346" s="616" t="s">
        <v>3164</v>
      </c>
    </row>
    <row r="347" spans="3:9" ht="102">
      <c r="C347" s="614" t="s">
        <v>1047</v>
      </c>
      <c r="D347" s="625" t="s">
        <v>992</v>
      </c>
      <c r="E347" s="618" t="str">
        <f>Lists!B366</f>
        <v>Raw &gt; 3.5 and &lt;= 7.5 ML, Pasture</v>
      </c>
      <c r="F347" s="36">
        <v>32428.351754477855</v>
      </c>
      <c r="G347" s="570" t="s">
        <v>999</v>
      </c>
      <c r="H347" s="2" t="s">
        <v>1000</v>
      </c>
      <c r="I347" s="616" t="s">
        <v>3164</v>
      </c>
    </row>
    <row r="348" spans="3:9" ht="102">
      <c r="C348" s="614" t="s">
        <v>1048</v>
      </c>
      <c r="D348" s="625" t="s">
        <v>992</v>
      </c>
      <c r="E348" s="618" t="str">
        <f>Lists!B367</f>
        <v>Raw &gt; 7.5 and &lt;= 10 ML, Pasture</v>
      </c>
      <c r="F348" s="36">
        <v>42089.982950128695</v>
      </c>
      <c r="G348" s="570" t="s">
        <v>999</v>
      </c>
      <c r="H348" s="2" t="s">
        <v>1000</v>
      </c>
      <c r="I348" s="616" t="s">
        <v>3164</v>
      </c>
    </row>
    <row r="349" spans="3:9" ht="102">
      <c r="C349" s="614" t="s">
        <v>1049</v>
      </c>
      <c r="D349" s="625" t="s">
        <v>992</v>
      </c>
      <c r="E349" s="618" t="str">
        <f>Lists!B368</f>
        <v>Raw &gt; 10 and &lt;= 20 ML, Pasture</v>
      </c>
      <c r="F349" s="36">
        <v>85288.53507198178</v>
      </c>
      <c r="G349" s="570" t="s">
        <v>999</v>
      </c>
      <c r="H349" s="2" t="s">
        <v>1000</v>
      </c>
      <c r="I349" s="616" t="s">
        <v>3164</v>
      </c>
    </row>
    <row r="350" spans="3:9" ht="102">
      <c r="C350" s="614" t="s">
        <v>1050</v>
      </c>
      <c r="D350" s="625" t="s">
        <v>992</v>
      </c>
      <c r="E350" s="618" t="str">
        <f>Lists!B369</f>
        <v>Raw &gt; 20 and &lt;= 50 ML, Pasture</v>
      </c>
      <c r="F350" s="36">
        <v>152577.12012025452</v>
      </c>
      <c r="G350" s="570" t="s">
        <v>999</v>
      </c>
      <c r="H350" s="2" t="s">
        <v>1000</v>
      </c>
      <c r="I350" s="616" t="s">
        <v>3164</v>
      </c>
    </row>
    <row r="351" spans="3:9" ht="102">
      <c r="C351" s="614" t="s">
        <v>1051</v>
      </c>
      <c r="D351" s="625" t="s">
        <v>992</v>
      </c>
      <c r="E351" s="618" t="str">
        <f>Lists!B370</f>
        <v>Raw &gt; 50 and &lt;= 100 ML, Pasture</v>
      </c>
      <c r="F351" s="36">
        <v>165156.21754310586</v>
      </c>
      <c r="G351" s="570" t="s">
        <v>999</v>
      </c>
      <c r="H351" s="2" t="s">
        <v>1000</v>
      </c>
      <c r="I351" s="616" t="s">
        <v>3164</v>
      </c>
    </row>
    <row r="352" spans="3:9" ht="102">
      <c r="C352" s="614" t="s">
        <v>1052</v>
      </c>
      <c r="D352" s="625" t="s">
        <v>992</v>
      </c>
      <c r="E352" s="618" t="str">
        <f>Lists!B371</f>
        <v>Raw &gt; 100 and &lt;= 200 ML, Pasture</v>
      </c>
      <c r="F352" s="36">
        <v>265143.93241423654</v>
      </c>
      <c r="G352" s="570" t="s">
        <v>999</v>
      </c>
      <c r="H352" s="2" t="s">
        <v>1000</v>
      </c>
      <c r="I352" s="616" t="s">
        <v>3164</v>
      </c>
    </row>
    <row r="353" spans="3:9" ht="102">
      <c r="C353" s="614" t="s">
        <v>1053</v>
      </c>
      <c r="D353" s="625" t="s">
        <v>992</v>
      </c>
      <c r="E353" s="618" t="str">
        <f>Lists!B372</f>
        <v>Raw &gt; 200 and &lt;= 300 ML, Pasture</v>
      </c>
      <c r="F353" s="36">
        <v>397715.83059354359</v>
      </c>
      <c r="G353" s="570" t="s">
        <v>999</v>
      </c>
      <c r="H353" s="2" t="s">
        <v>1000</v>
      </c>
      <c r="I353" s="616" t="s">
        <v>3164</v>
      </c>
    </row>
    <row r="354" spans="3:9" ht="102">
      <c r="C354" s="614" t="s">
        <v>1054</v>
      </c>
      <c r="D354" s="625" t="s">
        <v>992</v>
      </c>
      <c r="E354" s="618" t="str">
        <f>Lists!B373</f>
        <v>Raw &gt; 300 and &lt;= 500 ML, Pasture</v>
      </c>
      <c r="F354" s="36">
        <v>571162.96777851449</v>
      </c>
      <c r="G354" s="570" t="s">
        <v>999</v>
      </c>
      <c r="H354" s="2" t="s">
        <v>1000</v>
      </c>
      <c r="I354" s="616" t="s">
        <v>3164</v>
      </c>
    </row>
    <row r="355" spans="3:9" ht="102">
      <c r="C355" s="614" t="s">
        <v>1055</v>
      </c>
      <c r="D355" s="625" t="s">
        <v>992</v>
      </c>
      <c r="E355" s="618" t="str">
        <f>Lists!B374</f>
        <v>Raw &gt; 500 and &lt;= 1000 ML, Pasture</v>
      </c>
      <c r="F355" s="36">
        <v>944613.37115319353</v>
      </c>
      <c r="G355" s="570" t="s">
        <v>999</v>
      </c>
      <c r="H355" s="2" t="s">
        <v>1000</v>
      </c>
      <c r="I355" s="616" t="s">
        <v>3164</v>
      </c>
    </row>
    <row r="356" spans="3:9" ht="102">
      <c r="C356" s="614" t="s">
        <v>1056</v>
      </c>
      <c r="D356" s="625" t="s">
        <v>992</v>
      </c>
      <c r="E356" s="618" t="str">
        <f>Lists!B375</f>
        <v>Raw &gt; 1000 and &lt;= 2000 ML, Pasture</v>
      </c>
      <c r="F356" s="36">
        <v>1323200.777896042</v>
      </c>
      <c r="G356" s="570" t="s">
        <v>999</v>
      </c>
      <c r="H356" s="2" t="s">
        <v>1000</v>
      </c>
      <c r="I356" s="616" t="s">
        <v>3164</v>
      </c>
    </row>
    <row r="357" spans="3:9" ht="102">
      <c r="C357" s="614" t="s">
        <v>1057</v>
      </c>
      <c r="D357" s="625" t="s">
        <v>992</v>
      </c>
      <c r="E357" s="618" t="str">
        <f>Lists!B376</f>
        <v>Raw &gt; 2000 and &lt;= 3000 ML, Pasture</v>
      </c>
      <c r="F357" s="36">
        <v>1818495.1195776388</v>
      </c>
      <c r="G357" s="570" t="s">
        <v>999</v>
      </c>
      <c r="H357" s="2" t="s">
        <v>1000</v>
      </c>
      <c r="I357" s="616" t="s">
        <v>3164</v>
      </c>
    </row>
    <row r="358" spans="3:9" ht="102">
      <c r="C358" s="614" t="s">
        <v>1058</v>
      </c>
      <c r="D358" s="625" t="s">
        <v>992</v>
      </c>
      <c r="E358" s="618" t="str">
        <f>Lists!B377</f>
        <v>Raw &gt; 3000 and &lt;= 4000 ML, Pasture</v>
      </c>
      <c r="F358" s="36">
        <v>2096333.183918816</v>
      </c>
      <c r="G358" s="570" t="s">
        <v>999</v>
      </c>
      <c r="H358" s="2" t="s">
        <v>1000</v>
      </c>
      <c r="I358" s="616" t="s">
        <v>3164</v>
      </c>
    </row>
    <row r="359" spans="3:9" ht="102">
      <c r="C359" s="614" t="s">
        <v>1059</v>
      </c>
      <c r="D359" s="625" t="s">
        <v>992</v>
      </c>
      <c r="E359" s="618" t="str">
        <f>Lists!B378</f>
        <v>Raw &gt; 4000 and &lt;= 5000 ML, Pasture</v>
      </c>
      <c r="F359" s="36">
        <v>2437038.7978495578</v>
      </c>
      <c r="G359" s="570" t="s">
        <v>999</v>
      </c>
      <c r="H359" s="2" t="s">
        <v>1000</v>
      </c>
      <c r="I359" s="616" t="s">
        <v>3164</v>
      </c>
    </row>
    <row r="360" spans="3:9" ht="102">
      <c r="C360" s="614" t="s">
        <v>1060</v>
      </c>
      <c r="D360" s="625" t="s">
        <v>992</v>
      </c>
      <c r="E360" s="618" t="str">
        <f>Lists!B379</f>
        <v>Raw &gt; 0 and &lt;= 1 ML, Native</v>
      </c>
      <c r="F360" s="36">
        <v>6918.8927116848363</v>
      </c>
      <c r="G360" s="570" t="s">
        <v>999</v>
      </c>
      <c r="H360" s="2" t="s">
        <v>1000</v>
      </c>
      <c r="I360" s="616" t="s">
        <v>3165</v>
      </c>
    </row>
    <row r="361" spans="3:9" ht="102">
      <c r="C361" s="614" t="s">
        <v>1061</v>
      </c>
      <c r="D361" s="625" t="s">
        <v>992</v>
      </c>
      <c r="E361" s="618" t="str">
        <f>Lists!B380</f>
        <v>Raw &gt; 1 and &lt;= 3.5 ML, Native</v>
      </c>
      <c r="F361" s="36">
        <v>23766.178961202222</v>
      </c>
      <c r="G361" s="570" t="s">
        <v>999</v>
      </c>
      <c r="H361" s="2" t="s">
        <v>1000</v>
      </c>
      <c r="I361" s="616" t="s">
        <v>3165</v>
      </c>
    </row>
    <row r="362" spans="3:9" ht="102">
      <c r="C362" s="614" t="s">
        <v>1062</v>
      </c>
      <c r="D362" s="625" t="s">
        <v>992</v>
      </c>
      <c r="E362" s="618" t="str">
        <f>Lists!B381</f>
        <v>Raw &gt; 3.5 and &lt;= 7.5 ML, Native</v>
      </c>
      <c r="F362" s="36">
        <v>33698.851754477852</v>
      </c>
      <c r="G362" s="570" t="s">
        <v>999</v>
      </c>
      <c r="H362" s="2" t="s">
        <v>1000</v>
      </c>
      <c r="I362" s="616" t="s">
        <v>3165</v>
      </c>
    </row>
    <row r="363" spans="3:9" ht="102">
      <c r="C363" s="614" t="s">
        <v>1063</v>
      </c>
      <c r="D363" s="625" t="s">
        <v>992</v>
      </c>
      <c r="E363" s="618" t="str">
        <f>Lists!B382</f>
        <v>Raw &gt; 7.5 and &lt;= 10 ML, Native</v>
      </c>
      <c r="F363" s="36">
        <v>43614.582950128693</v>
      </c>
      <c r="G363" s="570" t="s">
        <v>999</v>
      </c>
      <c r="H363" s="2" t="s">
        <v>1000</v>
      </c>
      <c r="I363" s="616" t="s">
        <v>3165</v>
      </c>
    </row>
    <row r="364" spans="3:9" ht="102">
      <c r="C364" s="614" t="s">
        <v>1064</v>
      </c>
      <c r="D364" s="625" t="s">
        <v>992</v>
      </c>
      <c r="E364" s="618" t="str">
        <f>Lists!B383</f>
        <v>Raw &gt; 10 and &lt;= 20 ML, Native</v>
      </c>
      <c r="F364" s="36">
        <v>88337.735071981791</v>
      </c>
      <c r="G364" s="570" t="s">
        <v>999</v>
      </c>
      <c r="H364" s="2" t="s">
        <v>1000</v>
      </c>
      <c r="I364" s="616" t="s">
        <v>3165</v>
      </c>
    </row>
    <row r="365" spans="3:9" ht="102">
      <c r="C365" s="614" t="s">
        <v>1065</v>
      </c>
      <c r="D365" s="625" t="s">
        <v>992</v>
      </c>
      <c r="E365" s="618" t="str">
        <f>Lists!B384</f>
        <v>Raw &gt; 20 and &lt;= 50 ML, Native</v>
      </c>
      <c r="F365" s="36">
        <v>159437.8201202545</v>
      </c>
      <c r="G365" s="570" t="s">
        <v>999</v>
      </c>
      <c r="H365" s="2" t="s">
        <v>1000</v>
      </c>
      <c r="I365" s="616" t="s">
        <v>3165</v>
      </c>
    </row>
    <row r="366" spans="3:9" ht="102">
      <c r="C366" s="614" t="s">
        <v>1066</v>
      </c>
      <c r="D366" s="625" t="s">
        <v>992</v>
      </c>
      <c r="E366" s="618" t="str">
        <f>Lists!B385</f>
        <v>Raw &gt; 50 and &lt;= 100 ML, Native</v>
      </c>
      <c r="F366" s="36">
        <v>172779.21754310586</v>
      </c>
      <c r="G366" s="570" t="s">
        <v>999</v>
      </c>
      <c r="H366" s="2" t="s">
        <v>1000</v>
      </c>
      <c r="I366" s="616" t="s">
        <v>3165</v>
      </c>
    </row>
    <row r="367" spans="3:9" ht="102">
      <c r="C367" s="614" t="s">
        <v>1067</v>
      </c>
      <c r="D367" s="625" t="s">
        <v>992</v>
      </c>
      <c r="E367" s="618" t="str">
        <f>Lists!B386</f>
        <v>Raw &gt; 100 and &lt;= 200 ML, Native</v>
      </c>
      <c r="F367" s="36">
        <v>277594.83241423656</v>
      </c>
      <c r="G367" s="570" t="s">
        <v>999</v>
      </c>
      <c r="H367" s="2" t="s">
        <v>1000</v>
      </c>
      <c r="I367" s="616" t="s">
        <v>3165</v>
      </c>
    </row>
    <row r="368" spans="3:9" ht="102">
      <c r="C368" s="614" t="s">
        <v>1068</v>
      </c>
      <c r="D368" s="625" t="s">
        <v>992</v>
      </c>
      <c r="E368" s="618" t="str">
        <f>Lists!B387</f>
        <v>Raw &gt; 200 and &lt;= 300 ML, Native</v>
      </c>
      <c r="F368" s="36">
        <v>417281.5305935436</v>
      </c>
      <c r="G368" s="570" t="s">
        <v>999</v>
      </c>
      <c r="H368" s="2" t="s">
        <v>1000</v>
      </c>
      <c r="I368" s="616" t="s">
        <v>3165</v>
      </c>
    </row>
    <row r="369" spans="3:9" ht="102">
      <c r="C369" s="614" t="s">
        <v>1069</v>
      </c>
      <c r="D369" s="625" t="s">
        <v>992</v>
      </c>
      <c r="E369" s="618" t="str">
        <f>Lists!B388</f>
        <v>Raw &gt; 300 and &lt;= 500 ML, Native</v>
      </c>
      <c r="F369" s="36">
        <v>602163.16777851444</v>
      </c>
      <c r="G369" s="570" t="s">
        <v>999</v>
      </c>
      <c r="H369" s="2" t="s">
        <v>1000</v>
      </c>
      <c r="I369" s="616" t="s">
        <v>3165</v>
      </c>
    </row>
    <row r="370" spans="3:9" ht="102">
      <c r="C370" s="614" t="s">
        <v>1070</v>
      </c>
      <c r="D370" s="625" t="s">
        <v>992</v>
      </c>
      <c r="E370" s="618" t="str">
        <f>Lists!B389</f>
        <v>Raw &gt; 500 and &lt;= 1000 ML, Native</v>
      </c>
      <c r="F370" s="36">
        <v>997720.27115319355</v>
      </c>
      <c r="G370" s="570" t="s">
        <v>999</v>
      </c>
      <c r="H370" s="2" t="s">
        <v>1000</v>
      </c>
      <c r="I370" s="616" t="s">
        <v>3165</v>
      </c>
    </row>
    <row r="371" spans="3:9" ht="102">
      <c r="C371" s="614" t="s">
        <v>1071</v>
      </c>
      <c r="D371" s="625" t="s">
        <v>992</v>
      </c>
      <c r="E371" s="618" t="str">
        <f>Lists!B390</f>
        <v>Raw &gt; 1000 and &lt;= 2000 ML, Native</v>
      </c>
      <c r="F371" s="36">
        <v>1409594.7778960415</v>
      </c>
      <c r="G371" s="570" t="s">
        <v>999</v>
      </c>
      <c r="H371" s="2" t="s">
        <v>1000</v>
      </c>
      <c r="I371" s="616" t="s">
        <v>3165</v>
      </c>
    </row>
    <row r="372" spans="3:9" ht="102">
      <c r="C372" s="614" t="s">
        <v>1072</v>
      </c>
      <c r="D372" s="625" t="s">
        <v>992</v>
      </c>
      <c r="E372" s="618" t="str">
        <f>Lists!B391</f>
        <v>Raw &gt; 2000 and &lt;= 3000 ML, Native</v>
      </c>
      <c r="F372" s="36">
        <v>1940463.1195776388</v>
      </c>
      <c r="G372" s="570" t="s">
        <v>999</v>
      </c>
      <c r="H372" s="2" t="s">
        <v>1000</v>
      </c>
      <c r="I372" s="616" t="s">
        <v>3165</v>
      </c>
    </row>
    <row r="373" spans="3:9" ht="102">
      <c r="C373" s="614" t="s">
        <v>1073</v>
      </c>
      <c r="D373" s="625" t="s">
        <v>992</v>
      </c>
      <c r="E373" s="618" t="str">
        <f>Lists!B392</f>
        <v>Raw &gt; 3000 and &lt;= 4000 ML, Native</v>
      </c>
      <c r="F373" s="36">
        <v>2236088.183918816</v>
      </c>
      <c r="G373" s="570" t="s">
        <v>999</v>
      </c>
      <c r="H373" s="2" t="s">
        <v>1000</v>
      </c>
      <c r="I373" s="616" t="s">
        <v>3165</v>
      </c>
    </row>
    <row r="374" spans="3:9" ht="102">
      <c r="C374" s="614" t="s">
        <v>1074</v>
      </c>
      <c r="D374" s="625" t="s">
        <v>992</v>
      </c>
      <c r="E374" s="618" t="str">
        <f>Lists!B393</f>
        <v>Raw &gt; 4000 and &lt;= 5000 ML, Native</v>
      </c>
      <c r="F374" s="36">
        <v>2589498.7978495578</v>
      </c>
      <c r="G374" s="570" t="s">
        <v>999</v>
      </c>
      <c r="H374" s="2" t="s">
        <v>1000</v>
      </c>
      <c r="I374" s="616" t="s">
        <v>3165</v>
      </c>
    </row>
    <row r="375" spans="3:9" ht="102">
      <c r="C375" s="614" t="s">
        <v>1075</v>
      </c>
      <c r="D375" s="625" t="s">
        <v>992</v>
      </c>
      <c r="E375" s="618" t="str">
        <f>Lists!B394</f>
        <v>Raw &gt; 0 and &lt;= 1 ML, Arid</v>
      </c>
      <c r="F375" s="36">
        <v>6499.2427116848357</v>
      </c>
      <c r="G375" s="570" t="s">
        <v>999</v>
      </c>
      <c r="H375" s="2" t="s">
        <v>1000</v>
      </c>
      <c r="I375" s="616" t="s">
        <v>3166</v>
      </c>
    </row>
    <row r="376" spans="3:9" ht="102">
      <c r="C376" s="614" t="s">
        <v>1076</v>
      </c>
      <c r="D376" s="625" t="s">
        <v>992</v>
      </c>
      <c r="E376" s="618" t="str">
        <f>Lists!B395</f>
        <v>Raw &gt; 1 and &lt;= 3.5 ML, Arid</v>
      </c>
      <c r="F376" s="36">
        <v>21114.34148408769</v>
      </c>
      <c r="G376" s="570" t="s">
        <v>999</v>
      </c>
      <c r="H376" s="2" t="s">
        <v>1000</v>
      </c>
      <c r="I376" s="616" t="s">
        <v>3166</v>
      </c>
    </row>
    <row r="377" spans="3:9" ht="102">
      <c r="C377" s="614" t="s">
        <v>1077</v>
      </c>
      <c r="D377" s="625" t="s">
        <v>992</v>
      </c>
      <c r="E377" s="618" t="str">
        <f>Lists!B396</f>
        <v>Raw &gt; 3.5 and &lt;= 7.5 ML, Arid</v>
      </c>
      <c r="F377" s="36">
        <v>29279.122625953638</v>
      </c>
      <c r="G377" s="570" t="s">
        <v>999</v>
      </c>
      <c r="H377" s="2" t="s">
        <v>1000</v>
      </c>
      <c r="I377" s="616" t="s">
        <v>3166</v>
      </c>
    </row>
    <row r="378" spans="3:9" ht="102">
      <c r="C378" s="614" t="s">
        <v>1078</v>
      </c>
      <c r="D378" s="625" t="s">
        <v>992</v>
      </c>
      <c r="E378" s="618" t="str">
        <f>Lists!B397</f>
        <v>Raw &gt; 7.5 and &lt;= 10 ML, Arid</v>
      </c>
      <c r="F378" s="36">
        <v>38310.90799589963</v>
      </c>
      <c r="G378" s="570" t="s">
        <v>999</v>
      </c>
      <c r="H378" s="2" t="s">
        <v>1000</v>
      </c>
      <c r="I378" s="616" t="s">
        <v>3166</v>
      </c>
    </row>
    <row r="379" spans="3:9" ht="102">
      <c r="C379" s="614" t="s">
        <v>1079</v>
      </c>
      <c r="D379" s="625" t="s">
        <v>992</v>
      </c>
      <c r="E379" s="618" t="str">
        <f>Lists!B398</f>
        <v>Raw &gt; 10 and &lt;= 20 ML, Arid</v>
      </c>
      <c r="F379" s="36">
        <v>77730.385163523664</v>
      </c>
      <c r="G379" s="570" t="s">
        <v>999</v>
      </c>
      <c r="H379" s="2" t="s">
        <v>1000</v>
      </c>
      <c r="I379" s="616" t="s">
        <v>3166</v>
      </c>
    </row>
    <row r="380" spans="3:9" ht="102">
      <c r="C380" s="614" t="s">
        <v>1080</v>
      </c>
      <c r="D380" s="625" t="s">
        <v>992</v>
      </c>
      <c r="E380" s="618" t="str">
        <f>Lists!B399</f>
        <v>Raw &gt; 20 and &lt;= 50 ML, Arid</v>
      </c>
      <c r="F380" s="36">
        <v>135571.28282622373</v>
      </c>
      <c r="G380" s="570" t="s">
        <v>999</v>
      </c>
      <c r="H380" s="2" t="s">
        <v>1000</v>
      </c>
      <c r="I380" s="616" t="s">
        <v>3166</v>
      </c>
    </row>
    <row r="381" spans="3:9" ht="102">
      <c r="C381" s="614" t="s">
        <v>1081</v>
      </c>
      <c r="D381" s="625" t="s">
        <v>992</v>
      </c>
      <c r="E381" s="618" t="str">
        <f>Lists!B400</f>
        <v>Raw &gt; 50 and &lt;= 100 ML, Arid</v>
      </c>
      <c r="F381" s="36">
        <v>146260.84277196054</v>
      </c>
      <c r="G381" s="570" t="s">
        <v>999</v>
      </c>
      <c r="H381" s="2" t="s">
        <v>1000</v>
      </c>
      <c r="I381" s="616" t="s">
        <v>3166</v>
      </c>
    </row>
    <row r="382" spans="3:9" ht="102">
      <c r="C382" s="614" t="s">
        <v>1082</v>
      </c>
      <c r="D382" s="625" t="s">
        <v>992</v>
      </c>
      <c r="E382" s="618" t="str">
        <f>Lists!B401</f>
        <v>Raw &gt; 100 and &lt;= 200 ML, Arid</v>
      </c>
      <c r="F382" s="36">
        <v>234281.48695469921</v>
      </c>
      <c r="G382" s="570" t="s">
        <v>999</v>
      </c>
      <c r="H382" s="2" t="s">
        <v>1000</v>
      </c>
      <c r="I382" s="616" t="s">
        <v>3166</v>
      </c>
    </row>
    <row r="383" spans="3:9" ht="102">
      <c r="C383" s="614" t="s">
        <v>1083</v>
      </c>
      <c r="D383" s="625" t="s">
        <v>992</v>
      </c>
      <c r="E383" s="618" t="str">
        <f>Lists!B402</f>
        <v>Raw &gt; 200 and &lt;= 300 ML, Arid</v>
      </c>
      <c r="F383" s="36">
        <v>349217.70201427065</v>
      </c>
      <c r="G383" s="570" t="s">
        <v>999</v>
      </c>
      <c r="H383" s="2" t="s">
        <v>1000</v>
      </c>
      <c r="I383" s="616" t="s">
        <v>3166</v>
      </c>
    </row>
    <row r="384" spans="3:9" ht="102">
      <c r="C384" s="614" t="s">
        <v>1084</v>
      </c>
      <c r="D384" s="625" t="s">
        <v>992</v>
      </c>
      <c r="E384" s="618" t="str">
        <f>Lists!B403</f>
        <v>Raw &gt; 300 and &lt;= 500 ML, Arid</v>
      </c>
      <c r="F384" s="36">
        <v>494321.77704252355</v>
      </c>
      <c r="G384" s="570" t="s">
        <v>999</v>
      </c>
      <c r="H384" s="2" t="s">
        <v>1000</v>
      </c>
      <c r="I384" s="616" t="s">
        <v>3166</v>
      </c>
    </row>
    <row r="385" spans="3:9" ht="102">
      <c r="C385" s="614" t="s">
        <v>1085</v>
      </c>
      <c r="D385" s="625" t="s">
        <v>992</v>
      </c>
      <c r="E385" s="618" t="str">
        <f>Lists!B404</f>
        <v>Raw &gt; 500 and &lt;= 1000 ML, Arid</v>
      </c>
      <c r="F385" s="36">
        <v>812975.59358088125</v>
      </c>
      <c r="G385" s="570" t="s">
        <v>999</v>
      </c>
      <c r="H385" s="2" t="s">
        <v>1000</v>
      </c>
      <c r="I385" s="616" t="s">
        <v>3166</v>
      </c>
    </row>
    <row r="386" spans="3:9" ht="102">
      <c r="C386" s="614" t="s">
        <v>1086</v>
      </c>
      <c r="D386" s="625" t="s">
        <v>992</v>
      </c>
      <c r="E386" s="618" t="str">
        <f>Lists!B405</f>
        <v>Raw &gt; 1000 and &lt;= 2000 ML, Arid</v>
      </c>
      <c r="F386" s="36">
        <v>1109053.1971563948</v>
      </c>
      <c r="G386" s="570" t="s">
        <v>999</v>
      </c>
      <c r="H386" s="2" t="s">
        <v>1000</v>
      </c>
      <c r="I386" s="616" t="s">
        <v>3166</v>
      </c>
    </row>
    <row r="387" spans="3:9" ht="102">
      <c r="C387" s="614" t="s">
        <v>1087</v>
      </c>
      <c r="D387" s="625" t="s">
        <v>992</v>
      </c>
      <c r="E387" s="618" t="str">
        <f>Lists!B406</f>
        <v>Raw &gt; 2000 and &lt;= 3000 ML, Arid</v>
      </c>
      <c r="F387" s="36">
        <v>1516169.1232393137</v>
      </c>
      <c r="G387" s="570" t="s">
        <v>999</v>
      </c>
      <c r="H387" s="2" t="s">
        <v>1000</v>
      </c>
      <c r="I387" s="616" t="s">
        <v>3166</v>
      </c>
    </row>
    <row r="388" spans="3:9" ht="102">
      <c r="C388" s="614" t="s">
        <v>1088</v>
      </c>
      <c r="D388" s="625" t="s">
        <v>992</v>
      </c>
      <c r="E388" s="618" t="str">
        <f>Lists!B407</f>
        <v>Raw &gt; 3000 and &lt;= 4000 ML, Arid</v>
      </c>
      <c r="F388" s="36">
        <v>1749917.9797811517</v>
      </c>
      <c r="G388" s="570" t="s">
        <v>999</v>
      </c>
      <c r="H388" s="2" t="s">
        <v>1000</v>
      </c>
      <c r="I388" s="616" t="s">
        <v>3166</v>
      </c>
    </row>
    <row r="389" spans="3:9" ht="102">
      <c r="C389" s="614" t="s">
        <v>1089</v>
      </c>
      <c r="D389" s="625" t="s">
        <v>992</v>
      </c>
      <c r="E389" s="618" t="str">
        <f>Lists!B408</f>
        <v>Raw &gt; 4000 and &lt;= 5000 ML, Arid</v>
      </c>
      <c r="F389" s="36">
        <v>2059131.3024266518</v>
      </c>
      <c r="G389" s="570" t="s">
        <v>999</v>
      </c>
      <c r="H389" s="2" t="s">
        <v>1000</v>
      </c>
      <c r="I389" s="616" t="s">
        <v>3166</v>
      </c>
    </row>
    <row r="390" spans="3:9" ht="76.5">
      <c r="C390" s="614" t="s">
        <v>1090</v>
      </c>
      <c r="D390" s="625" t="s">
        <v>992</v>
      </c>
      <c r="E390" s="618" t="str">
        <f>Lists!B409</f>
        <v>Evaporation and other &gt; 0 and &lt;= 1 ML, Pasture</v>
      </c>
      <c r="F390" s="36">
        <v>4757.9697833637501</v>
      </c>
      <c r="G390" s="570" t="s">
        <v>999</v>
      </c>
      <c r="H390" s="2" t="s">
        <v>1000</v>
      </c>
      <c r="I390" s="616" t="s">
        <v>3167</v>
      </c>
    </row>
    <row r="391" spans="3:9" ht="76.5">
      <c r="C391" s="614" t="s">
        <v>1091</v>
      </c>
      <c r="D391" s="625" t="s">
        <v>992</v>
      </c>
      <c r="E391" s="618" t="str">
        <f>Lists!B410</f>
        <v>Evaporation and other &gt; 1 and &lt;= 3.5 ML, Pasture</v>
      </c>
      <c r="F391" s="36">
        <v>17283.410176238962</v>
      </c>
      <c r="G391" s="570" t="s">
        <v>999</v>
      </c>
      <c r="H391" s="2" t="s">
        <v>1000</v>
      </c>
      <c r="I391" s="616" t="s">
        <v>3167</v>
      </c>
    </row>
    <row r="392" spans="3:9" ht="63.75">
      <c r="C392" s="614" t="s">
        <v>1092</v>
      </c>
      <c r="D392" s="625" t="s">
        <v>992</v>
      </c>
      <c r="E392" s="618" t="str">
        <f>Lists!B411</f>
        <v>Evaporation and other &gt; 3.5 and &lt;= 7.5 ML, Pasture</v>
      </c>
      <c r="F392" s="36">
        <v>22894.237112872426</v>
      </c>
      <c r="G392" s="570" t="s">
        <v>999</v>
      </c>
      <c r="H392" s="2" t="s">
        <v>1000</v>
      </c>
      <c r="I392" s="616" t="s">
        <v>3168</v>
      </c>
    </row>
    <row r="393" spans="3:9" ht="63.75">
      <c r="C393" s="614" t="s">
        <v>1093</v>
      </c>
      <c r="D393" s="625" t="s">
        <v>992</v>
      </c>
      <c r="E393" s="618" t="str">
        <f>Lists!B412</f>
        <v>Evaporation and other &gt; 7.5 and &lt;= 10 ML, Pasture</v>
      </c>
      <c r="F393" s="36">
        <v>30649.045380202177</v>
      </c>
      <c r="G393" s="570" t="s">
        <v>999</v>
      </c>
      <c r="H393" s="2" t="s">
        <v>1000</v>
      </c>
      <c r="I393" s="616" t="s">
        <v>3168</v>
      </c>
    </row>
    <row r="394" spans="3:9" ht="63.75">
      <c r="C394" s="614" t="s">
        <v>1094</v>
      </c>
      <c r="D394" s="625" t="s">
        <v>992</v>
      </c>
      <c r="E394" s="618" t="str">
        <f>Lists!B413</f>
        <v>Evaporation and other &gt; 10 and &lt;= 20 ML, Pasture</v>
      </c>
      <c r="F394" s="36">
        <v>62406.659932128743</v>
      </c>
      <c r="G394" s="570" t="s">
        <v>999</v>
      </c>
      <c r="H394" s="2" t="s">
        <v>1000</v>
      </c>
      <c r="I394" s="616" t="s">
        <v>3168</v>
      </c>
    </row>
    <row r="395" spans="3:9" ht="63.75">
      <c r="C395" s="614" t="s">
        <v>1095</v>
      </c>
      <c r="D395" s="625" t="s">
        <v>992</v>
      </c>
      <c r="E395" s="618" t="str">
        <f>Lists!B414</f>
        <v>Evaporation and other &gt; 20 and &lt;= 50 ML, Pasture</v>
      </c>
      <c r="F395" s="36">
        <v>101092.90105558519</v>
      </c>
      <c r="G395" s="570" t="s">
        <v>999</v>
      </c>
      <c r="H395" s="2" t="s">
        <v>1000</v>
      </c>
      <c r="I395" s="616" t="s">
        <v>3168</v>
      </c>
    </row>
    <row r="396" spans="3:9" ht="63.75">
      <c r="C396" s="614" t="s">
        <v>1096</v>
      </c>
      <c r="D396" s="625" t="s">
        <v>992</v>
      </c>
      <c r="E396" s="618" t="str">
        <f>Lists!B415</f>
        <v>Evaporation and other &gt; 50 and &lt;= 100 ML, Pasture</v>
      </c>
      <c r="F396" s="36">
        <v>107951.52969347326</v>
      </c>
      <c r="G396" s="570" t="s">
        <v>999</v>
      </c>
      <c r="H396" s="2" t="s">
        <v>1000</v>
      </c>
      <c r="I396" s="616" t="s">
        <v>3168</v>
      </c>
    </row>
    <row r="397" spans="3:9" ht="63.75">
      <c r="C397" s="614" t="s">
        <v>1097</v>
      </c>
      <c r="D397" s="625" t="s">
        <v>992</v>
      </c>
      <c r="E397" s="618" t="str">
        <f>Lists!B416</f>
        <v>Evaporation and other &gt; 100 and &lt;= 200 ML, Pasture</v>
      </c>
      <c r="F397" s="36">
        <v>175819.83789283782</v>
      </c>
      <c r="G397" s="570" t="s">
        <v>999</v>
      </c>
      <c r="H397" s="2" t="s">
        <v>1000</v>
      </c>
      <c r="I397" s="616" t="s">
        <v>3168</v>
      </c>
    </row>
    <row r="398" spans="3:9" ht="63.75">
      <c r="C398" s="614" t="s">
        <v>1098</v>
      </c>
      <c r="D398" s="625" t="s">
        <v>992</v>
      </c>
      <c r="E398" s="618" t="str">
        <f>Lists!B417</f>
        <v>Evaporation and other &gt; 200 and &lt;= 300 ML, Pasture</v>
      </c>
      <c r="F398" s="36">
        <v>257349.39634563128</v>
      </c>
      <c r="G398" s="570" t="s">
        <v>999</v>
      </c>
      <c r="H398" s="2" t="s">
        <v>1000</v>
      </c>
      <c r="I398" s="616" t="s">
        <v>3168</v>
      </c>
    </row>
    <row r="399" spans="3:9" ht="63.75">
      <c r="C399" s="614" t="s">
        <v>1099</v>
      </c>
      <c r="D399" s="625" t="s">
        <v>992</v>
      </c>
      <c r="E399" s="618" t="str">
        <f>Lists!B418</f>
        <v>Evaporation and other &gt; 300 and &lt;= 500 ML, Pasture</v>
      </c>
      <c r="F399" s="36">
        <v>348764.20182727679</v>
      </c>
      <c r="G399" s="570" t="s">
        <v>999</v>
      </c>
      <c r="H399" s="2" t="s">
        <v>1000</v>
      </c>
      <c r="I399" s="616" t="s">
        <v>3168</v>
      </c>
    </row>
    <row r="400" spans="3:9" ht="63.75">
      <c r="C400" s="614" t="s">
        <v>1100</v>
      </c>
      <c r="D400" s="625" t="s">
        <v>992</v>
      </c>
      <c r="E400" s="618" t="str">
        <f>Lists!B419</f>
        <v>Evaporation and other &gt; 500 and &lt;= 1000 ML, Pasture</v>
      </c>
      <c r="F400" s="36">
        <v>563618.76390886027</v>
      </c>
      <c r="G400" s="570" t="s">
        <v>999</v>
      </c>
      <c r="H400" s="2" t="s">
        <v>1000</v>
      </c>
      <c r="I400" s="616" t="s">
        <v>3168</v>
      </c>
    </row>
    <row r="401" spans="3:9" ht="63.75">
      <c r="C401" s="614" t="s">
        <v>1101</v>
      </c>
      <c r="D401" s="625" t="s">
        <v>992</v>
      </c>
      <c r="E401" s="618" t="str">
        <f>Lists!B420</f>
        <v>Evaporation and other &gt; 1000 and &lt;= 2000 ML, Pasture</v>
      </c>
      <c r="F401" s="36">
        <v>811633.80512080318</v>
      </c>
      <c r="G401" s="570" t="s">
        <v>999</v>
      </c>
      <c r="H401" s="2" t="s">
        <v>1000</v>
      </c>
      <c r="I401" s="616" t="s">
        <v>3168</v>
      </c>
    </row>
    <row r="402" spans="3:9" ht="63.75">
      <c r="C402" s="614" t="s">
        <v>1102</v>
      </c>
      <c r="D402" s="625" t="s">
        <v>992</v>
      </c>
      <c r="E402" s="618" t="str">
        <f>Lists!B421</f>
        <v>Evaporation and other &gt; 2000 and &lt;= 3000 ML, Pasture</v>
      </c>
      <c r="F402" s="36">
        <v>1096282.9227184786</v>
      </c>
      <c r="G402" s="570" t="s">
        <v>999</v>
      </c>
      <c r="H402" s="2" t="s">
        <v>1000</v>
      </c>
      <c r="I402" s="616" t="s">
        <v>3168</v>
      </c>
    </row>
    <row r="403" spans="3:9" ht="63.75">
      <c r="C403" s="614" t="s">
        <v>1103</v>
      </c>
      <c r="D403" s="625" t="s">
        <v>992</v>
      </c>
      <c r="E403" s="618" t="str">
        <f>Lists!B422</f>
        <v>Evaporation and other &gt; 3000 and &lt;= 4000 ML, Pasture</v>
      </c>
      <c r="F403" s="36">
        <v>1268798.3750176947</v>
      </c>
      <c r="G403" s="570" t="s">
        <v>999</v>
      </c>
      <c r="H403" s="2" t="s">
        <v>1000</v>
      </c>
      <c r="I403" s="616" t="s">
        <v>3168</v>
      </c>
    </row>
    <row r="404" spans="3:9" ht="63.75">
      <c r="C404" s="614" t="s">
        <v>1104</v>
      </c>
      <c r="D404" s="625" t="s">
        <v>992</v>
      </c>
      <c r="E404" s="618" t="str">
        <f>Lists!B423</f>
        <v>Evaporation and other &gt; 4000 and &lt;= 5000 ML, Pasture</v>
      </c>
      <c r="F404" s="36">
        <v>1534273.5517756077</v>
      </c>
      <c r="G404" s="570" t="s">
        <v>999</v>
      </c>
      <c r="H404" s="2" t="s">
        <v>1000</v>
      </c>
      <c r="I404" s="616" t="s">
        <v>3168</v>
      </c>
    </row>
    <row r="405" spans="3:9" ht="63.75">
      <c r="C405" s="614" t="s">
        <v>1105</v>
      </c>
      <c r="D405" s="625" t="s">
        <v>992</v>
      </c>
      <c r="E405" s="618" t="str">
        <f>Lists!B424</f>
        <v>Evaporation and other &gt; 0 and &lt;= 1 ML, Native</v>
      </c>
      <c r="F405" s="36">
        <v>5012.0697833637496</v>
      </c>
      <c r="G405" s="570" t="s">
        <v>999</v>
      </c>
      <c r="H405" s="2" t="s">
        <v>1000</v>
      </c>
      <c r="I405" s="616" t="s">
        <v>3169</v>
      </c>
    </row>
    <row r="406" spans="3:9" ht="63.75">
      <c r="C406" s="614" t="s">
        <v>1106</v>
      </c>
      <c r="D406" s="625" t="s">
        <v>992</v>
      </c>
      <c r="E406" s="618" t="str">
        <f>Lists!B425</f>
        <v>Evaporation and other &gt; 1 and &lt;= 3.5 ML, Native</v>
      </c>
      <c r="F406" s="36">
        <v>18045.710176238961</v>
      </c>
      <c r="G406" s="570" t="s">
        <v>999</v>
      </c>
      <c r="H406" s="2" t="s">
        <v>1000</v>
      </c>
      <c r="I406" s="616" t="s">
        <v>3169</v>
      </c>
    </row>
    <row r="407" spans="3:9" ht="63.75">
      <c r="C407" s="614" t="s">
        <v>1107</v>
      </c>
      <c r="D407" s="625" t="s">
        <v>992</v>
      </c>
      <c r="E407" s="618" t="str">
        <f>Lists!B426</f>
        <v>Evaporation and other &gt; 3.5 and &lt;= 7.5 ML, Native</v>
      </c>
      <c r="F407" s="36">
        <v>24164.737112872426</v>
      </c>
      <c r="G407" s="570" t="s">
        <v>999</v>
      </c>
      <c r="H407" s="2" t="s">
        <v>1000</v>
      </c>
      <c r="I407" s="616" t="s">
        <v>3169</v>
      </c>
    </row>
    <row r="408" spans="3:9" ht="63.75">
      <c r="C408" s="614" t="s">
        <v>1108</v>
      </c>
      <c r="D408" s="625" t="s">
        <v>992</v>
      </c>
      <c r="E408" s="618" t="str">
        <f>Lists!B427</f>
        <v>Evaporation and other &gt; 7.5 and &lt;= 10 ML, Native</v>
      </c>
      <c r="F408" s="36">
        <v>32173.645380202179</v>
      </c>
      <c r="G408" s="570" t="s">
        <v>999</v>
      </c>
      <c r="H408" s="2" t="s">
        <v>1000</v>
      </c>
      <c r="I408" s="616" t="s">
        <v>3169</v>
      </c>
    </row>
    <row r="409" spans="3:9" ht="63.75">
      <c r="C409" s="614" t="s">
        <v>1109</v>
      </c>
      <c r="D409" s="625" t="s">
        <v>992</v>
      </c>
      <c r="E409" s="618" t="str">
        <f>Lists!B428</f>
        <v>Evaporation and other &gt; 10 and &lt;= 20 ML, Native</v>
      </c>
      <c r="F409" s="36">
        <v>65455.85993212874</v>
      </c>
      <c r="G409" s="570" t="s">
        <v>999</v>
      </c>
      <c r="H409" s="2" t="s">
        <v>1000</v>
      </c>
      <c r="I409" s="616" t="s">
        <v>3169</v>
      </c>
    </row>
    <row r="410" spans="3:9" ht="63.75">
      <c r="C410" s="614" t="s">
        <v>1110</v>
      </c>
      <c r="D410" s="625" t="s">
        <v>992</v>
      </c>
      <c r="E410" s="618" t="str">
        <f>Lists!B429</f>
        <v>Evaporation and other &gt; 20 and &lt;= 50 ML, Native</v>
      </c>
      <c r="F410" s="36">
        <v>107953.60105558517</v>
      </c>
      <c r="G410" s="570" t="s">
        <v>999</v>
      </c>
      <c r="H410" s="2" t="s">
        <v>1000</v>
      </c>
      <c r="I410" s="616" t="s">
        <v>3169</v>
      </c>
    </row>
    <row r="411" spans="3:9" ht="63.75">
      <c r="C411" s="614" t="s">
        <v>1111</v>
      </c>
      <c r="D411" s="625" t="s">
        <v>992</v>
      </c>
      <c r="E411" s="618" t="str">
        <f>Lists!B430</f>
        <v>Evaporation and other &gt; 50 and &lt;= 100 ML, Native</v>
      </c>
      <c r="F411" s="36">
        <v>115574.52969347326</v>
      </c>
      <c r="G411" s="570" t="s">
        <v>999</v>
      </c>
      <c r="H411" s="2" t="s">
        <v>1000</v>
      </c>
      <c r="I411" s="616" t="s">
        <v>3169</v>
      </c>
    </row>
    <row r="412" spans="3:9" ht="63.75">
      <c r="C412" s="614" t="s">
        <v>1112</v>
      </c>
      <c r="D412" s="625" t="s">
        <v>992</v>
      </c>
      <c r="E412" s="618" t="str">
        <f>Lists!B431</f>
        <v>Evaporation and other &gt; 100 and &lt;= 200 ML, Native</v>
      </c>
      <c r="F412" s="36">
        <v>188270.73789283785</v>
      </c>
      <c r="G412" s="570" t="s">
        <v>999</v>
      </c>
      <c r="H412" s="2" t="s">
        <v>1000</v>
      </c>
      <c r="I412" s="616" t="s">
        <v>3169</v>
      </c>
    </row>
    <row r="413" spans="3:9" ht="63.75">
      <c r="C413" s="614" t="s">
        <v>1113</v>
      </c>
      <c r="D413" s="625" t="s">
        <v>992</v>
      </c>
      <c r="E413" s="618" t="str">
        <f>Lists!B432</f>
        <v>Evaporation and other &gt; 200 and &lt;= 300 ML, Native</v>
      </c>
      <c r="F413" s="36">
        <v>276915.09634563129</v>
      </c>
      <c r="G413" s="570" t="s">
        <v>999</v>
      </c>
      <c r="H413" s="2" t="s">
        <v>1000</v>
      </c>
      <c r="I413" s="616" t="s">
        <v>3169</v>
      </c>
    </row>
    <row r="414" spans="3:9" ht="63.75">
      <c r="C414" s="614" t="s">
        <v>1114</v>
      </c>
      <c r="D414" s="625" t="s">
        <v>992</v>
      </c>
      <c r="E414" s="618" t="str">
        <f>Lists!B433</f>
        <v>Evaporation and other &gt; 300 and &lt;= 500 ML, Native</v>
      </c>
      <c r="F414" s="36">
        <v>379764.4018272768</v>
      </c>
      <c r="G414" s="570" t="s">
        <v>999</v>
      </c>
      <c r="H414" s="2" t="s">
        <v>1000</v>
      </c>
      <c r="I414" s="616" t="s">
        <v>3169</v>
      </c>
    </row>
    <row r="415" spans="3:9" ht="63.75">
      <c r="C415" s="614" t="s">
        <v>1115</v>
      </c>
      <c r="D415" s="625" t="s">
        <v>992</v>
      </c>
      <c r="E415" s="618" t="str">
        <f>Lists!B434</f>
        <v>Evaporation and other &gt; 500 and &lt;= 1000 ML, Native</v>
      </c>
      <c r="F415" s="36">
        <v>616725.66390886018</v>
      </c>
      <c r="G415" s="570" t="s">
        <v>999</v>
      </c>
      <c r="H415" s="2" t="s">
        <v>1000</v>
      </c>
      <c r="I415" s="616" t="s">
        <v>3169</v>
      </c>
    </row>
    <row r="416" spans="3:9" ht="63.75">
      <c r="C416" s="614" t="s">
        <v>1116</v>
      </c>
      <c r="D416" s="625" t="s">
        <v>992</v>
      </c>
      <c r="E416" s="618" t="str">
        <f>Lists!B435</f>
        <v>Evaporation and other &gt; 1000 and &lt;= 2000 ML, Native</v>
      </c>
      <c r="F416" s="36">
        <v>898027.80512080318</v>
      </c>
      <c r="G416" s="570" t="s">
        <v>999</v>
      </c>
      <c r="H416" s="2" t="s">
        <v>1000</v>
      </c>
      <c r="I416" s="616" t="s">
        <v>3169</v>
      </c>
    </row>
    <row r="417" spans="3:9" ht="63.75">
      <c r="C417" s="614" t="s">
        <v>1117</v>
      </c>
      <c r="D417" s="625" t="s">
        <v>992</v>
      </c>
      <c r="E417" s="618" t="str">
        <f>Lists!B436</f>
        <v>Evaporation and other &gt; 2000 and &lt;= 3000 ML, Native</v>
      </c>
      <c r="F417" s="36">
        <v>1218250.9227184786</v>
      </c>
      <c r="G417" s="570" t="s">
        <v>999</v>
      </c>
      <c r="H417" s="2" t="s">
        <v>1000</v>
      </c>
      <c r="I417" s="616" t="s">
        <v>3169</v>
      </c>
    </row>
    <row r="418" spans="3:9" ht="63.75">
      <c r="C418" s="614" t="s">
        <v>1118</v>
      </c>
      <c r="D418" s="625" t="s">
        <v>992</v>
      </c>
      <c r="E418" s="618" t="str">
        <f>Lists!B437</f>
        <v>Evaporation and other &gt; 3000 and &lt;= 4000 ML, Native</v>
      </c>
      <c r="F418" s="36">
        <v>1408553.3750176947</v>
      </c>
      <c r="G418" s="570" t="s">
        <v>999</v>
      </c>
      <c r="H418" s="2" t="s">
        <v>1000</v>
      </c>
      <c r="I418" s="616" t="s">
        <v>3169</v>
      </c>
    </row>
    <row r="419" spans="3:9" ht="63.75">
      <c r="C419" s="614" t="s">
        <v>1119</v>
      </c>
      <c r="D419" s="625" t="s">
        <v>992</v>
      </c>
      <c r="E419" s="618" t="str">
        <f>Lists!B438</f>
        <v>Evaporation and other &gt; 4000 and &lt;= 5000 ML, Native</v>
      </c>
      <c r="F419" s="36">
        <v>1686733.5517756077</v>
      </c>
      <c r="G419" s="570" t="s">
        <v>999</v>
      </c>
      <c r="H419" s="2" t="s">
        <v>1000</v>
      </c>
      <c r="I419" s="616" t="s">
        <v>3169</v>
      </c>
    </row>
    <row r="420" spans="3:9" ht="63.75">
      <c r="C420" s="614" t="s">
        <v>1120</v>
      </c>
      <c r="D420" s="625" t="s">
        <v>992</v>
      </c>
      <c r="E420" s="618" t="str">
        <f>Lists!B439</f>
        <v>Evaporation and other &gt; 0 and &lt;= 1 ML, Arid</v>
      </c>
      <c r="F420" s="36">
        <v>4592.41978336375</v>
      </c>
      <c r="G420" s="570" t="s">
        <v>999</v>
      </c>
      <c r="H420" s="2" t="s">
        <v>1000</v>
      </c>
      <c r="I420" s="616" t="s">
        <v>3170</v>
      </c>
    </row>
    <row r="421" spans="3:9" ht="63.75">
      <c r="C421" s="614" t="s">
        <v>1121</v>
      </c>
      <c r="D421" s="625" t="s">
        <v>992</v>
      </c>
      <c r="E421" s="618" t="str">
        <f>Lists!B440</f>
        <v>Evaporation and other &gt; 1 and &lt;= 3.5 ML, Arid</v>
      </c>
      <c r="F421" s="36">
        <v>15393.872699124429</v>
      </c>
      <c r="G421" s="570" t="s">
        <v>999</v>
      </c>
      <c r="H421" s="2" t="s">
        <v>1000</v>
      </c>
      <c r="I421" s="616" t="s">
        <v>3170</v>
      </c>
    </row>
    <row r="422" spans="3:9" ht="63.75">
      <c r="C422" s="614" t="s">
        <v>1122</v>
      </c>
      <c r="D422" s="625" t="s">
        <v>992</v>
      </c>
      <c r="E422" s="618" t="str">
        <f>Lists!B441</f>
        <v>Evaporation and other &gt; 3.5 and &lt;= 7.5 ML, Arid</v>
      </c>
      <c r="F422" s="36">
        <v>19745.007984348205</v>
      </c>
      <c r="G422" s="570" t="s">
        <v>999</v>
      </c>
      <c r="H422" s="2" t="s">
        <v>1000</v>
      </c>
      <c r="I422" s="616" t="s">
        <v>3170</v>
      </c>
    </row>
    <row r="423" spans="3:9" ht="63.75">
      <c r="C423" s="614" t="s">
        <v>1123</v>
      </c>
      <c r="D423" s="625" t="s">
        <v>992</v>
      </c>
      <c r="E423" s="618" t="str">
        <f>Lists!B442</f>
        <v>Evaporation and other &gt; 7.5 and &lt;= 10 ML, Arid</v>
      </c>
      <c r="F423" s="36">
        <v>26869.970425973115</v>
      </c>
      <c r="G423" s="570" t="s">
        <v>999</v>
      </c>
      <c r="H423" s="2" t="s">
        <v>1000</v>
      </c>
      <c r="I423" s="616" t="s">
        <v>3170</v>
      </c>
    </row>
    <row r="424" spans="3:9" ht="63.75">
      <c r="C424" s="614" t="s">
        <v>1124</v>
      </c>
      <c r="D424" s="625" t="s">
        <v>992</v>
      </c>
      <c r="E424" s="618" t="str">
        <f>Lists!B443</f>
        <v>Evaporation and other &gt; 10 and &lt;= 20 ML, Arid</v>
      </c>
      <c r="F424" s="36">
        <v>54848.51002367062</v>
      </c>
      <c r="G424" s="570" t="s">
        <v>999</v>
      </c>
      <c r="H424" s="2" t="s">
        <v>1000</v>
      </c>
      <c r="I424" s="616" t="s">
        <v>3170</v>
      </c>
    </row>
    <row r="425" spans="3:9" ht="63.75">
      <c r="C425" s="614" t="s">
        <v>1125</v>
      </c>
      <c r="D425" s="625" t="s">
        <v>992</v>
      </c>
      <c r="E425" s="618" t="str">
        <f>Lists!B444</f>
        <v>Evaporation and other &gt; 20 and &lt;= 50 ML, Arid</v>
      </c>
      <c r="F425" s="36">
        <v>84087.063761554396</v>
      </c>
      <c r="G425" s="570" t="s">
        <v>999</v>
      </c>
      <c r="H425" s="2" t="s">
        <v>1000</v>
      </c>
      <c r="I425" s="616" t="s">
        <v>3170</v>
      </c>
    </row>
    <row r="426" spans="3:9" ht="63.75">
      <c r="C426" s="614" t="s">
        <v>1126</v>
      </c>
      <c r="D426" s="625" t="s">
        <v>992</v>
      </c>
      <c r="E426" s="618" t="str">
        <f>Lists!B445</f>
        <v>Evaporation and other &gt; 50 and &lt;= 100 ML, Arid</v>
      </c>
      <c r="F426" s="36">
        <v>89056.154922327958</v>
      </c>
      <c r="G426" s="570" t="s">
        <v>999</v>
      </c>
      <c r="H426" s="2" t="s">
        <v>1000</v>
      </c>
      <c r="I426" s="616" t="s">
        <v>3170</v>
      </c>
    </row>
    <row r="427" spans="3:9" ht="63.75">
      <c r="C427" s="614" t="s">
        <v>1127</v>
      </c>
      <c r="D427" s="625" t="s">
        <v>992</v>
      </c>
      <c r="E427" s="618" t="str">
        <f>Lists!B446</f>
        <v>Evaporation and other &gt; 100 and &lt;= 200 ML, Arid</v>
      </c>
      <c r="F427" s="36">
        <v>144957.3924333005</v>
      </c>
      <c r="G427" s="570" t="s">
        <v>999</v>
      </c>
      <c r="H427" s="2" t="s">
        <v>1000</v>
      </c>
      <c r="I427" s="616" t="s">
        <v>3170</v>
      </c>
    </row>
    <row r="428" spans="3:9" ht="63.75">
      <c r="C428" s="614" t="s">
        <v>1128</v>
      </c>
      <c r="D428" s="625" t="s">
        <v>992</v>
      </c>
      <c r="E428" s="618" t="str">
        <f>Lists!B447</f>
        <v>Evaporation and other &gt; 200 and &lt;= 300 ML, Arid</v>
      </c>
      <c r="F428" s="36">
        <v>208851.26776635833</v>
      </c>
      <c r="G428" s="570" t="s">
        <v>999</v>
      </c>
      <c r="H428" s="2" t="s">
        <v>1000</v>
      </c>
      <c r="I428" s="616" t="s">
        <v>3170</v>
      </c>
    </row>
    <row r="429" spans="3:9" ht="63.75">
      <c r="C429" s="614" t="s">
        <v>1129</v>
      </c>
      <c r="D429" s="625" t="s">
        <v>992</v>
      </c>
      <c r="E429" s="618" t="str">
        <f>Lists!B448</f>
        <v>Evaporation and other &gt; 300 and &lt;= 500 ML, Arid</v>
      </c>
      <c r="F429" s="36">
        <v>271923.01109128585</v>
      </c>
      <c r="G429" s="570" t="s">
        <v>999</v>
      </c>
      <c r="H429" s="2" t="s">
        <v>1000</v>
      </c>
      <c r="I429" s="616" t="s">
        <v>3170</v>
      </c>
    </row>
    <row r="430" spans="3:9" ht="63.75">
      <c r="C430" s="614" t="s">
        <v>1130</v>
      </c>
      <c r="D430" s="625" t="s">
        <v>992</v>
      </c>
      <c r="E430" s="618" t="str">
        <f>Lists!B449</f>
        <v>Evaporation and other &gt; 500 and &lt;= 1000 ML, Arid</v>
      </c>
      <c r="F430" s="36">
        <v>431980.98633654794</v>
      </c>
      <c r="G430" s="570" t="s">
        <v>999</v>
      </c>
      <c r="H430" s="2" t="s">
        <v>1000</v>
      </c>
      <c r="I430" s="616" t="s">
        <v>3170</v>
      </c>
    </row>
    <row r="431" spans="3:9" ht="63.75">
      <c r="C431" s="614" t="s">
        <v>1131</v>
      </c>
      <c r="D431" s="625" t="s">
        <v>992</v>
      </c>
      <c r="E431" s="618" t="str">
        <f>Lists!B450</f>
        <v>Evaporation and other &gt; 1000 and &lt;= 2000 ML, Arid</v>
      </c>
      <c r="F431" s="36">
        <v>597486.22438115638</v>
      </c>
      <c r="G431" s="570" t="s">
        <v>999</v>
      </c>
      <c r="H431" s="2" t="s">
        <v>1000</v>
      </c>
      <c r="I431" s="616" t="s">
        <v>3170</v>
      </c>
    </row>
    <row r="432" spans="3:9" ht="63.75">
      <c r="C432" s="614" t="s">
        <v>1132</v>
      </c>
      <c r="D432" s="625" t="s">
        <v>992</v>
      </c>
      <c r="E432" s="618" t="str">
        <f>Lists!B451</f>
        <v>Evaporation and other &gt; 2000 and &lt;= 3000 ML, Arid</v>
      </c>
      <c r="F432" s="36">
        <v>793956.92638015363</v>
      </c>
      <c r="G432" s="570" t="s">
        <v>999</v>
      </c>
      <c r="H432" s="2" t="s">
        <v>1000</v>
      </c>
      <c r="I432" s="616" t="s">
        <v>3170</v>
      </c>
    </row>
    <row r="433" spans="3:9" ht="63.75">
      <c r="C433" s="614" t="s">
        <v>1133</v>
      </c>
      <c r="D433" s="625" t="s">
        <v>992</v>
      </c>
      <c r="E433" s="618" t="str">
        <f>Lists!B452</f>
        <v>Evaporation and other &gt; 3000 and &lt;= 4000 ML, Arid</v>
      </c>
      <c r="F433" s="36">
        <v>922383.17088003072</v>
      </c>
      <c r="G433" s="570" t="s">
        <v>999</v>
      </c>
      <c r="H433" s="2" t="s">
        <v>1000</v>
      </c>
      <c r="I433" s="616" t="s">
        <v>3170</v>
      </c>
    </row>
    <row r="434" spans="3:9" ht="63.75">
      <c r="C434" s="614" t="s">
        <v>1134</v>
      </c>
      <c r="D434" s="625" t="s">
        <v>992</v>
      </c>
      <c r="E434" s="618" t="str">
        <f>Lists!B453</f>
        <v>Evaporation and other &gt; 4000 and &lt;= 5000 ML, Arid</v>
      </c>
      <c r="F434" s="36">
        <v>1156366.0563527015</v>
      </c>
      <c r="G434" s="570" t="s">
        <v>999</v>
      </c>
      <c r="H434" s="2" t="s">
        <v>1000</v>
      </c>
      <c r="I434" s="616" t="s">
        <v>3170</v>
      </c>
    </row>
    <row r="435" spans="3:9" ht="89.25">
      <c r="C435" s="614" t="s">
        <v>1135</v>
      </c>
      <c r="D435" s="625" t="s">
        <v>992</v>
      </c>
      <c r="E435" s="618" t="str">
        <f>Lists!B455</f>
        <v>Lined &gt; 0 and &lt;= 1 ML</v>
      </c>
      <c r="F435" s="231">
        <v>80000</v>
      </c>
      <c r="G435" s="545" t="s">
        <v>95</v>
      </c>
      <c r="H435" s="616" t="s">
        <v>1136</v>
      </c>
      <c r="I435" s="616" t="s">
        <v>3171</v>
      </c>
    </row>
    <row r="436" spans="3:9" ht="89.25">
      <c r="C436" s="614" t="s">
        <v>1137</v>
      </c>
      <c r="D436" s="625" t="s">
        <v>992</v>
      </c>
      <c r="E436" s="618" t="str">
        <f>Lists!B456</f>
        <v>Lined &gt; 1 and &lt;= 3.5 ML</v>
      </c>
      <c r="F436" s="231">
        <v>78000</v>
      </c>
      <c r="G436" s="545" t="s">
        <v>95</v>
      </c>
      <c r="H436" s="616" t="s">
        <v>1136</v>
      </c>
      <c r="I436" s="616" t="s">
        <v>3171</v>
      </c>
    </row>
    <row r="437" spans="3:9" ht="89.25">
      <c r="C437" s="614" t="s">
        <v>1138</v>
      </c>
      <c r="D437" s="625" t="s">
        <v>992</v>
      </c>
      <c r="E437" s="618" t="str">
        <f>Lists!B457</f>
        <v>Lined &gt; 3.5 and &lt;= 7.5 ML</v>
      </c>
      <c r="F437" s="231">
        <v>75000</v>
      </c>
      <c r="G437" s="545" t="s">
        <v>95</v>
      </c>
      <c r="H437" s="616" t="s">
        <v>1136</v>
      </c>
      <c r="I437" s="616" t="s">
        <v>3171</v>
      </c>
    </row>
    <row r="438" spans="3:9" ht="89.25">
      <c r="C438" s="614" t="s">
        <v>1139</v>
      </c>
      <c r="D438" s="625" t="s">
        <v>992</v>
      </c>
      <c r="E438" s="618" t="str">
        <f>Lists!B458</f>
        <v>Lined &gt; 7.5 and &lt;= 10 ML</v>
      </c>
      <c r="F438" s="231">
        <v>74000</v>
      </c>
      <c r="G438" s="545" t="s">
        <v>95</v>
      </c>
      <c r="H438" s="616" t="s">
        <v>1136</v>
      </c>
      <c r="I438" s="616" t="s">
        <v>3171</v>
      </c>
    </row>
    <row r="439" spans="3:9" ht="76.5">
      <c r="C439" s="614" t="s">
        <v>1140</v>
      </c>
      <c r="D439" s="625" t="s">
        <v>992</v>
      </c>
      <c r="E439" s="618" t="str">
        <f>Lists!B459</f>
        <v>Lined &gt; 10 and &lt;= 20 ML</v>
      </c>
      <c r="F439" s="231">
        <v>70000</v>
      </c>
      <c r="G439" s="545" t="s">
        <v>95</v>
      </c>
      <c r="H439" s="616" t="s">
        <v>1136</v>
      </c>
      <c r="I439" s="616" t="s">
        <v>3172</v>
      </c>
    </row>
    <row r="440" spans="3:9" ht="76.5">
      <c r="C440" s="614" t="s">
        <v>1141</v>
      </c>
      <c r="D440" s="625" t="s">
        <v>992</v>
      </c>
      <c r="E440" s="618" t="str">
        <f>Lists!B460</f>
        <v>Lined &gt; 20 and &lt;= 50 ML</v>
      </c>
      <c r="F440" s="231">
        <v>65000</v>
      </c>
      <c r="G440" s="545" t="s">
        <v>95</v>
      </c>
      <c r="H440" s="616" t="s">
        <v>1136</v>
      </c>
      <c r="I440" s="616" t="s">
        <v>3172</v>
      </c>
    </row>
    <row r="441" spans="3:9" ht="76.5">
      <c r="C441" s="614" t="s">
        <v>1142</v>
      </c>
      <c r="D441" s="625" t="s">
        <v>992</v>
      </c>
      <c r="E441" s="618" t="str">
        <f>Lists!B461</f>
        <v>Lined &gt; 50 and &lt;= 100 ML</v>
      </c>
      <c r="F441" s="231">
        <v>63500</v>
      </c>
      <c r="G441" s="545" t="s">
        <v>95</v>
      </c>
      <c r="H441" s="616" t="s">
        <v>1136</v>
      </c>
      <c r="I441" s="616" t="s">
        <v>3172</v>
      </c>
    </row>
    <row r="442" spans="3:9" ht="76.5">
      <c r="C442" s="614" t="s">
        <v>1143</v>
      </c>
      <c r="D442" s="625" t="s">
        <v>992</v>
      </c>
      <c r="E442" s="618" t="str">
        <f>Lists!B462</f>
        <v>Unlined &gt; 0 and &lt;= 1 ML</v>
      </c>
      <c r="F442" s="231">
        <v>50000</v>
      </c>
      <c r="G442" s="545" t="s">
        <v>95</v>
      </c>
      <c r="H442" s="616" t="s">
        <v>1136</v>
      </c>
      <c r="I442" s="616" t="s">
        <v>3173</v>
      </c>
    </row>
    <row r="443" spans="3:9" ht="76.5">
      <c r="C443" s="614" t="s">
        <v>1144</v>
      </c>
      <c r="D443" s="625" t="s">
        <v>992</v>
      </c>
      <c r="E443" s="618" t="str">
        <f>Lists!B463</f>
        <v>Unlined &gt; 1 and &lt;= 3.5 ML</v>
      </c>
      <c r="F443" s="231">
        <v>49000</v>
      </c>
      <c r="G443" s="545" t="s">
        <v>95</v>
      </c>
      <c r="H443" s="616" t="s">
        <v>1136</v>
      </c>
      <c r="I443" s="616" t="s">
        <v>3173</v>
      </c>
    </row>
    <row r="444" spans="3:9" ht="76.5">
      <c r="C444" s="614" t="s">
        <v>1145</v>
      </c>
      <c r="D444" s="625" t="s">
        <v>992</v>
      </c>
      <c r="E444" s="618" t="str">
        <f>Lists!B464</f>
        <v>Unlined &gt; 3.5 and &lt;= 7.5 ML</v>
      </c>
      <c r="F444" s="231">
        <v>47000</v>
      </c>
      <c r="G444" s="545" t="s">
        <v>95</v>
      </c>
      <c r="H444" s="616" t="s">
        <v>1136</v>
      </c>
      <c r="I444" s="616" t="s">
        <v>3173</v>
      </c>
    </row>
    <row r="445" spans="3:9" ht="76.5">
      <c r="C445" s="614" t="s">
        <v>1146</v>
      </c>
      <c r="D445" s="625" t="s">
        <v>992</v>
      </c>
      <c r="E445" s="618" t="str">
        <f>Lists!B465</f>
        <v>Unlined &gt; 7.5 and &lt;= 10 ML</v>
      </c>
      <c r="F445" s="231">
        <v>45000</v>
      </c>
      <c r="G445" s="545" t="s">
        <v>95</v>
      </c>
      <c r="H445" s="616" t="s">
        <v>1136</v>
      </c>
      <c r="I445" s="616" t="s">
        <v>3173</v>
      </c>
    </row>
    <row r="446" spans="3:9" ht="76.5">
      <c r="C446" s="614" t="s">
        <v>1147</v>
      </c>
      <c r="D446" s="625" t="s">
        <v>992</v>
      </c>
      <c r="E446" s="618" t="str">
        <f>Lists!B466</f>
        <v>Unlined &gt; 10 and &lt;= 20 ML</v>
      </c>
      <c r="F446" s="231">
        <v>43000</v>
      </c>
      <c r="G446" s="545" t="s">
        <v>95</v>
      </c>
      <c r="H446" s="616" t="s">
        <v>1136</v>
      </c>
      <c r="I446" s="616" t="s">
        <v>3173</v>
      </c>
    </row>
    <row r="447" spans="3:9" ht="76.5">
      <c r="C447" s="614" t="s">
        <v>1148</v>
      </c>
      <c r="D447" s="625" t="s">
        <v>992</v>
      </c>
      <c r="E447" s="618" t="str">
        <f>Lists!B467</f>
        <v>Unlined &gt; 20 and &lt;= 50 ML</v>
      </c>
      <c r="F447" s="231">
        <v>38000</v>
      </c>
      <c r="G447" s="545" t="s">
        <v>95</v>
      </c>
      <c r="H447" s="616" t="s">
        <v>1136</v>
      </c>
      <c r="I447" s="616" t="s">
        <v>3173</v>
      </c>
    </row>
    <row r="448" spans="3:9" ht="76.5">
      <c r="C448" s="614" t="s">
        <v>1149</v>
      </c>
      <c r="D448" s="625" t="s">
        <v>992</v>
      </c>
      <c r="E448" s="618" t="str">
        <f>Lists!B468</f>
        <v>Unlined &gt; 50 and &lt;= 100 ML</v>
      </c>
      <c r="F448" s="231">
        <v>36000</v>
      </c>
      <c r="G448" s="545" t="s">
        <v>95</v>
      </c>
      <c r="H448" s="616" t="s">
        <v>1136</v>
      </c>
      <c r="I448" s="616" t="s">
        <v>3173</v>
      </c>
    </row>
    <row r="449" spans="1:9">
      <c r="C449" s="624" t="str">
        <f>_6._WATER_TREATMENT_AND_PUMPING</f>
        <v>6. Water Treatment and Pumping</v>
      </c>
      <c r="D449" s="610"/>
      <c r="E449" s="611"/>
      <c r="F449" s="617"/>
      <c r="G449" s="612"/>
      <c r="H449" s="611"/>
      <c r="I449" s="611"/>
    </row>
    <row r="450" spans="1:9" ht="63.75">
      <c r="C450" s="614" t="s">
        <v>1150</v>
      </c>
      <c r="D450" s="625" t="s">
        <v>1151</v>
      </c>
      <c r="E450" s="618" t="str">
        <f>Lists!B294</f>
        <v>Water pH 5.5 Adjustment</v>
      </c>
      <c r="F450" s="36">
        <v>1911.9489400717275</v>
      </c>
      <c r="G450" s="92" t="s">
        <v>154</v>
      </c>
      <c r="H450" s="2" t="s">
        <v>1152</v>
      </c>
      <c r="I450" s="616" t="s">
        <v>3174</v>
      </c>
    </row>
    <row r="451" spans="1:9" ht="63.75">
      <c r="C451" s="614" t="s">
        <v>1153</v>
      </c>
      <c r="D451" s="625" t="s">
        <v>1151</v>
      </c>
      <c r="E451" s="618" t="str">
        <f>Lists!B302</f>
        <v>Water pH 4.5 Adjustment</v>
      </c>
      <c r="F451" s="36">
        <v>2418.9489400717275</v>
      </c>
      <c r="G451" s="92" t="s">
        <v>154</v>
      </c>
      <c r="H451" s="2" t="s">
        <v>1152</v>
      </c>
      <c r="I451" s="616" t="s">
        <v>3175</v>
      </c>
    </row>
    <row r="452" spans="1:9" ht="63.75">
      <c r="C452" s="614" t="s">
        <v>1154</v>
      </c>
      <c r="D452" s="625" t="s">
        <v>1151</v>
      </c>
      <c r="E452" s="618" t="str">
        <f>Lists!B295</f>
        <v>Water Salt Removal</v>
      </c>
      <c r="F452" s="36">
        <v>2715.508940071727</v>
      </c>
      <c r="G452" s="92" t="s">
        <v>154</v>
      </c>
      <c r="H452" s="2" t="s">
        <v>1155</v>
      </c>
      <c r="I452" s="616" t="s">
        <v>3176</v>
      </c>
    </row>
    <row r="453" spans="1:9" ht="89.25">
      <c r="C453" s="614" t="s">
        <v>1156</v>
      </c>
      <c r="D453" s="625" t="s">
        <v>1151</v>
      </c>
      <c r="E453" s="618" t="str">
        <f>Lists!B296</f>
        <v>Water Organics Removal</v>
      </c>
      <c r="F453" s="36">
        <v>2026.5879055889689</v>
      </c>
      <c r="G453" s="92" t="s">
        <v>154</v>
      </c>
      <c r="H453" s="2" t="s">
        <v>1157</v>
      </c>
      <c r="I453" s="616" t="s">
        <v>3177</v>
      </c>
    </row>
    <row r="454" spans="1:9" ht="63.75">
      <c r="C454" s="614" t="s">
        <v>1158</v>
      </c>
      <c r="D454" s="625" t="s">
        <v>1151</v>
      </c>
      <c r="E454" s="618" t="str">
        <f>Lists!B297</f>
        <v>Naturally Evaporate Water in Pond</v>
      </c>
      <c r="F454" s="36">
        <v>5291.2017744629547</v>
      </c>
      <c r="G454" s="92" t="s">
        <v>196</v>
      </c>
      <c r="H454" s="2" t="s">
        <v>1159</v>
      </c>
      <c r="I454" s="616" t="s">
        <v>3178</v>
      </c>
    </row>
    <row r="455" spans="1:9" ht="51">
      <c r="C455" s="614" t="s">
        <v>1160</v>
      </c>
      <c r="D455" s="625" t="s">
        <v>1151</v>
      </c>
      <c r="E455" s="618" t="str">
        <f>Lists!B298</f>
        <v>Evaporate Water with Evaporators</v>
      </c>
      <c r="F455" s="36">
        <v>53739.57403519551</v>
      </c>
      <c r="G455" s="92" t="s">
        <v>196</v>
      </c>
      <c r="H455" s="2" t="s">
        <v>1161</v>
      </c>
      <c r="I455" s="616" t="s">
        <v>3179</v>
      </c>
    </row>
    <row r="456" spans="1:9" ht="51">
      <c r="C456" s="614" t="s">
        <v>1162</v>
      </c>
      <c r="D456" s="625" t="s">
        <v>1151</v>
      </c>
      <c r="E456" s="618" t="str">
        <f>Lists!B299</f>
        <v>Mobilisation of Reverse Osmosis Unit</v>
      </c>
      <c r="F456" s="36">
        <v>48000</v>
      </c>
      <c r="G456" s="92" t="s">
        <v>152</v>
      </c>
      <c r="H456" s="628" t="s">
        <v>1163</v>
      </c>
      <c r="I456" s="616" t="s">
        <v>3180</v>
      </c>
    </row>
    <row r="457" spans="1:9" ht="63.75">
      <c r="C457" s="614" t="s">
        <v>1164</v>
      </c>
      <c r="D457" s="625" t="s">
        <v>1151</v>
      </c>
      <c r="E457" s="618" t="s">
        <v>1165</v>
      </c>
      <c r="F457" s="36">
        <v>9.9611399451846694</v>
      </c>
      <c r="G457" s="92" t="s">
        <v>582</v>
      </c>
      <c r="H457" s="2" t="s">
        <v>1166</v>
      </c>
      <c r="I457" s="616" t="s">
        <v>3181</v>
      </c>
    </row>
    <row r="458" spans="1:9" ht="51">
      <c r="C458" s="614" t="s">
        <v>1167</v>
      </c>
      <c r="D458" s="625" t="s">
        <v>1151</v>
      </c>
      <c r="E458" s="618" t="s">
        <v>1168</v>
      </c>
      <c r="F458" s="36">
        <v>110.39113994518468</v>
      </c>
      <c r="G458" s="92" t="s">
        <v>582</v>
      </c>
      <c r="H458" s="2" t="s">
        <v>1169</v>
      </c>
      <c r="I458" s="616" t="s">
        <v>3182</v>
      </c>
    </row>
    <row r="459" spans="1:9" ht="51">
      <c r="C459" s="614" t="s">
        <v>1170</v>
      </c>
      <c r="D459" s="625" t="s">
        <v>1151</v>
      </c>
      <c r="E459" s="618" t="s">
        <v>1171</v>
      </c>
      <c r="F459" s="36">
        <v>120.44708803025631</v>
      </c>
      <c r="G459" s="92" t="s">
        <v>154</v>
      </c>
      <c r="H459" s="2" t="s">
        <v>1172</v>
      </c>
      <c r="I459" s="616" t="s">
        <v>3183</v>
      </c>
    </row>
    <row r="460" spans="1:9" ht="51">
      <c r="C460" s="614" t="s">
        <v>1173</v>
      </c>
      <c r="D460" s="625" t="s">
        <v>1151</v>
      </c>
      <c r="E460" s="618" t="s">
        <v>1174</v>
      </c>
      <c r="F460" s="36">
        <v>27500</v>
      </c>
      <c r="G460" s="92" t="s">
        <v>178</v>
      </c>
      <c r="H460" s="6" t="s">
        <v>1175</v>
      </c>
      <c r="I460" s="616" t="s">
        <v>3143</v>
      </c>
    </row>
    <row r="461" spans="1:9" ht="51">
      <c r="C461" s="614" t="s">
        <v>1176</v>
      </c>
      <c r="D461" s="625" t="s">
        <v>1151</v>
      </c>
      <c r="E461" s="618" t="s">
        <v>1177</v>
      </c>
      <c r="F461" s="36">
        <v>4099.0747061569673</v>
      </c>
      <c r="G461" s="93" t="s">
        <v>197</v>
      </c>
      <c r="H461" s="6" t="s">
        <v>1178</v>
      </c>
      <c r="I461" s="616" t="s">
        <v>3184</v>
      </c>
    </row>
    <row r="462" spans="1:9" ht="89.25">
      <c r="C462" s="614" t="s">
        <v>1179</v>
      </c>
      <c r="D462" s="625" t="s">
        <v>1151</v>
      </c>
      <c r="E462" s="618" t="str">
        <f>Lists!B303</f>
        <v>Water Management establishment, engineering, O&amp;M</v>
      </c>
      <c r="F462" s="36">
        <v>2700</v>
      </c>
      <c r="G462" s="93" t="s">
        <v>154</v>
      </c>
      <c r="H462" s="6" t="s">
        <v>1180</v>
      </c>
      <c r="I462" s="616" t="s">
        <v>3185</v>
      </c>
    </row>
    <row r="463" spans="1:9">
      <c r="C463" s="624" t="str">
        <f>_7._WASTE_ROCK_DUMPS__OVERBURDEN_DUMPS__SPOIL_PILES_AND_STOCKPILES</f>
        <v>7. Waste Rock Dumps, Overburden Dumps, Spoil Piles and Stockpiles</v>
      </c>
      <c r="D463" s="610"/>
      <c r="E463" s="611"/>
      <c r="F463" s="617"/>
      <c r="G463" s="612"/>
      <c r="H463" s="611"/>
      <c r="I463" s="611"/>
    </row>
    <row r="464" spans="1:9" ht="216.75">
      <c r="A464" s="593" t="e">
        <f>Lists!#REF!</f>
        <v>#REF!</v>
      </c>
      <c r="C464" s="614" t="s">
        <v>1181</v>
      </c>
      <c r="D464" s="625" t="s">
        <v>1182</v>
      </c>
      <c r="E464" s="629" t="s">
        <v>1183</v>
      </c>
      <c r="F464" s="36">
        <v>167262.75076315654</v>
      </c>
      <c r="G464" s="570" t="s">
        <v>95</v>
      </c>
      <c r="H464" s="2" t="s">
        <v>1184</v>
      </c>
      <c r="I464" s="616" t="s">
        <v>3186</v>
      </c>
    </row>
    <row r="465" spans="1:9" ht="216.75">
      <c r="A465" s="593" t="e">
        <f>Lists!#REF!</f>
        <v>#REF!</v>
      </c>
      <c r="C465" s="614" t="s">
        <v>1185</v>
      </c>
      <c r="D465" s="625" t="s">
        <v>1182</v>
      </c>
      <c r="E465" s="629" t="s">
        <v>1186</v>
      </c>
      <c r="F465" s="38">
        <v>111627.27860871454</v>
      </c>
      <c r="G465" s="570" t="s">
        <v>95</v>
      </c>
      <c r="H465" s="2" t="s">
        <v>1187</v>
      </c>
      <c r="I465" s="616" t="s">
        <v>3187</v>
      </c>
    </row>
    <row r="466" spans="1:9" ht="216.75">
      <c r="C466" s="614" t="s">
        <v>1188</v>
      </c>
      <c r="D466" s="625" t="s">
        <v>1182</v>
      </c>
      <c r="E466" s="629" t="s">
        <v>1189</v>
      </c>
      <c r="F466" s="38">
        <v>81036.67967289142</v>
      </c>
      <c r="G466" s="570" t="s">
        <v>95</v>
      </c>
      <c r="H466" s="2" t="s">
        <v>1190</v>
      </c>
      <c r="I466" s="616" t="s">
        <v>3188</v>
      </c>
    </row>
    <row r="467" spans="1:9" ht="216.75">
      <c r="A467" s="593" t="e">
        <f>Lists!#REF!</f>
        <v>#REF!</v>
      </c>
      <c r="C467" s="614" t="s">
        <v>1191</v>
      </c>
      <c r="D467" s="625" t="s">
        <v>1182</v>
      </c>
      <c r="E467" s="629" t="s">
        <v>1192</v>
      </c>
      <c r="F467" s="38">
        <v>50106.234920296971</v>
      </c>
      <c r="G467" s="570" t="s">
        <v>95</v>
      </c>
      <c r="H467" s="2" t="s">
        <v>1193</v>
      </c>
      <c r="I467" s="616" t="s">
        <v>3189</v>
      </c>
    </row>
    <row r="468" spans="1:9" ht="216.75">
      <c r="A468" s="593" t="e">
        <f>Lists!#REF!</f>
        <v>#REF!</v>
      </c>
      <c r="C468" s="614" t="s">
        <v>1194</v>
      </c>
      <c r="D468" s="625" t="s">
        <v>1182</v>
      </c>
      <c r="E468" s="629" t="s">
        <v>1195</v>
      </c>
      <c r="F468" s="38">
        <v>14670.818953562846</v>
      </c>
      <c r="G468" s="570" t="s">
        <v>95</v>
      </c>
      <c r="H468" s="2" t="s">
        <v>1196</v>
      </c>
      <c r="I468" s="616" t="s">
        <v>3190</v>
      </c>
    </row>
    <row r="469" spans="1:9">
      <c r="C469" s="624" t="str">
        <f>_8._HEAP_LEACH_PADS</f>
        <v>8. Heap Leach Pads</v>
      </c>
      <c r="D469" s="610"/>
      <c r="E469" s="611"/>
      <c r="F469" s="627"/>
      <c r="G469" s="612"/>
      <c r="H469" s="612"/>
      <c r="I469" s="612"/>
    </row>
    <row r="470" spans="1:9" ht="216.75">
      <c r="A470" s="593" t="e">
        <f>Lists!#REF!</f>
        <v>#REF!</v>
      </c>
      <c r="C470" s="614" t="s">
        <v>1197</v>
      </c>
      <c r="D470" s="625" t="s">
        <v>1198</v>
      </c>
      <c r="E470" s="629" t="s">
        <v>1199</v>
      </c>
      <c r="F470" s="38">
        <v>167512.75076315654</v>
      </c>
      <c r="G470" s="570" t="s">
        <v>95</v>
      </c>
      <c r="H470" s="2" t="s">
        <v>1200</v>
      </c>
      <c r="I470" s="616" t="s">
        <v>3191</v>
      </c>
    </row>
    <row r="471" spans="1:9" ht="216.75">
      <c r="A471" s="593" t="e">
        <f>Lists!#REF!</f>
        <v>#REF!</v>
      </c>
      <c r="C471" s="614" t="s">
        <v>1201</v>
      </c>
      <c r="D471" s="625" t="s">
        <v>1198</v>
      </c>
      <c r="E471" s="629" t="s">
        <v>1202</v>
      </c>
      <c r="F471" s="38">
        <v>111877.27860871454</v>
      </c>
      <c r="G471" s="570" t="s">
        <v>95</v>
      </c>
      <c r="H471" s="2" t="s">
        <v>1200</v>
      </c>
      <c r="I471" s="616" t="s">
        <v>3192</v>
      </c>
    </row>
    <row r="472" spans="1:9" ht="216.75">
      <c r="C472" s="614" t="s">
        <v>1203</v>
      </c>
      <c r="D472" s="625" t="s">
        <v>1198</v>
      </c>
      <c r="E472" s="629" t="s">
        <v>1204</v>
      </c>
      <c r="F472" s="38">
        <v>81486.67967289142</v>
      </c>
      <c r="G472" s="570" t="s">
        <v>95</v>
      </c>
      <c r="H472" s="2" t="s">
        <v>1200</v>
      </c>
      <c r="I472" s="616" t="s">
        <v>3193</v>
      </c>
    </row>
    <row r="473" spans="1:9" ht="216.75">
      <c r="A473" s="593" t="e">
        <f>Lists!#REF!</f>
        <v>#REF!</v>
      </c>
      <c r="C473" s="614" t="s">
        <v>1205</v>
      </c>
      <c r="D473" s="625" t="s">
        <v>1198</v>
      </c>
      <c r="E473" s="629" t="s">
        <v>1206</v>
      </c>
      <c r="F473" s="38">
        <v>50156.234920296971</v>
      </c>
      <c r="G473" s="570" t="s">
        <v>95</v>
      </c>
      <c r="H473" s="2" t="s">
        <v>1200</v>
      </c>
      <c r="I473" s="616" t="s">
        <v>3194</v>
      </c>
    </row>
    <row r="474" spans="1:9" ht="216.75">
      <c r="A474" s="593" t="e">
        <f>Lists!#REF!</f>
        <v>#REF!</v>
      </c>
      <c r="C474" s="614" t="s">
        <v>1207</v>
      </c>
      <c r="D474" s="625" t="s">
        <v>1198</v>
      </c>
      <c r="E474" s="629" t="s">
        <v>1208</v>
      </c>
      <c r="F474" s="38">
        <v>14770.818953562846</v>
      </c>
      <c r="G474" s="570" t="s">
        <v>95</v>
      </c>
      <c r="H474" s="2" t="s">
        <v>1200</v>
      </c>
      <c r="I474" s="616" t="s">
        <v>3195</v>
      </c>
    </row>
    <row r="475" spans="1:9">
      <c r="C475" s="624" t="str">
        <f>_9._TAILING_STORAGE_FACILITIES__REJECTS__SLIMES__SLIMES_STORAGE_FACILITIES</f>
        <v>9. Tailings Storage Facilities, Rejects, Slimes, Slimes Storage Facilities</v>
      </c>
      <c r="D475" s="610"/>
      <c r="E475" s="610"/>
      <c r="F475" s="630"/>
      <c r="G475" s="610"/>
      <c r="H475" s="610"/>
      <c r="I475" s="610"/>
    </row>
    <row r="476" spans="1:9" ht="229.5">
      <c r="C476" s="614" t="s">
        <v>1209</v>
      </c>
      <c r="D476" s="625" t="s">
        <v>1210</v>
      </c>
      <c r="E476" s="629" t="s">
        <v>1211</v>
      </c>
      <c r="F476" s="38">
        <v>200511.7877254964</v>
      </c>
      <c r="G476" s="570" t="s">
        <v>95</v>
      </c>
      <c r="H476" s="2" t="s">
        <v>1212</v>
      </c>
      <c r="I476" s="616" t="s">
        <v>3196</v>
      </c>
    </row>
    <row r="477" spans="1:9" ht="229.5">
      <c r="C477" s="614" t="s">
        <v>1213</v>
      </c>
      <c r="D477" s="625" t="s">
        <v>1210</v>
      </c>
      <c r="E477" s="629" t="s">
        <v>1214</v>
      </c>
      <c r="F477" s="38">
        <v>144378.87928548455</v>
      </c>
      <c r="G477" s="570" t="s">
        <v>95</v>
      </c>
      <c r="H477" s="2" t="s">
        <v>1212</v>
      </c>
      <c r="I477" s="616" t="s">
        <v>3197</v>
      </c>
    </row>
    <row r="478" spans="1:9" ht="229.5">
      <c r="C478" s="614" t="s">
        <v>1215</v>
      </c>
      <c r="D478" s="625" t="s">
        <v>1210</v>
      </c>
      <c r="E478" s="629" t="s">
        <v>1216</v>
      </c>
      <c r="F478" s="38">
        <v>114038.28034966144</v>
      </c>
      <c r="G478" s="570" t="s">
        <v>95</v>
      </c>
      <c r="H478" s="2" t="s">
        <v>1212</v>
      </c>
      <c r="I478" s="616" t="s">
        <v>3198</v>
      </c>
    </row>
    <row r="479" spans="1:9" ht="229.5">
      <c r="C479" s="614" t="s">
        <v>1217</v>
      </c>
      <c r="D479" s="625" t="s">
        <v>1210</v>
      </c>
      <c r="E479" s="629" t="s">
        <v>1218</v>
      </c>
      <c r="F479" s="38">
        <v>75254.542169959881</v>
      </c>
      <c r="G479" s="570" t="s">
        <v>95</v>
      </c>
      <c r="H479" s="2" t="s">
        <v>1212</v>
      </c>
      <c r="I479" s="616" t="s">
        <v>3199</v>
      </c>
    </row>
    <row r="480" spans="1:9" ht="229.5">
      <c r="C480" s="614" t="s">
        <v>1219</v>
      </c>
      <c r="D480" s="625" t="s">
        <v>1210</v>
      </c>
      <c r="E480" s="629" t="s">
        <v>1220</v>
      </c>
      <c r="F480" s="38">
        <v>23181.476592357463</v>
      </c>
      <c r="G480" s="570" t="s">
        <v>95</v>
      </c>
      <c r="H480" s="2" t="s">
        <v>1212</v>
      </c>
      <c r="I480" s="616" t="s">
        <v>3200</v>
      </c>
    </row>
    <row r="481" spans="3:9" ht="38.25">
      <c r="C481" s="614" t="s">
        <v>1221</v>
      </c>
      <c r="D481" s="625" t="s">
        <v>1210</v>
      </c>
      <c r="E481" s="629" t="s">
        <v>1222</v>
      </c>
      <c r="F481" s="38">
        <v>2945.2971856984341</v>
      </c>
      <c r="G481" s="570" t="s">
        <v>95</v>
      </c>
      <c r="H481" s="2" t="s">
        <v>1223</v>
      </c>
      <c r="I481" s="616" t="s">
        <v>3201</v>
      </c>
    </row>
    <row r="482" spans="3:9">
      <c r="C482" s="624" t="str">
        <f>_10._PITS</f>
        <v>10. Pits</v>
      </c>
      <c r="D482" s="612"/>
      <c r="E482" s="611"/>
      <c r="F482" s="627"/>
      <c r="G482" s="612"/>
      <c r="H482" s="611"/>
      <c r="I482" s="611"/>
    </row>
    <row r="483" spans="3:9" ht="63.75">
      <c r="C483" s="614" t="s">
        <v>1224</v>
      </c>
      <c r="D483" s="625" t="s">
        <v>1225</v>
      </c>
      <c r="E483" s="621" t="s">
        <v>1226</v>
      </c>
      <c r="F483" s="38">
        <v>1.9183431867367298</v>
      </c>
      <c r="G483" s="570" t="s">
        <v>446</v>
      </c>
      <c r="H483" s="2" t="s">
        <v>1227</v>
      </c>
      <c r="I483" s="616" t="s">
        <v>3202</v>
      </c>
    </row>
    <row r="484" spans="3:9" ht="51">
      <c r="C484" s="614" t="s">
        <v>1228</v>
      </c>
      <c r="D484" s="625" t="s">
        <v>1225</v>
      </c>
      <c r="E484" s="618" t="s">
        <v>1229</v>
      </c>
      <c r="F484" s="38">
        <v>24.04779639015516</v>
      </c>
      <c r="G484" s="570" t="s">
        <v>11</v>
      </c>
      <c r="H484" s="2" t="s">
        <v>1230</v>
      </c>
      <c r="I484" s="616" t="s">
        <v>3203</v>
      </c>
    </row>
    <row r="485" spans="3:9" ht="51">
      <c r="C485" s="614" t="s">
        <v>1231</v>
      </c>
      <c r="D485" s="625" t="s">
        <v>1225</v>
      </c>
      <c r="E485" s="618" t="s">
        <v>1232</v>
      </c>
      <c r="F485" s="38">
        <v>47.775250750387507</v>
      </c>
      <c r="G485" s="570" t="s">
        <v>11</v>
      </c>
      <c r="H485" s="2" t="s">
        <v>1230</v>
      </c>
      <c r="I485" s="616" t="s">
        <v>3204</v>
      </c>
    </row>
    <row r="486" spans="3:9" ht="38.25">
      <c r="C486" s="614" t="s">
        <v>1233</v>
      </c>
      <c r="D486" s="625" t="s">
        <v>1225</v>
      </c>
      <c r="E486" s="621" t="s">
        <v>1234</v>
      </c>
      <c r="F486" s="38">
        <v>224.69700000000003</v>
      </c>
      <c r="G486" s="570" t="s">
        <v>11</v>
      </c>
      <c r="H486" s="2" t="s">
        <v>1235</v>
      </c>
      <c r="I486" s="616" t="s">
        <v>3205</v>
      </c>
    </row>
    <row r="487" spans="3:9" ht="38.25">
      <c r="C487" s="614" t="s">
        <v>1236</v>
      </c>
      <c r="D487" s="625" t="s">
        <v>1225</v>
      </c>
      <c r="E487" s="621" t="s">
        <v>1237</v>
      </c>
      <c r="F487" s="38">
        <v>16720</v>
      </c>
      <c r="G487" s="570" t="s">
        <v>1238</v>
      </c>
      <c r="H487" s="2" t="s">
        <v>1235</v>
      </c>
      <c r="I487" s="616" t="s">
        <v>3206</v>
      </c>
    </row>
    <row r="488" spans="3:9" ht="38.25">
      <c r="C488" s="614" t="s">
        <v>1239</v>
      </c>
      <c r="D488" s="625" t="s">
        <v>1225</v>
      </c>
      <c r="E488" s="621" t="s">
        <v>1240</v>
      </c>
      <c r="F488" s="38">
        <v>0.27500000000000002</v>
      </c>
      <c r="G488" s="570" t="s">
        <v>11</v>
      </c>
      <c r="H488" s="24" t="s">
        <v>1241</v>
      </c>
      <c r="I488" s="616" t="s">
        <v>3207</v>
      </c>
    </row>
    <row r="489" spans="3:9" ht="63.75">
      <c r="C489" s="614" t="s">
        <v>1242</v>
      </c>
      <c r="D489" s="625" t="s">
        <v>1151</v>
      </c>
      <c r="E489" s="618" t="s">
        <v>1171</v>
      </c>
      <c r="F489" s="619">
        <v>120.44708803025631</v>
      </c>
      <c r="G489" s="631" t="s">
        <v>154</v>
      </c>
      <c r="H489" s="620" t="s">
        <v>1172</v>
      </c>
      <c r="I489" s="616" t="s">
        <v>3208</v>
      </c>
    </row>
    <row r="490" spans="3:9">
      <c r="C490" s="624" t="str">
        <f>_11_UNDERGROUND_MINES</f>
        <v>11. Underground Mines</v>
      </c>
      <c r="D490" s="612"/>
      <c r="E490" s="611"/>
      <c r="F490" s="627"/>
      <c r="G490" s="612"/>
      <c r="H490" s="611"/>
      <c r="I490" s="611"/>
    </row>
    <row r="491" spans="3:9" ht="51">
      <c r="C491" s="614" t="s">
        <v>1243</v>
      </c>
      <c r="D491" s="625" t="s">
        <v>1244</v>
      </c>
      <c r="E491" s="618" t="s">
        <v>1245</v>
      </c>
      <c r="F491" s="38">
        <v>27500</v>
      </c>
      <c r="G491" s="570" t="s">
        <v>178</v>
      </c>
      <c r="H491" s="618" t="s">
        <v>1246</v>
      </c>
      <c r="I491" s="616" t="s">
        <v>3209</v>
      </c>
    </row>
    <row r="492" spans="3:9" ht="63.75">
      <c r="C492" s="614" t="s">
        <v>1247</v>
      </c>
      <c r="D492" s="625" t="s">
        <v>1244</v>
      </c>
      <c r="E492" s="618" t="s">
        <v>1248</v>
      </c>
      <c r="F492" s="38">
        <v>1200000</v>
      </c>
      <c r="G492" s="570" t="s">
        <v>94</v>
      </c>
      <c r="H492" s="618" t="s">
        <v>1249</v>
      </c>
      <c r="I492" s="616" t="s">
        <v>3210</v>
      </c>
    </row>
    <row r="493" spans="3:9" ht="51">
      <c r="C493" s="614" t="s">
        <v>1250</v>
      </c>
      <c r="D493" s="625" t="s">
        <v>1244</v>
      </c>
      <c r="E493" s="618" t="s">
        <v>240</v>
      </c>
      <c r="F493" s="38">
        <v>1015.8729</v>
      </c>
      <c r="G493" s="570" t="s">
        <v>11</v>
      </c>
      <c r="H493" s="618" t="s">
        <v>1251</v>
      </c>
      <c r="I493" s="616" t="s">
        <v>3211</v>
      </c>
    </row>
    <row r="494" spans="3:9" ht="38.25">
      <c r="C494" s="614" t="s">
        <v>1252</v>
      </c>
      <c r="D494" s="625" t="s">
        <v>1244</v>
      </c>
      <c r="E494" s="618" t="s">
        <v>1253</v>
      </c>
      <c r="F494" s="38">
        <v>7700.0000000000009</v>
      </c>
      <c r="G494" s="570" t="s">
        <v>178</v>
      </c>
      <c r="H494" s="618" t="s">
        <v>1254</v>
      </c>
      <c r="I494" s="616" t="s">
        <v>3212</v>
      </c>
    </row>
    <row r="495" spans="3:9" ht="63.75">
      <c r="C495" s="614" t="s">
        <v>1255</v>
      </c>
      <c r="D495" s="625" t="s">
        <v>1244</v>
      </c>
      <c r="E495" s="618" t="s">
        <v>1256</v>
      </c>
      <c r="F495" s="38">
        <v>28278.557873656478</v>
      </c>
      <c r="G495" s="570" t="s">
        <v>178</v>
      </c>
      <c r="H495" s="618" t="s">
        <v>1257</v>
      </c>
      <c r="I495" s="616" t="s">
        <v>3213</v>
      </c>
    </row>
    <row r="496" spans="3:9" ht="63.75">
      <c r="C496" s="614" t="s">
        <v>1258</v>
      </c>
      <c r="D496" s="625" t="s">
        <v>1244</v>
      </c>
      <c r="E496" s="618" t="s">
        <v>1259</v>
      </c>
      <c r="F496" s="38">
        <v>301857.11574731296</v>
      </c>
      <c r="G496" s="570" t="s">
        <v>178</v>
      </c>
      <c r="H496" s="618" t="s">
        <v>1260</v>
      </c>
      <c r="I496" s="616" t="s">
        <v>3214</v>
      </c>
    </row>
    <row r="497" spans="3:9" ht="51">
      <c r="C497" s="614" t="s">
        <v>1261</v>
      </c>
      <c r="D497" s="625" t="s">
        <v>1244</v>
      </c>
      <c r="E497" s="618" t="s">
        <v>1262</v>
      </c>
      <c r="F497" s="38">
        <v>135498.88</v>
      </c>
      <c r="G497" s="570" t="s">
        <v>178</v>
      </c>
      <c r="H497" s="618" t="s">
        <v>1263</v>
      </c>
      <c r="I497" s="616" t="s">
        <v>3215</v>
      </c>
    </row>
    <row r="498" spans="3:9" ht="51">
      <c r="C498" s="614" t="s">
        <v>1264</v>
      </c>
      <c r="D498" s="625" t="s">
        <v>1244</v>
      </c>
      <c r="E498" s="618" t="s">
        <v>1265</v>
      </c>
      <c r="F498" s="38">
        <v>242886.64888888842</v>
      </c>
      <c r="G498" s="570" t="s">
        <v>178</v>
      </c>
      <c r="H498" s="618" t="s">
        <v>1266</v>
      </c>
      <c r="I498" s="616" t="s">
        <v>3216</v>
      </c>
    </row>
    <row r="499" spans="3:9" ht="51">
      <c r="C499" s="614" t="s">
        <v>1267</v>
      </c>
      <c r="D499" s="625" t="s">
        <v>1244</v>
      </c>
      <c r="E499" s="618" t="s">
        <v>1268</v>
      </c>
      <c r="F499" s="38">
        <v>58498.880000000005</v>
      </c>
      <c r="G499" s="570" t="s">
        <v>178</v>
      </c>
      <c r="H499" s="618" t="s">
        <v>1263</v>
      </c>
      <c r="I499" s="616" t="s">
        <v>3217</v>
      </c>
    </row>
    <row r="500" spans="3:9" ht="51">
      <c r="C500" s="614" t="s">
        <v>1269</v>
      </c>
      <c r="D500" s="625" t="s">
        <v>1244</v>
      </c>
      <c r="E500" s="618" t="s">
        <v>1270</v>
      </c>
      <c r="F500" s="38">
        <v>105997.76000000001</v>
      </c>
      <c r="G500" s="570" t="s">
        <v>178</v>
      </c>
      <c r="H500" s="618" t="s">
        <v>1266</v>
      </c>
      <c r="I500" s="616" t="s">
        <v>3218</v>
      </c>
    </row>
    <row r="501" spans="3:9" ht="63.75">
      <c r="C501" s="614" t="s">
        <v>1271</v>
      </c>
      <c r="D501" s="625" t="s">
        <v>1244</v>
      </c>
      <c r="E501" s="618" t="s">
        <v>1272</v>
      </c>
      <c r="F501" s="38">
        <v>258.9076105439126</v>
      </c>
      <c r="G501" s="570" t="s">
        <v>11</v>
      </c>
      <c r="H501" s="618" t="s">
        <v>1263</v>
      </c>
      <c r="I501" s="616" t="s">
        <v>3219</v>
      </c>
    </row>
    <row r="502" spans="3:9" ht="63.75">
      <c r="C502" s="614" t="s">
        <v>1273</v>
      </c>
      <c r="D502" s="625" t="s">
        <v>1244</v>
      </c>
      <c r="E502" s="618" t="s">
        <v>1274</v>
      </c>
      <c r="F502" s="38">
        <v>1035.6304421756504</v>
      </c>
      <c r="G502" s="570" t="s">
        <v>11</v>
      </c>
      <c r="H502" s="618" t="s">
        <v>1266</v>
      </c>
      <c r="I502" s="616" t="s">
        <v>3220</v>
      </c>
    </row>
    <row r="503" spans="3:9" ht="51">
      <c r="C503" s="614" t="s">
        <v>1275</v>
      </c>
      <c r="D503" s="625" t="s">
        <v>1244</v>
      </c>
      <c r="E503" s="618" t="str">
        <f>E85</f>
        <v xml:space="preserve">Disconnect and terminate all services </v>
      </c>
      <c r="F503" s="36">
        <v>38500</v>
      </c>
      <c r="G503" s="570" t="s">
        <v>178</v>
      </c>
      <c r="H503" s="618" t="str">
        <f>H85</f>
        <v xml:space="preserve">Enter number of major terminations required to allow demolition / rehabilitation of site(s). </v>
      </c>
      <c r="I503" s="616" t="s">
        <v>3053</v>
      </c>
    </row>
    <row r="504" spans="3:9" ht="63.75">
      <c r="C504" s="614" t="s">
        <v>1276</v>
      </c>
      <c r="D504" s="625" t="s">
        <v>1244</v>
      </c>
      <c r="E504" s="618" t="s">
        <v>1277</v>
      </c>
      <c r="F504" s="38">
        <v>1233.0732545349679</v>
      </c>
      <c r="G504" s="570" t="s">
        <v>95</v>
      </c>
      <c r="H504" s="2" t="s">
        <v>1278</v>
      </c>
      <c r="I504" s="616" t="s">
        <v>3221</v>
      </c>
    </row>
    <row r="505" spans="3:9" ht="89.25">
      <c r="C505" s="614" t="s">
        <v>1279</v>
      </c>
      <c r="D505" s="625" t="s">
        <v>1244</v>
      </c>
      <c r="E505" s="618" t="s">
        <v>1280</v>
      </c>
      <c r="F505" s="38">
        <v>1803.8145649227899</v>
      </c>
      <c r="G505" s="570" t="s">
        <v>95</v>
      </c>
      <c r="H505" s="2" t="s">
        <v>1281</v>
      </c>
      <c r="I505" s="616" t="s">
        <v>3222</v>
      </c>
    </row>
    <row r="506" spans="3:9" ht="89.25">
      <c r="C506" s="614" t="s">
        <v>1282</v>
      </c>
      <c r="D506" s="625" t="s">
        <v>1244</v>
      </c>
      <c r="E506" s="618" t="s">
        <v>1283</v>
      </c>
      <c r="F506" s="38">
        <v>2945.2971856984341</v>
      </c>
      <c r="G506" s="570" t="s">
        <v>95</v>
      </c>
      <c r="H506" s="2" t="s">
        <v>1284</v>
      </c>
      <c r="I506" s="616" t="s">
        <v>3223</v>
      </c>
    </row>
    <row r="507" spans="3:9" ht="51">
      <c r="C507" s="614" t="s">
        <v>1285</v>
      </c>
      <c r="D507" s="625" t="s">
        <v>1244</v>
      </c>
      <c r="E507" s="618" t="s">
        <v>1286</v>
      </c>
      <c r="F507" s="38">
        <v>28124.047294401727</v>
      </c>
      <c r="G507" s="570" t="s">
        <v>95</v>
      </c>
      <c r="H507" s="2" t="s">
        <v>1287</v>
      </c>
      <c r="I507" s="616" t="s">
        <v>3224</v>
      </c>
    </row>
    <row r="508" spans="3:9">
      <c r="C508" s="624" t="str">
        <f>_12._PORTS</f>
        <v>12. Ports</v>
      </c>
      <c r="D508" s="612"/>
      <c r="E508" s="611"/>
      <c r="F508" s="627"/>
      <c r="G508" s="612"/>
      <c r="H508" s="611"/>
      <c r="I508" s="611"/>
    </row>
    <row r="509" spans="3:9" ht="63.75">
      <c r="C509" s="614" t="s">
        <v>1288</v>
      </c>
      <c r="D509" s="625" t="s">
        <v>253</v>
      </c>
      <c r="E509" s="618" t="str">
        <f>Lists!B598</f>
        <v xml:space="preserve">Jetty </v>
      </c>
      <c r="F509" s="38">
        <v>937.35863262248336</v>
      </c>
      <c r="G509" s="36" t="s">
        <v>11</v>
      </c>
      <c r="H509" s="2" t="s">
        <v>1289</v>
      </c>
      <c r="I509" s="616" t="s">
        <v>3225</v>
      </c>
    </row>
    <row r="510" spans="3:9" ht="63.75">
      <c r="C510" s="614" t="s">
        <v>1290</v>
      </c>
      <c r="D510" s="625" t="s">
        <v>253</v>
      </c>
      <c r="E510" s="618" t="str">
        <f>Lists!B599</f>
        <v xml:space="preserve">Wharf </v>
      </c>
      <c r="F510" s="38">
        <v>108.21722059430233</v>
      </c>
      <c r="G510" s="36" t="s">
        <v>36</v>
      </c>
      <c r="H510" s="2" t="s">
        <v>1291</v>
      </c>
      <c r="I510" s="616" t="s">
        <v>3226</v>
      </c>
    </row>
    <row r="511" spans="3:9" ht="38.25">
      <c r="C511" s="614" t="s">
        <v>1292</v>
      </c>
      <c r="D511" s="625" t="s">
        <v>253</v>
      </c>
      <c r="E511" s="618" t="str">
        <f>Lists!B600</f>
        <v xml:space="preserve">Dolphins </v>
      </c>
      <c r="F511" s="38">
        <v>200000</v>
      </c>
      <c r="G511" s="36" t="s">
        <v>94</v>
      </c>
      <c r="H511" s="2" t="s">
        <v>1293</v>
      </c>
      <c r="I511" s="616" t="s">
        <v>3227</v>
      </c>
    </row>
    <row r="512" spans="3:9" ht="51">
      <c r="C512" s="614" t="s">
        <v>1294</v>
      </c>
      <c r="D512" s="625" t="s">
        <v>253</v>
      </c>
      <c r="E512" s="618" t="str">
        <f>Lists!B601</f>
        <v xml:space="preserve">Reclaimer </v>
      </c>
      <c r="F512" s="38">
        <v>750000</v>
      </c>
      <c r="G512" s="36" t="s">
        <v>94</v>
      </c>
      <c r="H512" s="2" t="s">
        <v>1295</v>
      </c>
      <c r="I512" s="616" t="s">
        <v>3228</v>
      </c>
    </row>
    <row r="513" spans="3:9" ht="51">
      <c r="C513" s="614" t="s">
        <v>1296</v>
      </c>
      <c r="D513" s="625" t="s">
        <v>253</v>
      </c>
      <c r="E513" s="618" t="str">
        <f>Lists!B602</f>
        <v xml:space="preserve">Shiploaders </v>
      </c>
      <c r="F513" s="38">
        <v>375000</v>
      </c>
      <c r="G513" s="36" t="s">
        <v>94</v>
      </c>
      <c r="H513" s="2" t="s">
        <v>1297</v>
      </c>
      <c r="I513" s="616" t="s">
        <v>3228</v>
      </c>
    </row>
    <row r="514" spans="3:9" ht="51">
      <c r="C514" s="614" t="s">
        <v>1298</v>
      </c>
      <c r="D514" s="625" t="s">
        <v>253</v>
      </c>
      <c r="E514" s="618" t="str">
        <f>Lists!B603</f>
        <v xml:space="preserve">Conveyor on jetty </v>
      </c>
      <c r="F514" s="38">
        <v>370</v>
      </c>
      <c r="G514" s="36" t="s">
        <v>11</v>
      </c>
      <c r="H514" s="2" t="s">
        <v>1299</v>
      </c>
      <c r="I514" s="616" t="s">
        <v>3229</v>
      </c>
    </row>
    <row r="515" spans="3:9" ht="51">
      <c r="C515" s="614" t="s">
        <v>1300</v>
      </c>
      <c r="D515" s="625" t="s">
        <v>253</v>
      </c>
      <c r="E515" s="618" t="str">
        <f>Lists!B604</f>
        <v xml:space="preserve">Conveyor on land </v>
      </c>
      <c r="F515" s="38">
        <v>241.45009999999999</v>
      </c>
      <c r="G515" s="36" t="s">
        <v>11</v>
      </c>
      <c r="H515" s="2" t="s">
        <v>1301</v>
      </c>
      <c r="I515" s="616" t="s">
        <v>3229</v>
      </c>
    </row>
    <row r="516" spans="3:9">
      <c r="C516" s="624" t="str">
        <f>_13._INVESTIGATION_CONTAMINATION_SCRAP_LEVY</f>
        <v>13. Investigation, Contamination, Scrap, Waste Levy</v>
      </c>
      <c r="D516" s="612"/>
      <c r="E516" s="611"/>
      <c r="F516" s="627"/>
      <c r="G516" s="612"/>
      <c r="H516" s="611"/>
      <c r="I516" s="613"/>
    </row>
    <row r="517" spans="3:9" ht="76.5">
      <c r="C517" s="614" t="s">
        <v>1302</v>
      </c>
      <c r="D517" s="625" t="s">
        <v>1303</v>
      </c>
      <c r="E517" s="618" t="s">
        <v>1304</v>
      </c>
      <c r="F517" s="38">
        <v>16149.961876122066</v>
      </c>
      <c r="G517" s="570" t="s">
        <v>1305</v>
      </c>
      <c r="H517" s="2" t="s">
        <v>1306</v>
      </c>
      <c r="I517" s="616" t="s">
        <v>3230</v>
      </c>
    </row>
    <row r="518" spans="3:9" ht="127.5">
      <c r="C518" s="614" t="s">
        <v>1307</v>
      </c>
      <c r="D518" s="625" t="s">
        <v>1303</v>
      </c>
      <c r="E518" s="618" t="s">
        <v>1308</v>
      </c>
      <c r="F518" s="38">
        <v>35075.581888424982</v>
      </c>
      <c r="G518" s="570" t="s">
        <v>152</v>
      </c>
      <c r="H518" s="2" t="s">
        <v>1309</v>
      </c>
      <c r="I518" s="616" t="s">
        <v>3231</v>
      </c>
    </row>
    <row r="519" spans="3:9" ht="63.75">
      <c r="C519" s="614" t="s">
        <v>1310</v>
      </c>
      <c r="D519" s="625" t="s">
        <v>1303</v>
      </c>
      <c r="E519" s="618" t="s">
        <v>1311</v>
      </c>
      <c r="F519" s="38">
        <v>3964.5309116330122</v>
      </c>
      <c r="G519" s="570" t="s">
        <v>95</v>
      </c>
      <c r="H519" s="2" t="s">
        <v>1312</v>
      </c>
      <c r="I519" s="616" t="s">
        <v>3232</v>
      </c>
    </row>
    <row r="520" spans="3:9" ht="76.5">
      <c r="C520" s="614" t="s">
        <v>1313</v>
      </c>
      <c r="D520" s="625" t="s">
        <v>1303</v>
      </c>
      <c r="E520" s="618" t="str">
        <f>Lists!B578</f>
        <v>Asbestos (ACM)</v>
      </c>
      <c r="F520" s="38">
        <v>143.80632622483392</v>
      </c>
      <c r="G520" s="570" t="s">
        <v>582</v>
      </c>
      <c r="H520" s="2" t="s">
        <v>1314</v>
      </c>
      <c r="I520" s="616" t="s">
        <v>3233</v>
      </c>
    </row>
    <row r="521" spans="3:9" ht="76.5">
      <c r="C521" s="614" t="s">
        <v>1315</v>
      </c>
      <c r="D521" s="625" t="s">
        <v>1303</v>
      </c>
      <c r="E521" s="618" t="str">
        <f>Lists!B579</f>
        <v>Asbestos in soil</v>
      </c>
      <c r="F521" s="38">
        <v>145.06632622483394</v>
      </c>
      <c r="G521" s="570" t="s">
        <v>582</v>
      </c>
      <c r="H521" s="2" t="s">
        <v>1316</v>
      </c>
      <c r="I521" s="616" t="s">
        <v>3234</v>
      </c>
    </row>
    <row r="522" spans="3:9" ht="76.5">
      <c r="C522" s="614" t="s">
        <v>1317</v>
      </c>
      <c r="D522" s="625" t="s">
        <v>1303</v>
      </c>
      <c r="E522" s="618" t="str">
        <f>Lists!B580</f>
        <v>Low Level Petroleum Hydrocarbons in soil</v>
      </c>
      <c r="F522" s="38">
        <v>117.37632622483393</v>
      </c>
      <c r="G522" s="570" t="s">
        <v>582</v>
      </c>
      <c r="H522" s="2" t="s">
        <v>1318</v>
      </c>
      <c r="I522" s="616" t="s">
        <v>3235</v>
      </c>
    </row>
    <row r="523" spans="3:9" ht="76.5">
      <c r="C523" s="614" t="s">
        <v>1319</v>
      </c>
      <c r="D523" s="625" t="s">
        <v>1303</v>
      </c>
      <c r="E523" s="618" t="str">
        <f>Lists!B581</f>
        <v>High Level Petroleum Hydrocarbons in soil</v>
      </c>
      <c r="F523" s="38">
        <v>233.94632622483394</v>
      </c>
      <c r="G523" s="570" t="s">
        <v>582</v>
      </c>
      <c r="H523" s="2" t="s">
        <v>1320</v>
      </c>
      <c r="I523" s="616" t="s">
        <v>3236</v>
      </c>
    </row>
    <row r="524" spans="3:9" ht="76.5">
      <c r="C524" s="614" t="s">
        <v>1321</v>
      </c>
      <c r="D524" s="625" t="s">
        <v>1303</v>
      </c>
      <c r="E524" s="618" t="str">
        <f>Lists!B582</f>
        <v>Low Level Inorganics in soil</v>
      </c>
      <c r="F524" s="38">
        <v>117.37632622483393</v>
      </c>
      <c r="G524" s="570" t="s">
        <v>582</v>
      </c>
      <c r="H524" s="2" t="s">
        <v>1318</v>
      </c>
      <c r="I524" s="616" t="s">
        <v>3235</v>
      </c>
    </row>
    <row r="525" spans="3:9" ht="76.5">
      <c r="C525" s="614" t="s">
        <v>1322</v>
      </c>
      <c r="D525" s="625" t="s">
        <v>1303</v>
      </c>
      <c r="E525" s="618" t="str">
        <f>Lists!B583</f>
        <v>High Level Inorganics in soil</v>
      </c>
      <c r="F525" s="38">
        <v>233.94632622483394</v>
      </c>
      <c r="G525" s="570" t="s">
        <v>582</v>
      </c>
      <c r="H525" s="2" t="s">
        <v>1320</v>
      </c>
      <c r="I525" s="616" t="s">
        <v>3236</v>
      </c>
    </row>
    <row r="526" spans="3:9" ht="76.5">
      <c r="C526" s="614" t="s">
        <v>1323</v>
      </c>
      <c r="D526" s="625" t="s">
        <v>1303</v>
      </c>
      <c r="E526" s="618" t="str">
        <f>Lists!B584</f>
        <v>Sludge</v>
      </c>
      <c r="F526" s="38">
        <v>138.94632622483394</v>
      </c>
      <c r="G526" s="570" t="s">
        <v>582</v>
      </c>
      <c r="H526" s="2" t="s">
        <v>1324</v>
      </c>
      <c r="I526" s="616" t="s">
        <v>3237</v>
      </c>
    </row>
    <row r="527" spans="3:9" ht="76.5">
      <c r="C527" s="614" t="s">
        <v>1325</v>
      </c>
      <c r="D527" s="625" t="s">
        <v>1303</v>
      </c>
      <c r="E527" s="618" t="str">
        <f>Lists!B585</f>
        <v>General Waste</v>
      </c>
      <c r="F527" s="38">
        <v>118.94632622483394</v>
      </c>
      <c r="G527" s="570" t="s">
        <v>582</v>
      </c>
      <c r="H527" s="2" t="s">
        <v>1324</v>
      </c>
      <c r="I527" s="616" t="s">
        <v>3238</v>
      </c>
    </row>
    <row r="528" spans="3:9" ht="76.5">
      <c r="C528" s="614" t="s">
        <v>1326</v>
      </c>
      <c r="D528" s="625" t="s">
        <v>1303</v>
      </c>
      <c r="E528" s="618" t="str">
        <f>Lists!B586</f>
        <v>Construction / building waste</v>
      </c>
      <c r="F528" s="38">
        <v>118.94632622483394</v>
      </c>
      <c r="G528" s="570" t="s">
        <v>582</v>
      </c>
      <c r="H528" s="2" t="s">
        <v>1324</v>
      </c>
      <c r="I528" s="616" t="s">
        <v>3238</v>
      </c>
    </row>
    <row r="529" spans="3:9" ht="76.5">
      <c r="C529" s="614" t="s">
        <v>1327</v>
      </c>
      <c r="D529" s="625" t="s">
        <v>1303</v>
      </c>
      <c r="E529" s="618" t="str">
        <f>Lists!B587</f>
        <v>Regulated waste (e.g. tires and belts)</v>
      </c>
      <c r="F529" s="38">
        <v>233.94632622483394</v>
      </c>
      <c r="G529" s="570" t="s">
        <v>582</v>
      </c>
      <c r="H529" s="2" t="s">
        <v>1324</v>
      </c>
      <c r="I529" s="616" t="s">
        <v>3236</v>
      </c>
    </row>
    <row r="530" spans="3:9" ht="89.25">
      <c r="C530" s="614" t="s">
        <v>1328</v>
      </c>
      <c r="D530" s="625" t="s">
        <v>1303</v>
      </c>
      <c r="E530" s="618" t="s">
        <v>1329</v>
      </c>
      <c r="F530" s="38">
        <v>117.36225495323527</v>
      </c>
      <c r="G530" s="570" t="s">
        <v>446</v>
      </c>
      <c r="H530" s="2" t="s">
        <v>1330</v>
      </c>
      <c r="I530" s="616" t="s">
        <v>3239</v>
      </c>
    </row>
    <row r="531" spans="3:9" ht="89.25">
      <c r="C531" s="614" t="s">
        <v>1331</v>
      </c>
      <c r="D531" s="625" t="s">
        <v>1303</v>
      </c>
      <c r="E531" s="618" t="s">
        <v>1332</v>
      </c>
      <c r="F531" s="38">
        <v>80.275301369240935</v>
      </c>
      <c r="G531" s="570" t="s">
        <v>446</v>
      </c>
      <c r="H531" s="2" t="s">
        <v>1330</v>
      </c>
      <c r="I531" s="616" t="s">
        <v>3239</v>
      </c>
    </row>
    <row r="532" spans="3:9" ht="89.25">
      <c r="C532" s="614" t="s">
        <v>1333</v>
      </c>
      <c r="D532" s="625" t="s">
        <v>1303</v>
      </c>
      <c r="E532" s="618" t="s">
        <v>1334</v>
      </c>
      <c r="F532" s="38">
        <v>7.9561817110985285</v>
      </c>
      <c r="G532" s="570" t="s">
        <v>446</v>
      </c>
      <c r="H532" s="2" t="s">
        <v>1330</v>
      </c>
      <c r="I532" s="616" t="s">
        <v>3239</v>
      </c>
    </row>
    <row r="533" spans="3:9" ht="102">
      <c r="C533" s="614" t="s">
        <v>1335</v>
      </c>
      <c r="D533" s="625" t="s">
        <v>1303</v>
      </c>
      <c r="E533" s="618" t="s">
        <v>1336</v>
      </c>
      <c r="F533" s="38">
        <v>18.67122148799422</v>
      </c>
      <c r="G533" s="570" t="s">
        <v>582</v>
      </c>
      <c r="H533" s="632" t="s">
        <v>1337</v>
      </c>
      <c r="I533" s="616" t="s">
        <v>3240</v>
      </c>
    </row>
    <row r="534" spans="3:9" ht="114.75">
      <c r="C534" s="614" t="s">
        <v>1338</v>
      </c>
      <c r="D534" s="625" t="s">
        <v>1303</v>
      </c>
      <c r="E534" s="618" t="s">
        <v>1339</v>
      </c>
      <c r="F534" s="586">
        <v>21.027647251519625</v>
      </c>
      <c r="G534" s="570" t="s">
        <v>582</v>
      </c>
      <c r="H534" s="632" t="s">
        <v>1340</v>
      </c>
      <c r="I534" s="616" t="s">
        <v>3241</v>
      </c>
    </row>
    <row r="535" spans="3:9">
      <c r="C535" s="624" t="str">
        <f>_14._GENERAL_LAND_REHABILITATION</f>
        <v>14. General Land Rehabilitation</v>
      </c>
      <c r="D535" s="612"/>
      <c r="E535" s="611"/>
      <c r="F535" s="627"/>
      <c r="G535" s="612"/>
      <c r="H535" s="611"/>
      <c r="I535" s="613"/>
    </row>
    <row r="536" spans="3:9" ht="76.5">
      <c r="C536" s="614" t="s">
        <v>1341</v>
      </c>
      <c r="D536" s="625" t="s">
        <v>1342</v>
      </c>
      <c r="E536" s="618" t="s">
        <v>1343</v>
      </c>
      <c r="F536" s="38">
        <v>2300.398592849217</v>
      </c>
      <c r="G536" s="570" t="s">
        <v>95</v>
      </c>
      <c r="H536" s="2" t="s">
        <v>1344</v>
      </c>
      <c r="I536" s="616" t="s">
        <v>3221</v>
      </c>
    </row>
    <row r="537" spans="3:9" ht="76.5">
      <c r="C537" s="614" t="s">
        <v>1345</v>
      </c>
      <c r="D537" s="625" t="s">
        <v>1342</v>
      </c>
      <c r="E537" s="618" t="s">
        <v>1277</v>
      </c>
      <c r="F537" s="38">
        <v>1233.0732545349679</v>
      </c>
      <c r="G537" s="570" t="s">
        <v>95</v>
      </c>
      <c r="H537" s="2" t="s">
        <v>1346</v>
      </c>
      <c r="I537" s="616" t="s">
        <v>3222</v>
      </c>
    </row>
    <row r="538" spans="3:9" ht="89.25">
      <c r="C538" s="614" t="s">
        <v>1347</v>
      </c>
      <c r="D538" s="625" t="s">
        <v>1342</v>
      </c>
      <c r="E538" s="618" t="s">
        <v>1280</v>
      </c>
      <c r="F538" s="38">
        <v>1803.8145649227899</v>
      </c>
      <c r="G538" s="570" t="s">
        <v>95</v>
      </c>
      <c r="H538" s="2" t="s">
        <v>1348</v>
      </c>
      <c r="I538" s="616" t="s">
        <v>3223</v>
      </c>
    </row>
    <row r="539" spans="3:9" ht="89.25">
      <c r="C539" s="614" t="s">
        <v>1349</v>
      </c>
      <c r="D539" s="625" t="s">
        <v>1342</v>
      </c>
      <c r="E539" s="618" t="s">
        <v>1283</v>
      </c>
      <c r="F539" s="38">
        <v>2945.2971856984341</v>
      </c>
      <c r="G539" s="570" t="s">
        <v>95</v>
      </c>
      <c r="H539" s="2" t="s">
        <v>1284</v>
      </c>
      <c r="I539" s="616" t="s">
        <v>3242</v>
      </c>
    </row>
    <row r="540" spans="3:9" ht="51">
      <c r="C540" s="614" t="s">
        <v>1350</v>
      </c>
      <c r="D540" s="625" t="s">
        <v>1342</v>
      </c>
      <c r="E540" s="618" t="s">
        <v>1286</v>
      </c>
      <c r="F540" s="38">
        <v>28124.047294401727</v>
      </c>
      <c r="G540" s="570" t="s">
        <v>95</v>
      </c>
      <c r="H540" s="2" t="s">
        <v>1287</v>
      </c>
      <c r="I540" s="616" t="s">
        <v>3243</v>
      </c>
    </row>
    <row r="541" spans="3:9" ht="51">
      <c r="C541" s="614" t="s">
        <v>1351</v>
      </c>
      <c r="D541" s="625" t="s">
        <v>1342</v>
      </c>
      <c r="E541" s="618" t="s">
        <v>1352</v>
      </c>
      <c r="F541" s="233">
        <v>12040.517085721645</v>
      </c>
      <c r="G541" s="570" t="s">
        <v>95</v>
      </c>
      <c r="H541" s="616" t="s">
        <v>1353</v>
      </c>
      <c r="I541" s="616" t="s">
        <v>3244</v>
      </c>
    </row>
    <row r="542" spans="3:9" ht="51">
      <c r="C542" s="614" t="s">
        <v>1354</v>
      </c>
      <c r="D542" s="625" t="s">
        <v>1342</v>
      </c>
      <c r="E542" s="618" t="s">
        <v>1355</v>
      </c>
      <c r="F542" s="38">
        <v>495.00000000000006</v>
      </c>
      <c r="G542" s="633" t="s">
        <v>95</v>
      </c>
      <c r="H542" s="3" t="s">
        <v>1356</v>
      </c>
      <c r="I542" s="616" t="s">
        <v>3245</v>
      </c>
    </row>
    <row r="543" spans="3:9" ht="51">
      <c r="C543" s="614" t="s">
        <v>1357</v>
      </c>
      <c r="D543" s="625" t="s">
        <v>1342</v>
      </c>
      <c r="E543" s="621" t="s">
        <v>1358</v>
      </c>
      <c r="F543" s="38">
        <v>150</v>
      </c>
      <c r="G543" s="570" t="s">
        <v>95</v>
      </c>
      <c r="H543" s="2" t="s">
        <v>1359</v>
      </c>
      <c r="I543" s="616" t="s">
        <v>3246</v>
      </c>
    </row>
    <row r="544" spans="3:9" ht="63.75">
      <c r="C544" s="614" t="s">
        <v>1360</v>
      </c>
      <c r="D544" s="625" t="s">
        <v>1342</v>
      </c>
      <c r="E544" s="618" t="s">
        <v>1361</v>
      </c>
      <c r="F544" s="38">
        <v>18728.206228301864</v>
      </c>
      <c r="G544" s="570" t="s">
        <v>95</v>
      </c>
      <c r="H544" s="2" t="s">
        <v>1362</v>
      </c>
      <c r="I544" s="616" t="s">
        <v>3247</v>
      </c>
    </row>
    <row r="545" spans="3:9" ht="89.25">
      <c r="C545" s="614" t="s">
        <v>1363</v>
      </c>
      <c r="D545" s="625" t="s">
        <v>1342</v>
      </c>
      <c r="E545" s="618" t="s">
        <v>1364</v>
      </c>
      <c r="F545" s="38">
        <v>37.975709949372209</v>
      </c>
      <c r="G545" s="570" t="s">
        <v>11</v>
      </c>
      <c r="H545" s="622" t="s">
        <v>1365</v>
      </c>
      <c r="I545" s="616" t="s">
        <v>3248</v>
      </c>
    </row>
    <row r="546" spans="3:9" ht="102">
      <c r="C546" s="614" t="s">
        <v>1366</v>
      </c>
      <c r="D546" s="625" t="s">
        <v>1342</v>
      </c>
      <c r="E546" s="618" t="s">
        <v>1367</v>
      </c>
      <c r="F546" s="38">
        <v>18.162296062743231</v>
      </c>
      <c r="G546" s="570" t="s">
        <v>11</v>
      </c>
      <c r="H546" s="622" t="s">
        <v>1368</v>
      </c>
      <c r="I546" s="616" t="s">
        <v>3249</v>
      </c>
    </row>
    <row r="547" spans="3:9" ht="63.75">
      <c r="C547" s="614" t="s">
        <v>1369</v>
      </c>
      <c r="D547" s="625" t="s">
        <v>1342</v>
      </c>
      <c r="E547" s="618" t="s">
        <v>40</v>
      </c>
      <c r="F547" s="38">
        <v>1.855192605482894</v>
      </c>
      <c r="G547" s="570" t="s">
        <v>438</v>
      </c>
      <c r="H547" s="2" t="s">
        <v>1370</v>
      </c>
      <c r="I547" s="616" t="s">
        <v>3250</v>
      </c>
    </row>
    <row r="548" spans="3:9" ht="63.75">
      <c r="C548" s="614" t="s">
        <v>1371</v>
      </c>
      <c r="D548" s="625" t="s">
        <v>1372</v>
      </c>
      <c r="E548" s="618" t="s">
        <v>1373</v>
      </c>
      <c r="F548" s="38">
        <v>6.4084024467417766</v>
      </c>
      <c r="G548" s="570" t="s">
        <v>11</v>
      </c>
      <c r="H548" s="2" t="s">
        <v>1374</v>
      </c>
      <c r="I548" s="616" t="s">
        <v>3251</v>
      </c>
    </row>
    <row r="549" spans="3:9" ht="114.75">
      <c r="C549" s="614" t="s">
        <v>1375</v>
      </c>
      <c r="D549" s="625" t="s">
        <v>1342</v>
      </c>
      <c r="E549" s="618" t="s">
        <v>1376</v>
      </c>
      <c r="F549" s="38">
        <v>357.77009162742655</v>
      </c>
      <c r="G549" s="570" t="s">
        <v>95</v>
      </c>
      <c r="H549" s="2" t="s">
        <v>1377</v>
      </c>
      <c r="I549" s="616" t="s">
        <v>3252</v>
      </c>
    </row>
    <row r="550" spans="3:9" ht="114.75">
      <c r="C550" s="614" t="s">
        <v>1378</v>
      </c>
      <c r="D550" s="625" t="s">
        <v>1342</v>
      </c>
      <c r="E550" s="618" t="s">
        <v>1379</v>
      </c>
      <c r="F550" s="38">
        <v>400.15945742176939</v>
      </c>
      <c r="G550" s="570" t="s">
        <v>95</v>
      </c>
      <c r="H550" s="2" t="s">
        <v>1377</v>
      </c>
      <c r="I550" s="616" t="s">
        <v>3253</v>
      </c>
    </row>
    <row r="551" spans="3:9" ht="114.75">
      <c r="C551" s="614" t="s">
        <v>1380</v>
      </c>
      <c r="D551" s="625" t="s">
        <v>1342</v>
      </c>
      <c r="E551" s="618" t="s">
        <v>1381</v>
      </c>
      <c r="F551" s="38">
        <v>432.68030027693754</v>
      </c>
      <c r="G551" s="570" t="s">
        <v>95</v>
      </c>
      <c r="H551" s="2" t="s">
        <v>1377</v>
      </c>
      <c r="I551" s="616" t="s">
        <v>3254</v>
      </c>
    </row>
    <row r="552" spans="3:9" ht="114.75">
      <c r="C552" s="614" t="s">
        <v>1382</v>
      </c>
      <c r="D552" s="625" t="s">
        <v>1342</v>
      </c>
      <c r="E552" s="618" t="s">
        <v>1383</v>
      </c>
      <c r="F552" s="38">
        <v>421.47792334421462</v>
      </c>
      <c r="G552" s="570" t="s">
        <v>95</v>
      </c>
      <c r="H552" s="2" t="s">
        <v>1384</v>
      </c>
      <c r="I552" s="616" t="s">
        <v>3255</v>
      </c>
    </row>
    <row r="553" spans="3:9" ht="114.75">
      <c r="C553" s="614" t="s">
        <v>1385</v>
      </c>
      <c r="D553" s="625" t="s">
        <v>1342</v>
      </c>
      <c r="E553" s="618" t="s">
        <v>1386</v>
      </c>
      <c r="F553" s="38">
        <v>465.64040638424905</v>
      </c>
      <c r="G553" s="570" t="s">
        <v>95</v>
      </c>
      <c r="H553" s="2" t="s">
        <v>1384</v>
      </c>
      <c r="I553" s="616" t="s">
        <v>3256</v>
      </c>
    </row>
    <row r="554" spans="3:9" ht="114.75">
      <c r="C554" s="614" t="s">
        <v>1387</v>
      </c>
      <c r="D554" s="625" t="s">
        <v>1342</v>
      </c>
      <c r="E554" s="618" t="s">
        <v>1388</v>
      </c>
      <c r="F554" s="38">
        <v>507.04139005304256</v>
      </c>
      <c r="G554" s="570" t="s">
        <v>95</v>
      </c>
      <c r="H554" s="2" t="s">
        <v>1384</v>
      </c>
      <c r="I554" s="616" t="s">
        <v>3257</v>
      </c>
    </row>
    <row r="555" spans="3:9" ht="114.75">
      <c r="C555" s="614" t="s">
        <v>1389</v>
      </c>
      <c r="D555" s="625" t="s">
        <v>1342</v>
      </c>
      <c r="E555" s="618" t="s">
        <v>1390</v>
      </c>
      <c r="F555" s="38">
        <v>560.80974503748359</v>
      </c>
      <c r="G555" s="570" t="s">
        <v>95</v>
      </c>
      <c r="H555" s="2" t="s">
        <v>1384</v>
      </c>
      <c r="I555" s="616" t="s">
        <v>3258</v>
      </c>
    </row>
    <row r="556" spans="3:9" ht="114.75">
      <c r="C556" s="614" t="s">
        <v>1391</v>
      </c>
      <c r="D556" s="625" t="s">
        <v>1342</v>
      </c>
      <c r="E556" s="618" t="s">
        <v>1392</v>
      </c>
      <c r="F556" s="38">
        <v>662.33194414714558</v>
      </c>
      <c r="G556" s="570" t="s">
        <v>95</v>
      </c>
      <c r="H556" s="2" t="s">
        <v>1384</v>
      </c>
      <c r="I556" s="616" t="s">
        <v>3259</v>
      </c>
    </row>
    <row r="557" spans="3:9" ht="114.75">
      <c r="C557" s="614" t="s">
        <v>1393</v>
      </c>
      <c r="D557" s="625" t="s">
        <v>1342</v>
      </c>
      <c r="E557" s="618" t="s">
        <v>1394</v>
      </c>
      <c r="F557" s="38">
        <v>763.90690410228387</v>
      </c>
      <c r="G557" s="570" t="s">
        <v>95</v>
      </c>
      <c r="H557" s="2" t="s">
        <v>1384</v>
      </c>
      <c r="I557" s="616" t="s">
        <v>3260</v>
      </c>
    </row>
    <row r="558" spans="3:9" ht="114.75">
      <c r="C558" s="614" t="s">
        <v>1395</v>
      </c>
      <c r="D558" s="625" t="s">
        <v>1342</v>
      </c>
      <c r="E558" s="618" t="s">
        <v>1396</v>
      </c>
      <c r="F558" s="38">
        <v>8484.3805049924795</v>
      </c>
      <c r="G558" s="570" t="s">
        <v>95</v>
      </c>
      <c r="H558" s="2" t="s">
        <v>1377</v>
      </c>
      <c r="I558" s="616" t="s">
        <v>3261</v>
      </c>
    </row>
    <row r="559" spans="3:9" ht="114.75">
      <c r="C559" s="614" t="s">
        <v>1397</v>
      </c>
      <c r="D559" s="625" t="s">
        <v>1342</v>
      </c>
      <c r="E559" s="618" t="s">
        <v>1398</v>
      </c>
      <c r="F559" s="38">
        <v>6032.9741663679506</v>
      </c>
      <c r="G559" s="570" t="s">
        <v>95</v>
      </c>
      <c r="H559" s="2" t="s">
        <v>1377</v>
      </c>
      <c r="I559" s="616" t="s">
        <v>3262</v>
      </c>
    </row>
    <row r="560" spans="3:9" ht="114.75">
      <c r="C560" s="614" t="s">
        <v>1399</v>
      </c>
      <c r="D560" s="625" t="s">
        <v>1342</v>
      </c>
      <c r="E560" s="618" t="s">
        <v>1400</v>
      </c>
      <c r="F560" s="38">
        <v>3850.1543486386167</v>
      </c>
      <c r="G560" s="570" t="s">
        <v>95</v>
      </c>
      <c r="H560" s="2" t="s">
        <v>1377</v>
      </c>
      <c r="I560" s="616" t="s">
        <v>3263</v>
      </c>
    </row>
    <row r="561" spans="3:9" ht="114.75">
      <c r="C561" s="614" t="s">
        <v>1401</v>
      </c>
      <c r="D561" s="625" t="s">
        <v>1342</v>
      </c>
      <c r="E561" s="618" t="s">
        <v>1402</v>
      </c>
      <c r="F561" s="38">
        <v>3007.0098154379016</v>
      </c>
      <c r="G561" s="570" t="s">
        <v>95</v>
      </c>
      <c r="H561" s="2" t="s">
        <v>1377</v>
      </c>
      <c r="I561" s="616" t="s">
        <v>3264</v>
      </c>
    </row>
    <row r="562" spans="3:9" ht="114.75">
      <c r="C562" s="614" t="s">
        <v>1403</v>
      </c>
      <c r="D562" s="625" t="s">
        <v>1342</v>
      </c>
      <c r="E562" s="618" t="s">
        <v>1404</v>
      </c>
      <c r="F562" s="38">
        <v>2945.2971856984341</v>
      </c>
      <c r="G562" s="570" t="s">
        <v>95</v>
      </c>
      <c r="H562" s="2" t="s">
        <v>1377</v>
      </c>
      <c r="I562" s="616" t="s">
        <v>3265</v>
      </c>
    </row>
    <row r="563" spans="3:9" ht="114.75">
      <c r="C563" s="614" t="s">
        <v>1405</v>
      </c>
      <c r="D563" s="625" t="s">
        <v>1342</v>
      </c>
      <c r="E563" s="618" t="s">
        <v>1406</v>
      </c>
      <c r="F563" s="38">
        <v>2658.3479150870112</v>
      </c>
      <c r="G563" s="570" t="s">
        <v>95</v>
      </c>
      <c r="H563" s="2" t="s">
        <v>1377</v>
      </c>
      <c r="I563" s="616" t="s">
        <v>3266</v>
      </c>
    </row>
    <row r="564" spans="3:9" ht="63.75">
      <c r="C564" s="614" t="s">
        <v>1407</v>
      </c>
      <c r="D564" s="625" t="s">
        <v>1342</v>
      </c>
      <c r="E564" s="618" t="s">
        <v>1408</v>
      </c>
      <c r="F564" s="38">
        <v>22</v>
      </c>
      <c r="G564" s="570" t="s">
        <v>178</v>
      </c>
      <c r="H564" s="634" t="s">
        <v>1409</v>
      </c>
      <c r="I564" s="616" t="s">
        <v>3267</v>
      </c>
    </row>
    <row r="565" spans="3:9" ht="63.75">
      <c r="C565" s="614" t="s">
        <v>1410</v>
      </c>
      <c r="D565" s="625" t="s">
        <v>1342</v>
      </c>
      <c r="E565" s="618" t="s">
        <v>1411</v>
      </c>
      <c r="F565" s="38">
        <v>11</v>
      </c>
      <c r="G565" s="570" t="s">
        <v>178</v>
      </c>
      <c r="H565" s="635" t="s">
        <v>1409</v>
      </c>
      <c r="I565" s="616" t="s">
        <v>3268</v>
      </c>
    </row>
    <row r="566" spans="3:9" ht="63.75">
      <c r="C566" s="614" t="s">
        <v>1412</v>
      </c>
      <c r="D566" s="625" t="s">
        <v>1342</v>
      </c>
      <c r="E566" s="618" t="s">
        <v>1413</v>
      </c>
      <c r="F566" s="38">
        <v>1.92</v>
      </c>
      <c r="G566" s="570" t="s">
        <v>438</v>
      </c>
      <c r="H566" s="2" t="s">
        <v>1414</v>
      </c>
      <c r="I566" s="616" t="s">
        <v>3269</v>
      </c>
    </row>
    <row r="567" spans="3:9" ht="63.75">
      <c r="C567" s="614" t="s">
        <v>1415</v>
      </c>
      <c r="D567" s="625" t="s">
        <v>1342</v>
      </c>
      <c r="E567" s="621" t="str">
        <f>Lists!B19</f>
        <v>Gypsum Normal Soil</v>
      </c>
      <c r="F567" s="38">
        <v>346.865495610111</v>
      </c>
      <c r="G567" s="570" t="s">
        <v>95</v>
      </c>
      <c r="H567" s="632" t="s">
        <v>1416</v>
      </c>
      <c r="I567" s="616" t="s">
        <v>3270</v>
      </c>
    </row>
    <row r="568" spans="3:9" ht="63.75">
      <c r="C568" s="614" t="s">
        <v>1417</v>
      </c>
      <c r="D568" s="625" t="s">
        <v>1342</v>
      </c>
      <c r="E568" s="621" t="str">
        <f>Lists!B20</f>
        <v>Gypsum Sodic Soil</v>
      </c>
      <c r="F568" s="38">
        <v>1387.461982440444</v>
      </c>
      <c r="G568" s="570" t="s">
        <v>95</v>
      </c>
      <c r="H568" s="632" t="s">
        <v>1418</v>
      </c>
      <c r="I568" s="616" t="s">
        <v>3271</v>
      </c>
    </row>
    <row r="569" spans="3:9" ht="63.75">
      <c r="C569" s="614" t="s">
        <v>1419</v>
      </c>
      <c r="D569" s="625" t="s">
        <v>1342</v>
      </c>
      <c r="E569" s="618" t="str">
        <f>Lists!B21</f>
        <v>Gypsum Recycled Normal Soil</v>
      </c>
      <c r="F569" s="38">
        <v>271.865495610111</v>
      </c>
      <c r="G569" s="570" t="s">
        <v>95</v>
      </c>
      <c r="H569" s="632" t="s">
        <v>1420</v>
      </c>
      <c r="I569" s="616" t="s">
        <v>3270</v>
      </c>
    </row>
    <row r="570" spans="3:9" ht="89.25">
      <c r="C570" s="614" t="s">
        <v>1421</v>
      </c>
      <c r="D570" s="625" t="s">
        <v>1342</v>
      </c>
      <c r="E570" s="618" t="str">
        <f>Lists!B22</f>
        <v>Gypsum Recycled Sodic Soil</v>
      </c>
      <c r="F570" s="38">
        <v>1087.461982440444</v>
      </c>
      <c r="G570" s="570" t="s">
        <v>95</v>
      </c>
      <c r="H570" s="632" t="s">
        <v>1422</v>
      </c>
      <c r="I570" s="616" t="s">
        <v>3271</v>
      </c>
    </row>
    <row r="571" spans="3:9" ht="63.75">
      <c r="C571" s="614" t="s">
        <v>1423</v>
      </c>
      <c r="D571" s="625" t="s">
        <v>1342</v>
      </c>
      <c r="E571" s="618" t="str">
        <f>Lists!B23</f>
        <v>Lime</v>
      </c>
      <c r="F571" s="38">
        <v>221.63489591075296</v>
      </c>
      <c r="G571" s="570" t="s">
        <v>95</v>
      </c>
      <c r="H571" s="635" t="s">
        <v>1424</v>
      </c>
      <c r="I571" s="616" t="s">
        <v>3272</v>
      </c>
    </row>
    <row r="572" spans="3:9" ht="63.75">
      <c r="C572" s="614" t="s">
        <v>1425</v>
      </c>
      <c r="D572" s="625" t="s">
        <v>1342</v>
      </c>
      <c r="E572" s="618" t="str">
        <f>Lists!B24</f>
        <v>Biosolids, MSW, Manure</v>
      </c>
      <c r="F572" s="38">
        <v>3854.3483529039895</v>
      </c>
      <c r="G572" s="570" t="s">
        <v>95</v>
      </c>
      <c r="H572" s="2" t="s">
        <v>1426</v>
      </c>
      <c r="I572" s="616" t="s">
        <v>3273</v>
      </c>
    </row>
    <row r="573" spans="3:9" ht="63.75">
      <c r="C573" s="614" t="s">
        <v>1427</v>
      </c>
      <c r="D573" s="625" t="s">
        <v>1342</v>
      </c>
      <c r="E573" s="618" t="str">
        <f>Lists!B25</f>
        <v>Hay Mulch / Sugar Cane</v>
      </c>
      <c r="F573" s="38">
        <v>1230.3162481746476</v>
      </c>
      <c r="G573" s="570" t="s">
        <v>95</v>
      </c>
      <c r="H573" s="2" t="s">
        <v>1426</v>
      </c>
      <c r="I573" s="616" t="s">
        <v>3274</v>
      </c>
    </row>
    <row r="574" spans="3:9" ht="63.75">
      <c r="C574" s="614" t="s">
        <v>1428</v>
      </c>
      <c r="D574" s="625" t="s">
        <v>1342</v>
      </c>
      <c r="E574" s="618" t="str">
        <f>Lists!B26</f>
        <v>Fertiliser</v>
      </c>
      <c r="F574" s="38">
        <v>337.91265127127292</v>
      </c>
      <c r="G574" s="570" t="s">
        <v>95</v>
      </c>
      <c r="H574" s="2" t="s">
        <v>1429</v>
      </c>
      <c r="I574" s="616" t="s">
        <v>3275</v>
      </c>
    </row>
    <row r="575" spans="3:9" ht="114.75">
      <c r="C575" s="614" t="s">
        <v>1430</v>
      </c>
      <c r="D575" s="625" t="s">
        <v>1342</v>
      </c>
      <c r="E575" s="618" t="s">
        <v>1431</v>
      </c>
      <c r="F575" s="38">
        <v>1655.5</v>
      </c>
      <c r="G575" s="570" t="s">
        <v>95</v>
      </c>
      <c r="H575" s="632" t="s">
        <v>1432</v>
      </c>
      <c r="I575" s="616" t="s">
        <v>3276</v>
      </c>
    </row>
    <row r="576" spans="3:9" ht="114.75">
      <c r="C576" s="614" t="s">
        <v>1433</v>
      </c>
      <c r="D576" s="625" t="s">
        <v>1342</v>
      </c>
      <c r="E576" s="618" t="s">
        <v>1434</v>
      </c>
      <c r="F576" s="38">
        <v>4196.5</v>
      </c>
      <c r="G576" s="570" t="s">
        <v>95</v>
      </c>
      <c r="H576" s="632" t="s">
        <v>1432</v>
      </c>
      <c r="I576" s="616" t="s">
        <v>3032</v>
      </c>
    </row>
    <row r="577" spans="3:9" ht="38.25">
      <c r="C577" s="614" t="s">
        <v>1435</v>
      </c>
      <c r="D577" s="625" t="s">
        <v>1342</v>
      </c>
      <c r="E577" s="618" t="str">
        <f>Lists!B562</f>
        <v>Water Supply / Monitoring bore hole plugging</v>
      </c>
      <c r="F577" s="586">
        <v>238.28474125459849</v>
      </c>
      <c r="G577" s="570" t="s">
        <v>643</v>
      </c>
      <c r="H577" s="2" t="s">
        <v>1436</v>
      </c>
      <c r="I577" s="616" t="s">
        <v>3277</v>
      </c>
    </row>
    <row r="578" spans="3:9" ht="38.25">
      <c r="C578" s="614" t="s">
        <v>1437</v>
      </c>
      <c r="D578" s="625" t="s">
        <v>1342</v>
      </c>
      <c r="E578" s="618" t="str">
        <f>Lists!B564</f>
        <v>Water supply bore hole backfilling with cuttings</v>
      </c>
      <c r="F578" s="586">
        <v>618.07206050234822</v>
      </c>
      <c r="G578" s="570" t="s">
        <v>643</v>
      </c>
      <c r="H578" s="2" t="s">
        <v>1438</v>
      </c>
      <c r="I578" s="616" t="s">
        <v>3278</v>
      </c>
    </row>
    <row r="579" spans="3:9" ht="38.25">
      <c r="C579" s="614" t="s">
        <v>1439</v>
      </c>
      <c r="D579" s="625" t="s">
        <v>1342</v>
      </c>
      <c r="E579" s="618" t="str">
        <f>Lists!B565</f>
        <v>Monitoring bore hole backfilling with cuttings</v>
      </c>
      <c r="F579" s="586">
        <v>618.07206050234822</v>
      </c>
      <c r="G579" s="570" t="s">
        <v>643</v>
      </c>
      <c r="H579" s="2" t="s">
        <v>1438</v>
      </c>
      <c r="I579" s="616" t="s">
        <v>3278</v>
      </c>
    </row>
    <row r="580" spans="3:9" ht="38.25">
      <c r="C580" s="614" t="s">
        <v>1440</v>
      </c>
      <c r="D580" s="625" t="s">
        <v>1342</v>
      </c>
      <c r="E580" s="618" t="str">
        <f>Lists!B567</f>
        <v>Water supply bore hole grouting</v>
      </c>
      <c r="F580" s="586">
        <v>2090.6936168725638</v>
      </c>
      <c r="G580" s="570" t="s">
        <v>643</v>
      </c>
      <c r="H580" s="2" t="s">
        <v>1441</v>
      </c>
      <c r="I580" s="616" t="s">
        <v>3279</v>
      </c>
    </row>
    <row r="581" spans="3:9" ht="38.25">
      <c r="C581" s="614" t="s">
        <v>1442</v>
      </c>
      <c r="D581" s="625" t="s">
        <v>1342</v>
      </c>
      <c r="E581" s="618" t="str">
        <f>Lists!B568</f>
        <v>Monitoring bore hole grouting</v>
      </c>
      <c r="F581" s="586">
        <v>2090.6936168725638</v>
      </c>
      <c r="G581" s="570" t="s">
        <v>643</v>
      </c>
      <c r="H581" s="2" t="s">
        <v>1441</v>
      </c>
      <c r="I581" s="616" t="s">
        <v>3279</v>
      </c>
    </row>
    <row r="582" spans="3:9" ht="38.25">
      <c r="C582" s="614" t="s">
        <v>1443</v>
      </c>
      <c r="D582" s="625" t="s">
        <v>1342</v>
      </c>
      <c r="E582" s="618" t="str">
        <f>Lists!B569</f>
        <v>Water reinjection bore hole grouting</v>
      </c>
      <c r="F582" s="586">
        <v>6901.2573676819347</v>
      </c>
      <c r="G582" s="570" t="s">
        <v>643</v>
      </c>
      <c r="H582" s="2" t="s">
        <v>1441</v>
      </c>
      <c r="I582" s="616" t="s">
        <v>3279</v>
      </c>
    </row>
    <row r="583" spans="3:9" ht="38.25">
      <c r="C583" s="614" t="s">
        <v>1444</v>
      </c>
      <c r="D583" s="625" t="s">
        <v>1342</v>
      </c>
      <c r="E583" s="618" t="str">
        <f>Lists!B570</f>
        <v>Exploration bore hole grouting (coal / mineral sands / large impact drilling)</v>
      </c>
      <c r="F583" s="586">
        <v>2738.6471016754585</v>
      </c>
      <c r="G583" s="570" t="s">
        <v>643</v>
      </c>
      <c r="H583" s="2" t="s">
        <v>1441</v>
      </c>
      <c r="I583" s="616" t="s">
        <v>3279</v>
      </c>
    </row>
    <row r="584" spans="3:9" ht="38.25">
      <c r="C584" s="614" t="s">
        <v>1445</v>
      </c>
      <c r="D584" s="625" t="s">
        <v>1342</v>
      </c>
      <c r="E584" s="618" t="str">
        <f>Lists!B571</f>
        <v>Exploration bore hole grouting (metalliferous / low impact drilling)</v>
      </c>
      <c r="F584" s="586">
        <v>1560.5498565792861</v>
      </c>
      <c r="G584" s="570" t="s">
        <v>643</v>
      </c>
      <c r="H584" s="2" t="s">
        <v>1441</v>
      </c>
      <c r="I584" s="616" t="s">
        <v>3279</v>
      </c>
    </row>
    <row r="585" spans="3:9" ht="38.25">
      <c r="C585" s="614" t="s">
        <v>1446</v>
      </c>
      <c r="D585" s="625" t="s">
        <v>1342</v>
      </c>
      <c r="E585" s="618" t="str">
        <f>Lists!B573</f>
        <v>Gas and goaf drainage bore hole grout and cap</v>
      </c>
      <c r="F585" s="586">
        <v>6813.434306387262</v>
      </c>
      <c r="G585" s="570" t="s">
        <v>643</v>
      </c>
      <c r="H585" s="2" t="s">
        <v>1447</v>
      </c>
      <c r="I585" s="616" t="s">
        <v>3279</v>
      </c>
    </row>
    <row r="586" spans="3:9">
      <c r="C586" s="624" t="str">
        <f>_15._MOBILISATION___DEMOBILISATION_AND_ADDITIONAL_USER_ITEMS</f>
        <v>15. Mobilisation / Demobilisation and Additional User Items</v>
      </c>
      <c r="D586" s="612"/>
      <c r="E586" s="611"/>
      <c r="F586" s="627"/>
      <c r="G586" s="612"/>
      <c r="H586" s="611"/>
      <c r="I586" s="611"/>
    </row>
    <row r="587" spans="3:9" ht="76.5">
      <c r="C587" s="614" t="s">
        <v>1448</v>
      </c>
      <c r="D587" s="625" t="s">
        <v>1449</v>
      </c>
      <c r="E587" s="618" t="s">
        <v>1450</v>
      </c>
      <c r="F587" s="38">
        <v>130000</v>
      </c>
      <c r="G587" s="570" t="s">
        <v>1451</v>
      </c>
      <c r="H587" s="622" t="s">
        <v>1452</v>
      </c>
      <c r="I587" s="616" t="s">
        <v>3280</v>
      </c>
    </row>
    <row r="588" spans="3:9" ht="76.5">
      <c r="C588" s="614" t="s">
        <v>1453</v>
      </c>
      <c r="D588" s="625" t="s">
        <v>1449</v>
      </c>
      <c r="E588" s="618" t="s">
        <v>1454</v>
      </c>
      <c r="F588" s="38">
        <v>238500</v>
      </c>
      <c r="G588" s="570" t="s">
        <v>1451</v>
      </c>
      <c r="H588" s="622" t="s">
        <v>1452</v>
      </c>
      <c r="I588" s="616" t="s">
        <v>3280</v>
      </c>
    </row>
    <row r="589" spans="3:9" ht="76.5">
      <c r="C589" s="614" t="s">
        <v>1455</v>
      </c>
      <c r="D589" s="625" t="s">
        <v>1449</v>
      </c>
      <c r="E589" s="618" t="s">
        <v>1456</v>
      </c>
      <c r="F589" s="38">
        <v>451000</v>
      </c>
      <c r="G589" s="570" t="s">
        <v>1451</v>
      </c>
      <c r="H589" s="622" t="s">
        <v>1452</v>
      </c>
      <c r="I589" s="616" t="s">
        <v>3280</v>
      </c>
    </row>
    <row r="590" spans="3:9" ht="76.5">
      <c r="C590" s="614" t="s">
        <v>1457</v>
      </c>
      <c r="D590" s="625" t="s">
        <v>1449</v>
      </c>
      <c r="E590" s="618" t="s">
        <v>1458</v>
      </c>
      <c r="F590" s="38">
        <v>555000</v>
      </c>
      <c r="G590" s="570" t="s">
        <v>1451</v>
      </c>
      <c r="H590" s="622" t="s">
        <v>1452</v>
      </c>
      <c r="I590" s="616" t="s">
        <v>3280</v>
      </c>
    </row>
    <row r="591" spans="3:9" ht="76.5">
      <c r="C591" s="614" t="s">
        <v>1459</v>
      </c>
      <c r="D591" s="625" t="s">
        <v>1449</v>
      </c>
      <c r="E591" s="618" t="s">
        <v>1460</v>
      </c>
      <c r="F591" s="38">
        <v>191000</v>
      </c>
      <c r="G591" s="570" t="s">
        <v>1451</v>
      </c>
      <c r="H591" s="622" t="s">
        <v>1452</v>
      </c>
      <c r="I591" s="616" t="s">
        <v>3281</v>
      </c>
    </row>
    <row r="592" spans="3:9" ht="76.5">
      <c r="C592" s="614" t="s">
        <v>1461</v>
      </c>
      <c r="D592" s="625" t="s">
        <v>1449</v>
      </c>
      <c r="E592" s="618" t="s">
        <v>1462</v>
      </c>
      <c r="F592" s="38">
        <v>350000</v>
      </c>
      <c r="G592" s="570" t="s">
        <v>1451</v>
      </c>
      <c r="H592" s="622" t="s">
        <v>1452</v>
      </c>
      <c r="I592" s="616" t="s">
        <v>3281</v>
      </c>
    </row>
    <row r="593" spans="1:9" ht="76.5">
      <c r="C593" s="614" t="s">
        <v>1463</v>
      </c>
      <c r="D593" s="625" t="s">
        <v>1449</v>
      </c>
      <c r="E593" s="636" t="s">
        <v>1464</v>
      </c>
      <c r="F593" s="38">
        <v>661500</v>
      </c>
      <c r="G593" s="570" t="s">
        <v>1451</v>
      </c>
      <c r="H593" s="622" t="s">
        <v>1452</v>
      </c>
      <c r="I593" s="616" t="s">
        <v>3281</v>
      </c>
    </row>
    <row r="594" spans="1:9" ht="76.5">
      <c r="C594" s="614" t="s">
        <v>1465</v>
      </c>
      <c r="D594" s="625" t="s">
        <v>1449</v>
      </c>
      <c r="E594" s="618" t="s">
        <v>1466</v>
      </c>
      <c r="F594" s="38">
        <v>814000</v>
      </c>
      <c r="G594" s="570" t="s">
        <v>1451</v>
      </c>
      <c r="H594" s="622" t="s">
        <v>1452</v>
      </c>
      <c r="I594" s="616" t="s">
        <v>3281</v>
      </c>
    </row>
    <row r="595" spans="1:9" ht="76.5">
      <c r="C595" s="614" t="s">
        <v>1467</v>
      </c>
      <c r="D595" s="625" t="s">
        <v>1449</v>
      </c>
      <c r="E595" s="618" t="s">
        <v>1468</v>
      </c>
      <c r="F595" s="38">
        <v>208000</v>
      </c>
      <c r="G595" s="570" t="s">
        <v>1451</v>
      </c>
      <c r="H595" s="622" t="s">
        <v>1452</v>
      </c>
      <c r="I595" s="616" t="s">
        <v>3282</v>
      </c>
    </row>
    <row r="596" spans="1:9" ht="76.5">
      <c r="C596" s="614" t="s">
        <v>1469</v>
      </c>
      <c r="D596" s="625" t="s">
        <v>1449</v>
      </c>
      <c r="E596" s="618" t="s">
        <v>1470</v>
      </c>
      <c r="F596" s="38">
        <v>381000</v>
      </c>
      <c r="G596" s="570" t="s">
        <v>1451</v>
      </c>
      <c r="H596" s="622" t="s">
        <v>1452</v>
      </c>
      <c r="I596" s="616" t="s">
        <v>3282</v>
      </c>
    </row>
    <row r="597" spans="1:9" ht="76.5">
      <c r="C597" s="614" t="s">
        <v>1471</v>
      </c>
      <c r="D597" s="625" t="s">
        <v>1449</v>
      </c>
      <c r="E597" s="618" t="s">
        <v>1472</v>
      </c>
      <c r="F597" s="38">
        <v>720500</v>
      </c>
      <c r="G597" s="570" t="s">
        <v>1451</v>
      </c>
      <c r="H597" s="622" t="s">
        <v>1452</v>
      </c>
      <c r="I597" s="616" t="s">
        <v>3282</v>
      </c>
    </row>
    <row r="598" spans="1:9" ht="76.5">
      <c r="C598" s="614" t="s">
        <v>1473</v>
      </c>
      <c r="D598" s="625" t="s">
        <v>1449</v>
      </c>
      <c r="E598" s="618" t="s">
        <v>1474</v>
      </c>
      <c r="F598" s="38">
        <v>887000</v>
      </c>
      <c r="G598" s="570" t="s">
        <v>1451</v>
      </c>
      <c r="H598" s="622" t="s">
        <v>1452</v>
      </c>
      <c r="I598" s="616" t="s">
        <v>3282</v>
      </c>
    </row>
    <row r="599" spans="1:9" ht="89.25">
      <c r="C599" s="614" t="s">
        <v>1475</v>
      </c>
      <c r="D599" s="625" t="s">
        <v>1449</v>
      </c>
      <c r="E599" s="618" t="s">
        <v>1476</v>
      </c>
      <c r="F599" s="38">
        <v>275000</v>
      </c>
      <c r="G599" s="570" t="s">
        <v>1451</v>
      </c>
      <c r="H599" s="622" t="s">
        <v>1452</v>
      </c>
      <c r="I599" s="616" t="s">
        <v>3283</v>
      </c>
    </row>
    <row r="600" spans="1:9" ht="89.25">
      <c r="C600" s="614" t="s">
        <v>1477</v>
      </c>
      <c r="D600" s="625" t="s">
        <v>1449</v>
      </c>
      <c r="E600" s="618" t="s">
        <v>1478</v>
      </c>
      <c r="F600" s="38">
        <v>483500</v>
      </c>
      <c r="G600" s="570" t="s">
        <v>1451</v>
      </c>
      <c r="H600" s="622" t="s">
        <v>1452</v>
      </c>
      <c r="I600" s="616" t="s">
        <v>3283</v>
      </c>
    </row>
    <row r="601" spans="1:9" ht="89.25">
      <c r="C601" s="614" t="s">
        <v>1479</v>
      </c>
      <c r="D601" s="625" t="s">
        <v>1449</v>
      </c>
      <c r="E601" s="618" t="s">
        <v>1480</v>
      </c>
      <c r="F601" s="38">
        <v>924000</v>
      </c>
      <c r="G601" s="570" t="s">
        <v>1451</v>
      </c>
      <c r="H601" s="622" t="s">
        <v>1452</v>
      </c>
      <c r="I601" s="616" t="s">
        <v>3283</v>
      </c>
    </row>
    <row r="602" spans="1:9" ht="89.25">
      <c r="C602" s="614" t="s">
        <v>1481</v>
      </c>
      <c r="D602" s="625" t="s">
        <v>1449</v>
      </c>
      <c r="E602" s="618" t="s">
        <v>1482</v>
      </c>
      <c r="F602" s="38">
        <v>1156000</v>
      </c>
      <c r="G602" s="570" t="s">
        <v>1451</v>
      </c>
      <c r="H602" s="622" t="s">
        <v>1452</v>
      </c>
      <c r="I602" s="616" t="s">
        <v>3283</v>
      </c>
    </row>
    <row r="603" spans="1:9">
      <c r="C603" s="637"/>
      <c r="D603" s="610"/>
      <c r="E603" s="611"/>
      <c r="F603" s="611"/>
      <c r="G603" s="612"/>
      <c r="H603" s="611"/>
      <c r="I603" s="613"/>
    </row>
    <row r="604" spans="1:9" s="638" customFormat="1">
      <c r="A604"/>
      <c r="B604"/>
      <c r="C604"/>
      <c r="D604"/>
      <c r="E604"/>
      <c r="F604"/>
      <c r="G604"/>
      <c r="H604"/>
      <c r="I604"/>
    </row>
    <row r="605" spans="1:9" s="638" customFormat="1">
      <c r="A605"/>
      <c r="B605"/>
      <c r="C605"/>
      <c r="D605"/>
      <c r="E605"/>
      <c r="F605"/>
      <c r="G605"/>
      <c r="H605"/>
      <c r="I605"/>
    </row>
    <row r="606" spans="1:9" s="638" customFormat="1">
      <c r="A606"/>
      <c r="B606"/>
      <c r="C606"/>
      <c r="D606"/>
      <c r="E606"/>
      <c r="F606"/>
      <c r="G606"/>
      <c r="H606"/>
      <c r="I606"/>
    </row>
    <row r="607" spans="1:9" s="638" customFormat="1">
      <c r="A607"/>
      <c r="B607"/>
      <c r="C607"/>
      <c r="D607"/>
      <c r="E607"/>
      <c r="F607"/>
      <c r="G607"/>
      <c r="H607"/>
      <c r="I607"/>
    </row>
    <row r="608" spans="1:9" s="638" customFormat="1">
      <c r="A608"/>
      <c r="B608"/>
      <c r="C608"/>
      <c r="D608"/>
      <c r="E608"/>
      <c r="F608"/>
      <c r="G608"/>
      <c r="H608"/>
      <c r="I608"/>
    </row>
    <row r="609" spans="1:9" s="638" customFormat="1">
      <c r="A609"/>
      <c r="B609"/>
      <c r="C609"/>
      <c r="D609"/>
      <c r="E609"/>
      <c r="F609"/>
      <c r="G609"/>
      <c r="H609"/>
      <c r="I609"/>
    </row>
    <row r="610" spans="1:9" s="638" customFormat="1">
      <c r="A610"/>
      <c r="B610"/>
      <c r="C610"/>
      <c r="D610"/>
      <c r="E610"/>
      <c r="F610"/>
      <c r="G610"/>
      <c r="H610"/>
      <c r="I610"/>
    </row>
    <row r="611" spans="1:9" s="638" customFormat="1">
      <c r="A611"/>
      <c r="B611"/>
      <c r="C611"/>
      <c r="D611"/>
      <c r="E611"/>
      <c r="F611"/>
      <c r="G611"/>
      <c r="H611"/>
      <c r="I611"/>
    </row>
    <row r="612" spans="1:9" s="638" customFormat="1">
      <c r="A612"/>
      <c r="B612"/>
      <c r="C612"/>
      <c r="D612"/>
      <c r="E612"/>
      <c r="F612"/>
      <c r="G612"/>
      <c r="H612"/>
      <c r="I612"/>
    </row>
    <row r="613" spans="1:9" s="638" customFormat="1">
      <c r="A613"/>
      <c r="B613"/>
      <c r="C613"/>
      <c r="D613"/>
      <c r="E613"/>
      <c r="F613"/>
      <c r="G613"/>
      <c r="H613"/>
      <c r="I613"/>
    </row>
    <row r="614" spans="1:9" s="638" customFormat="1">
      <c r="A614"/>
      <c r="B614"/>
      <c r="C614"/>
      <c r="D614"/>
      <c r="E614"/>
      <c r="F614"/>
      <c r="G614"/>
      <c r="H614"/>
      <c r="I614"/>
    </row>
    <row r="615" spans="1:9" s="638" customFormat="1">
      <c r="A615"/>
      <c r="B615"/>
      <c r="C615"/>
      <c r="D615"/>
      <c r="E615"/>
      <c r="F615"/>
      <c r="G615"/>
      <c r="H615"/>
      <c r="I615"/>
    </row>
    <row r="616" spans="1:9" s="638" customFormat="1">
      <c r="A616"/>
      <c r="B616"/>
      <c r="C616"/>
      <c r="D616"/>
      <c r="E616"/>
      <c r="F616"/>
      <c r="G616"/>
      <c r="H616"/>
      <c r="I616"/>
    </row>
    <row r="617" spans="1:9" s="638" customFormat="1">
      <c r="A617"/>
      <c r="B617"/>
      <c r="C617"/>
      <c r="D617"/>
      <c r="E617"/>
      <c r="F617"/>
      <c r="G617"/>
      <c r="H617"/>
      <c r="I617"/>
    </row>
    <row r="618" spans="1:9" s="638" customFormat="1">
      <c r="A618"/>
      <c r="B618"/>
      <c r="C618"/>
      <c r="D618"/>
      <c r="E618"/>
      <c r="F618"/>
      <c r="G618"/>
      <c r="H618"/>
      <c r="I618"/>
    </row>
    <row r="619" spans="1:9" s="638" customFormat="1">
      <c r="A619"/>
      <c r="B619"/>
      <c r="C619"/>
      <c r="D619"/>
      <c r="E619"/>
      <c r="F619"/>
      <c r="G619"/>
      <c r="H619"/>
      <c r="I619"/>
    </row>
    <row r="620" spans="1:9" s="638" customFormat="1">
      <c r="A620"/>
      <c r="B620"/>
      <c r="C620"/>
      <c r="D620"/>
      <c r="E620"/>
      <c r="F620"/>
      <c r="G620"/>
      <c r="H620"/>
      <c r="I620"/>
    </row>
    <row r="621" spans="1:9" s="638" customFormat="1">
      <c r="A621"/>
      <c r="B621"/>
      <c r="C621"/>
      <c r="D621"/>
      <c r="E621"/>
      <c r="F621"/>
      <c r="G621"/>
      <c r="H621"/>
      <c r="I621"/>
    </row>
    <row r="622" spans="1:9" s="638" customFormat="1">
      <c r="A622"/>
      <c r="B622"/>
      <c r="C622"/>
      <c r="D622"/>
      <c r="E622"/>
      <c r="F622"/>
      <c r="G622"/>
      <c r="H622"/>
      <c r="I622"/>
    </row>
    <row r="623" spans="1:9" s="638" customFormat="1">
      <c r="A623"/>
      <c r="B623"/>
      <c r="C623"/>
      <c r="D623"/>
      <c r="E623"/>
      <c r="F623"/>
      <c r="G623"/>
      <c r="H623"/>
      <c r="I623"/>
    </row>
    <row r="624" spans="1:9" s="638" customFormat="1">
      <c r="A624"/>
      <c r="B624"/>
      <c r="C624"/>
      <c r="D624"/>
      <c r="E624"/>
      <c r="F624"/>
      <c r="G624"/>
      <c r="H624"/>
      <c r="I624"/>
    </row>
    <row r="625" spans="1:9" s="638" customFormat="1">
      <c r="A625"/>
      <c r="B625"/>
      <c r="C625"/>
      <c r="D625"/>
      <c r="E625"/>
      <c r="F625"/>
      <c r="G625"/>
      <c r="H625"/>
      <c r="I625"/>
    </row>
    <row r="626" spans="1:9" s="638" customFormat="1">
      <c r="A626"/>
      <c r="B626"/>
      <c r="C626"/>
      <c r="D626"/>
      <c r="E626"/>
      <c r="F626"/>
      <c r="G626"/>
      <c r="H626"/>
      <c r="I626"/>
    </row>
    <row r="627" spans="1:9" s="638" customFormat="1">
      <c r="A627"/>
      <c r="B627"/>
      <c r="C627"/>
      <c r="D627"/>
      <c r="E627"/>
      <c r="F627"/>
      <c r="G627"/>
      <c r="H627"/>
      <c r="I627"/>
    </row>
    <row r="628" spans="1:9" s="638" customFormat="1">
      <c r="A628"/>
      <c r="B628"/>
      <c r="C628"/>
      <c r="D628"/>
      <c r="E628"/>
      <c r="F628"/>
      <c r="G628"/>
      <c r="H628"/>
      <c r="I628"/>
    </row>
    <row r="629" spans="1:9" s="638" customFormat="1">
      <c r="A629"/>
      <c r="B629"/>
      <c r="C629"/>
      <c r="D629"/>
      <c r="E629"/>
      <c r="F629"/>
      <c r="G629"/>
      <c r="H629"/>
      <c r="I629"/>
    </row>
    <row r="630" spans="1:9" s="638" customFormat="1">
      <c r="A630"/>
      <c r="B630"/>
      <c r="C630"/>
      <c r="D630"/>
      <c r="E630"/>
      <c r="F630"/>
      <c r="G630"/>
      <c r="H630"/>
      <c r="I630"/>
    </row>
    <row r="631" spans="1:9" s="638" customFormat="1">
      <c r="A631"/>
      <c r="B631"/>
      <c r="C631"/>
      <c r="D631"/>
      <c r="E631"/>
      <c r="F631"/>
      <c r="G631"/>
      <c r="H631"/>
      <c r="I631"/>
    </row>
    <row r="632" spans="1:9" s="638" customFormat="1">
      <c r="A632"/>
      <c r="B632"/>
      <c r="C632"/>
      <c r="D632"/>
      <c r="E632"/>
      <c r="F632"/>
      <c r="G632"/>
      <c r="H632"/>
      <c r="I632"/>
    </row>
    <row r="633" spans="1:9" s="638" customFormat="1">
      <c r="A633"/>
      <c r="B633"/>
      <c r="C633"/>
      <c r="D633"/>
      <c r="E633"/>
      <c r="F633"/>
      <c r="G633"/>
      <c r="H633"/>
      <c r="I633"/>
    </row>
    <row r="634" spans="1:9" s="638" customFormat="1">
      <c r="A634"/>
      <c r="B634"/>
      <c r="C634"/>
      <c r="D634"/>
      <c r="E634"/>
      <c r="F634"/>
      <c r="G634"/>
      <c r="H634"/>
      <c r="I634"/>
    </row>
    <row r="635" spans="1:9" s="638" customFormat="1">
      <c r="A635"/>
      <c r="B635"/>
      <c r="C635"/>
      <c r="D635"/>
      <c r="E635"/>
      <c r="F635"/>
      <c r="G635"/>
      <c r="H635"/>
      <c r="I635"/>
    </row>
    <row r="636" spans="1:9" s="638" customFormat="1">
      <c r="A636"/>
      <c r="B636"/>
      <c r="C636"/>
      <c r="D636"/>
      <c r="E636"/>
      <c r="F636"/>
      <c r="G636"/>
      <c r="H636"/>
      <c r="I636"/>
    </row>
    <row r="637" spans="1:9" s="638" customFormat="1">
      <c r="A637"/>
      <c r="B637"/>
      <c r="C637"/>
      <c r="D637"/>
      <c r="E637"/>
      <c r="F637"/>
      <c r="G637"/>
      <c r="H637"/>
      <c r="I637"/>
    </row>
    <row r="638" spans="1:9" s="638" customFormat="1">
      <c r="A638"/>
      <c r="B638"/>
      <c r="C638"/>
      <c r="D638"/>
      <c r="E638"/>
      <c r="F638"/>
      <c r="G638"/>
      <c r="H638"/>
      <c r="I638"/>
    </row>
    <row r="639" spans="1:9" s="638" customFormat="1">
      <c r="A639"/>
      <c r="B639"/>
      <c r="C639"/>
      <c r="D639"/>
      <c r="E639"/>
      <c r="F639"/>
      <c r="G639"/>
      <c r="H639"/>
      <c r="I639"/>
    </row>
    <row r="640" spans="1:9" s="638" customFormat="1">
      <c r="A640"/>
      <c r="B640"/>
      <c r="C640"/>
      <c r="D640"/>
      <c r="E640"/>
      <c r="F640"/>
      <c r="G640"/>
      <c r="H640"/>
      <c r="I640"/>
    </row>
    <row r="641" spans="1:9" s="638" customFormat="1">
      <c r="A641"/>
      <c r="B641"/>
      <c r="C641"/>
      <c r="D641"/>
      <c r="E641"/>
      <c r="F641"/>
      <c r="G641"/>
      <c r="H641"/>
      <c r="I641"/>
    </row>
    <row r="642" spans="1:9" s="638" customFormat="1">
      <c r="A642"/>
      <c r="B642"/>
      <c r="C642"/>
      <c r="D642"/>
      <c r="E642"/>
      <c r="F642"/>
      <c r="G642"/>
      <c r="H642"/>
      <c r="I642"/>
    </row>
    <row r="643" spans="1:9" s="638" customFormat="1">
      <c r="A643"/>
      <c r="B643"/>
      <c r="C643"/>
      <c r="D643"/>
      <c r="E643"/>
      <c r="F643"/>
      <c r="G643"/>
      <c r="H643"/>
      <c r="I643"/>
    </row>
    <row r="644" spans="1:9" s="638" customFormat="1">
      <c r="A644"/>
      <c r="B644"/>
      <c r="C644"/>
      <c r="D644"/>
      <c r="E644"/>
      <c r="F644"/>
      <c r="G644"/>
      <c r="H644"/>
      <c r="I644"/>
    </row>
    <row r="645" spans="1:9" s="638" customFormat="1">
      <c r="A645"/>
      <c r="B645"/>
      <c r="C645"/>
      <c r="D645"/>
      <c r="E645"/>
      <c r="F645"/>
      <c r="G645"/>
      <c r="H645"/>
      <c r="I645"/>
    </row>
    <row r="646" spans="1:9" s="638" customFormat="1">
      <c r="A646"/>
      <c r="B646"/>
      <c r="C646"/>
      <c r="D646"/>
      <c r="E646"/>
      <c r="F646"/>
      <c r="G646"/>
      <c r="H646"/>
      <c r="I646"/>
    </row>
    <row r="647" spans="1:9" s="638" customFormat="1">
      <c r="A647"/>
      <c r="B647"/>
      <c r="C647"/>
      <c r="D647"/>
      <c r="E647"/>
      <c r="F647"/>
      <c r="G647"/>
      <c r="H647"/>
      <c r="I647"/>
    </row>
    <row r="648" spans="1:9" s="638" customFormat="1">
      <c r="A648"/>
      <c r="B648"/>
      <c r="C648"/>
      <c r="D648"/>
      <c r="E648"/>
      <c r="F648"/>
      <c r="G648"/>
      <c r="H648"/>
      <c r="I648"/>
    </row>
    <row r="649" spans="1:9" s="638" customFormat="1">
      <c r="A649"/>
      <c r="B649"/>
      <c r="C649"/>
      <c r="D649"/>
      <c r="E649"/>
      <c r="F649"/>
      <c r="G649"/>
      <c r="H649"/>
      <c r="I649"/>
    </row>
    <row r="650" spans="1:9" s="638" customFormat="1">
      <c r="A650"/>
      <c r="B650"/>
      <c r="C650"/>
      <c r="D650"/>
      <c r="E650"/>
      <c r="F650"/>
      <c r="G650"/>
      <c r="H650"/>
      <c r="I650"/>
    </row>
    <row r="651" spans="1:9" s="638" customFormat="1">
      <c r="A651"/>
      <c r="B651"/>
      <c r="C651"/>
      <c r="D651"/>
      <c r="E651"/>
      <c r="F651"/>
      <c r="G651"/>
      <c r="H651"/>
      <c r="I651"/>
    </row>
    <row r="652" spans="1:9" s="638" customFormat="1">
      <c r="A652"/>
      <c r="B652"/>
      <c r="C652"/>
      <c r="D652"/>
      <c r="E652"/>
      <c r="F652"/>
      <c r="G652"/>
      <c r="H652"/>
      <c r="I652"/>
    </row>
    <row r="653" spans="1:9" s="638" customFormat="1">
      <c r="A653"/>
      <c r="B653"/>
      <c r="C653"/>
      <c r="D653"/>
      <c r="E653"/>
      <c r="F653"/>
      <c r="G653"/>
      <c r="H653"/>
      <c r="I653"/>
    </row>
    <row r="654" spans="1:9" s="638" customFormat="1">
      <c r="A654"/>
      <c r="B654"/>
      <c r="C654"/>
      <c r="D654"/>
      <c r="E654"/>
      <c r="F654"/>
      <c r="G654"/>
      <c r="H654"/>
      <c r="I654"/>
    </row>
    <row r="655" spans="1:9" s="638" customFormat="1">
      <c r="A655"/>
      <c r="B655"/>
      <c r="C655"/>
      <c r="D655"/>
      <c r="E655"/>
      <c r="F655"/>
      <c r="G655"/>
      <c r="H655"/>
      <c r="I655"/>
    </row>
    <row r="656" spans="1:9" s="638" customFormat="1">
      <c r="A656"/>
      <c r="B656"/>
      <c r="C656"/>
      <c r="D656"/>
      <c r="E656"/>
      <c r="F656"/>
      <c r="G656"/>
      <c r="H656"/>
      <c r="I656"/>
    </row>
    <row r="657" spans="1:9" s="638" customFormat="1">
      <c r="A657"/>
      <c r="B657"/>
      <c r="C657"/>
      <c r="D657"/>
      <c r="E657"/>
      <c r="F657"/>
      <c r="G657"/>
      <c r="H657"/>
      <c r="I657"/>
    </row>
    <row r="658" spans="1:9" s="638" customFormat="1">
      <c r="A658"/>
      <c r="B658"/>
      <c r="C658"/>
      <c r="D658"/>
      <c r="E658"/>
      <c r="F658"/>
      <c r="G658"/>
      <c r="H658"/>
      <c r="I658"/>
    </row>
    <row r="659" spans="1:9" s="638" customFormat="1">
      <c r="A659"/>
      <c r="B659"/>
      <c r="C659"/>
      <c r="D659"/>
      <c r="E659"/>
      <c r="F659"/>
      <c r="G659"/>
      <c r="H659"/>
      <c r="I659"/>
    </row>
    <row r="660" spans="1:9" s="638" customFormat="1">
      <c r="A660"/>
      <c r="B660"/>
      <c r="C660"/>
      <c r="D660"/>
      <c r="E660"/>
      <c r="F660"/>
      <c r="G660"/>
      <c r="H660"/>
      <c r="I660"/>
    </row>
    <row r="661" spans="1:9" s="638" customFormat="1">
      <c r="A661"/>
      <c r="B661"/>
      <c r="C661"/>
      <c r="D661"/>
      <c r="E661"/>
      <c r="F661"/>
      <c r="G661"/>
      <c r="H661"/>
      <c r="I661"/>
    </row>
    <row r="662" spans="1:9" s="638" customFormat="1">
      <c r="A662"/>
      <c r="B662"/>
      <c r="C662"/>
      <c r="D662"/>
      <c r="E662"/>
      <c r="F662"/>
      <c r="G662"/>
      <c r="H662"/>
      <c r="I662"/>
    </row>
    <row r="663" spans="1:9" s="638" customFormat="1">
      <c r="A663"/>
      <c r="B663"/>
      <c r="C663"/>
      <c r="D663"/>
      <c r="E663"/>
      <c r="F663"/>
      <c r="G663"/>
      <c r="H663"/>
      <c r="I663"/>
    </row>
    <row r="664" spans="1:9" s="638" customFormat="1">
      <c r="A664"/>
      <c r="B664"/>
      <c r="C664"/>
      <c r="D664"/>
      <c r="E664"/>
      <c r="F664"/>
      <c r="G664"/>
      <c r="H664"/>
      <c r="I664"/>
    </row>
    <row r="665" spans="1:9" s="638" customFormat="1">
      <c r="A665"/>
      <c r="B665"/>
      <c r="C665"/>
      <c r="D665"/>
      <c r="E665"/>
      <c r="F665"/>
      <c r="G665"/>
      <c r="H665"/>
      <c r="I665"/>
    </row>
    <row r="666" spans="1:9" s="638" customFormat="1">
      <c r="A666"/>
      <c r="B666"/>
      <c r="C666"/>
      <c r="D666"/>
      <c r="E666"/>
      <c r="F666"/>
      <c r="G666"/>
      <c r="H666"/>
      <c r="I666"/>
    </row>
    <row r="667" spans="1:9" s="638" customFormat="1">
      <c r="A667"/>
      <c r="B667"/>
      <c r="C667"/>
      <c r="D667"/>
      <c r="E667"/>
      <c r="F667"/>
      <c r="G667"/>
      <c r="H667"/>
      <c r="I667"/>
    </row>
    <row r="668" spans="1:9" s="638" customFormat="1">
      <c r="A668"/>
      <c r="B668"/>
      <c r="C668"/>
      <c r="D668"/>
      <c r="E668"/>
      <c r="F668"/>
      <c r="G668"/>
      <c r="H668"/>
      <c r="I668"/>
    </row>
    <row r="669" spans="1:9" s="638" customFormat="1">
      <c r="A669"/>
      <c r="B669"/>
      <c r="C669"/>
      <c r="D669"/>
      <c r="E669"/>
      <c r="F669"/>
      <c r="G669"/>
      <c r="H669"/>
      <c r="I669"/>
    </row>
    <row r="670" spans="1:9" s="638" customFormat="1">
      <c r="A670"/>
      <c r="B670"/>
      <c r="C670"/>
      <c r="D670"/>
      <c r="E670"/>
      <c r="F670"/>
      <c r="G670"/>
      <c r="H670"/>
      <c r="I670"/>
    </row>
    <row r="671" spans="1:9" s="638" customFormat="1">
      <c r="A671"/>
      <c r="B671"/>
      <c r="C671"/>
      <c r="D671"/>
      <c r="E671"/>
      <c r="F671"/>
      <c r="G671"/>
      <c r="H671"/>
      <c r="I671"/>
    </row>
    <row r="672" spans="1:9" s="638" customFormat="1">
      <c r="A672"/>
      <c r="B672"/>
      <c r="C672"/>
      <c r="D672"/>
      <c r="E672"/>
      <c r="F672"/>
      <c r="G672"/>
      <c r="H672"/>
      <c r="I672"/>
    </row>
    <row r="673" spans="1:9" s="638" customFormat="1">
      <c r="A673"/>
      <c r="B673"/>
      <c r="C673"/>
      <c r="D673"/>
      <c r="E673"/>
      <c r="F673"/>
      <c r="G673"/>
      <c r="H673"/>
      <c r="I673"/>
    </row>
    <row r="674" spans="1:9" s="638" customFormat="1">
      <c r="A674"/>
      <c r="B674"/>
      <c r="C674"/>
      <c r="D674"/>
      <c r="E674"/>
      <c r="F674"/>
      <c r="G674"/>
      <c r="H674"/>
      <c r="I674"/>
    </row>
    <row r="675" spans="1:9" s="638" customFormat="1">
      <c r="A675"/>
      <c r="B675"/>
      <c r="C675"/>
      <c r="D675"/>
      <c r="E675"/>
      <c r="F675"/>
      <c r="G675"/>
      <c r="H675"/>
      <c r="I675"/>
    </row>
    <row r="676" spans="1:9" s="638" customFormat="1">
      <c r="A676"/>
      <c r="B676"/>
      <c r="C676"/>
      <c r="D676"/>
      <c r="E676"/>
      <c r="F676"/>
      <c r="G676"/>
      <c r="H676"/>
      <c r="I676"/>
    </row>
    <row r="677" spans="1:9" s="638" customFormat="1">
      <c r="A677"/>
      <c r="B677"/>
      <c r="C677"/>
      <c r="D677"/>
      <c r="E677"/>
      <c r="F677"/>
      <c r="G677"/>
      <c r="H677"/>
      <c r="I677"/>
    </row>
    <row r="678" spans="1:9" s="638" customFormat="1">
      <c r="A678"/>
      <c r="B678"/>
      <c r="C678"/>
      <c r="D678"/>
      <c r="E678"/>
      <c r="F678"/>
      <c r="G678"/>
      <c r="H678"/>
      <c r="I678"/>
    </row>
    <row r="679" spans="1:9" s="638" customFormat="1">
      <c r="A679"/>
      <c r="B679"/>
      <c r="C679"/>
      <c r="D679"/>
      <c r="E679"/>
      <c r="F679"/>
      <c r="G679"/>
      <c r="H679"/>
      <c r="I679"/>
    </row>
    <row r="680" spans="1:9" s="638" customFormat="1">
      <c r="A680"/>
      <c r="B680"/>
      <c r="C680"/>
      <c r="D680"/>
      <c r="E680"/>
      <c r="F680"/>
      <c r="G680"/>
      <c r="H680"/>
      <c r="I680"/>
    </row>
    <row r="681" spans="1:9" s="638" customFormat="1">
      <c r="A681"/>
      <c r="B681"/>
      <c r="C681"/>
      <c r="D681"/>
      <c r="E681"/>
      <c r="F681"/>
      <c r="G681"/>
      <c r="H681"/>
      <c r="I681"/>
    </row>
    <row r="682" spans="1:9" s="638" customFormat="1">
      <c r="A682"/>
      <c r="B682"/>
      <c r="C682"/>
      <c r="D682"/>
      <c r="E682"/>
      <c r="F682"/>
      <c r="G682"/>
      <c r="H682"/>
      <c r="I682"/>
    </row>
    <row r="683" spans="1:9" s="638" customFormat="1">
      <c r="A683"/>
      <c r="B683"/>
      <c r="C683"/>
      <c r="D683"/>
      <c r="E683"/>
      <c r="F683"/>
      <c r="G683"/>
      <c r="H683"/>
      <c r="I683"/>
    </row>
    <row r="684" spans="1:9" s="638" customFormat="1">
      <c r="A684"/>
      <c r="B684"/>
      <c r="C684"/>
      <c r="D684"/>
      <c r="E684"/>
      <c r="F684"/>
      <c r="G684"/>
      <c r="H684"/>
      <c r="I684"/>
    </row>
    <row r="685" spans="1:9" s="638" customFormat="1">
      <c r="A685"/>
      <c r="B685"/>
      <c r="C685"/>
      <c r="D685"/>
      <c r="E685"/>
      <c r="F685"/>
      <c r="G685"/>
      <c r="H685"/>
      <c r="I685"/>
    </row>
    <row r="686" spans="1:9" s="638" customFormat="1">
      <c r="A686"/>
      <c r="B686"/>
      <c r="C686"/>
      <c r="D686"/>
      <c r="E686"/>
      <c r="F686"/>
      <c r="G686"/>
      <c r="H686"/>
      <c r="I686"/>
    </row>
    <row r="687" spans="1:9" s="638" customFormat="1">
      <c r="A687"/>
      <c r="B687"/>
      <c r="C687"/>
      <c r="D687"/>
      <c r="E687"/>
      <c r="F687"/>
      <c r="G687"/>
      <c r="H687"/>
      <c r="I687"/>
    </row>
    <row r="688" spans="1:9" s="638" customFormat="1">
      <c r="A688"/>
      <c r="B688"/>
      <c r="C688"/>
      <c r="D688"/>
      <c r="E688"/>
      <c r="F688"/>
      <c r="G688"/>
      <c r="H688"/>
      <c r="I688"/>
    </row>
    <row r="689" spans="1:9" s="638" customFormat="1">
      <c r="A689"/>
      <c r="B689"/>
      <c r="C689"/>
      <c r="D689"/>
      <c r="E689"/>
      <c r="F689"/>
      <c r="G689"/>
      <c r="H689"/>
      <c r="I689"/>
    </row>
    <row r="690" spans="1:9" s="638" customFormat="1">
      <c r="A690"/>
      <c r="B690"/>
      <c r="C690"/>
      <c r="D690"/>
      <c r="E690"/>
      <c r="F690"/>
      <c r="G690"/>
      <c r="H690"/>
      <c r="I690"/>
    </row>
    <row r="691" spans="1:9" s="638" customFormat="1">
      <c r="A691"/>
      <c r="B691"/>
      <c r="C691"/>
      <c r="D691"/>
      <c r="E691"/>
      <c r="F691"/>
      <c r="G691"/>
      <c r="H691"/>
      <c r="I691"/>
    </row>
    <row r="692" spans="1:9" s="638" customFormat="1">
      <c r="A692"/>
      <c r="B692"/>
      <c r="C692"/>
      <c r="D692"/>
      <c r="E692"/>
      <c r="F692"/>
      <c r="G692"/>
      <c r="H692"/>
      <c r="I692"/>
    </row>
    <row r="693" spans="1:9" s="638" customFormat="1">
      <c r="A693"/>
      <c r="B693"/>
      <c r="C693"/>
      <c r="D693"/>
      <c r="E693"/>
      <c r="F693"/>
      <c r="G693"/>
      <c r="H693"/>
      <c r="I693"/>
    </row>
    <row r="694" spans="1:9" s="638" customFormat="1">
      <c r="A694"/>
      <c r="B694"/>
      <c r="C694"/>
      <c r="D694"/>
      <c r="E694"/>
      <c r="F694"/>
      <c r="G694"/>
      <c r="H694"/>
      <c r="I694"/>
    </row>
    <row r="695" spans="1:9" s="638" customFormat="1">
      <c r="A695"/>
      <c r="B695"/>
      <c r="C695"/>
      <c r="D695"/>
      <c r="E695"/>
      <c r="F695"/>
      <c r="G695"/>
      <c r="H695"/>
      <c r="I695"/>
    </row>
    <row r="696" spans="1:9" s="638" customFormat="1">
      <c r="A696"/>
      <c r="B696"/>
      <c r="C696"/>
      <c r="D696"/>
      <c r="E696"/>
      <c r="F696"/>
      <c r="G696"/>
      <c r="H696"/>
      <c r="I696"/>
    </row>
    <row r="697" spans="1:9" s="638" customFormat="1">
      <c r="A697"/>
      <c r="B697"/>
      <c r="C697"/>
      <c r="D697"/>
      <c r="E697"/>
      <c r="F697"/>
      <c r="G697"/>
      <c r="H697"/>
      <c r="I697"/>
    </row>
    <row r="698" spans="1:9" s="638" customFormat="1">
      <c r="A698"/>
      <c r="B698"/>
      <c r="C698"/>
      <c r="D698"/>
      <c r="E698"/>
      <c r="F698"/>
      <c r="G698"/>
      <c r="H698"/>
      <c r="I698"/>
    </row>
    <row r="699" spans="1:9" s="638" customFormat="1">
      <c r="A699"/>
      <c r="B699"/>
      <c r="C699"/>
      <c r="D699"/>
      <c r="E699"/>
      <c r="F699"/>
      <c r="G699"/>
      <c r="H699"/>
      <c r="I699"/>
    </row>
    <row r="700" spans="1:9" s="638" customFormat="1">
      <c r="A700"/>
      <c r="B700"/>
      <c r="C700"/>
      <c r="D700"/>
      <c r="E700"/>
      <c r="F700"/>
      <c r="G700"/>
      <c r="H700"/>
      <c r="I700"/>
    </row>
    <row r="701" spans="1:9" s="638" customFormat="1">
      <c r="A701"/>
      <c r="B701"/>
      <c r="C701"/>
      <c r="D701"/>
      <c r="E701"/>
      <c r="F701"/>
      <c r="G701"/>
      <c r="H701"/>
      <c r="I701"/>
    </row>
    <row r="702" spans="1:9" s="638" customFormat="1">
      <c r="A702"/>
      <c r="B702"/>
      <c r="C702"/>
      <c r="D702"/>
      <c r="E702"/>
      <c r="F702"/>
      <c r="G702"/>
      <c r="H702"/>
      <c r="I702"/>
    </row>
    <row r="703" spans="1:9" s="638" customFormat="1">
      <c r="A703"/>
      <c r="B703"/>
      <c r="C703"/>
      <c r="D703"/>
      <c r="E703"/>
      <c r="F703"/>
      <c r="G703"/>
      <c r="H703"/>
      <c r="I703"/>
    </row>
    <row r="704" spans="1:9" s="638" customFormat="1">
      <c r="A704"/>
      <c r="B704"/>
      <c r="C704"/>
      <c r="D704"/>
      <c r="E704"/>
      <c r="F704"/>
      <c r="G704"/>
      <c r="H704"/>
      <c r="I704"/>
    </row>
    <row r="705" spans="1:9" s="638" customFormat="1">
      <c r="A705"/>
      <c r="B705"/>
      <c r="C705"/>
      <c r="D705"/>
      <c r="E705"/>
      <c r="F705"/>
      <c r="G705"/>
      <c r="H705"/>
      <c r="I705"/>
    </row>
    <row r="706" spans="1:9" s="638" customFormat="1">
      <c r="A706"/>
      <c r="B706"/>
      <c r="C706"/>
      <c r="D706"/>
      <c r="E706"/>
      <c r="F706"/>
      <c r="G706"/>
      <c r="H706"/>
      <c r="I706"/>
    </row>
    <row r="707" spans="1:9" s="638" customFormat="1">
      <c r="A707"/>
      <c r="B707"/>
      <c r="C707"/>
      <c r="D707"/>
      <c r="E707"/>
      <c r="F707"/>
      <c r="G707"/>
      <c r="H707"/>
      <c r="I707"/>
    </row>
    <row r="708" spans="1:9" s="638" customFormat="1">
      <c r="A708"/>
      <c r="B708"/>
      <c r="C708"/>
      <c r="D708"/>
      <c r="E708"/>
      <c r="F708"/>
      <c r="G708"/>
      <c r="H708"/>
      <c r="I708"/>
    </row>
    <row r="709" spans="1:9" s="638" customFormat="1">
      <c r="A709"/>
      <c r="B709"/>
      <c r="C709"/>
      <c r="D709"/>
      <c r="E709"/>
      <c r="F709"/>
      <c r="G709"/>
      <c r="H709"/>
      <c r="I709"/>
    </row>
    <row r="710" spans="1:9" s="638" customFormat="1">
      <c r="A710"/>
      <c r="B710"/>
      <c r="C710"/>
      <c r="D710"/>
      <c r="E710"/>
      <c r="F710"/>
      <c r="G710"/>
      <c r="H710"/>
      <c r="I710"/>
    </row>
    <row r="711" spans="1:9" s="638" customFormat="1">
      <c r="A711"/>
      <c r="B711"/>
      <c r="C711"/>
      <c r="D711"/>
      <c r="E711"/>
      <c r="F711"/>
      <c r="G711"/>
      <c r="H711"/>
      <c r="I711"/>
    </row>
    <row r="712" spans="1:9" s="638" customFormat="1">
      <c r="A712"/>
      <c r="B712"/>
      <c r="C712"/>
      <c r="D712"/>
      <c r="E712"/>
      <c r="F712"/>
      <c r="G712"/>
      <c r="H712"/>
      <c r="I712"/>
    </row>
    <row r="713" spans="1:9" s="638" customFormat="1">
      <c r="A713"/>
      <c r="B713"/>
      <c r="C713"/>
      <c r="D713"/>
      <c r="E713"/>
      <c r="F713"/>
      <c r="G713"/>
      <c r="H713"/>
      <c r="I713"/>
    </row>
    <row r="714" spans="1:9" s="638" customFormat="1">
      <c r="A714"/>
      <c r="B714"/>
      <c r="C714"/>
      <c r="D714"/>
      <c r="E714"/>
      <c r="F714"/>
      <c r="G714"/>
      <c r="H714"/>
      <c r="I714"/>
    </row>
    <row r="715" spans="1:9" s="638" customFormat="1">
      <c r="A715"/>
      <c r="B715"/>
      <c r="C715"/>
      <c r="D715"/>
      <c r="E715"/>
      <c r="F715"/>
      <c r="G715"/>
      <c r="H715"/>
      <c r="I715"/>
    </row>
    <row r="716" spans="1:9" s="638" customFormat="1">
      <c r="A716"/>
      <c r="B716"/>
      <c r="C716"/>
      <c r="D716"/>
      <c r="E716"/>
      <c r="F716"/>
      <c r="G716"/>
      <c r="H716"/>
      <c r="I716"/>
    </row>
    <row r="717" spans="1:9" s="638" customFormat="1">
      <c r="A717"/>
      <c r="B717"/>
      <c r="C717"/>
      <c r="D717"/>
      <c r="E717"/>
      <c r="F717"/>
      <c r="G717"/>
      <c r="H717"/>
      <c r="I717"/>
    </row>
    <row r="718" spans="1:9" s="638" customFormat="1">
      <c r="A718"/>
      <c r="B718"/>
      <c r="C718"/>
      <c r="D718"/>
      <c r="E718"/>
      <c r="F718"/>
      <c r="G718"/>
      <c r="H718"/>
      <c r="I718"/>
    </row>
    <row r="719" spans="1:9" s="638" customFormat="1">
      <c r="A719"/>
      <c r="B719"/>
      <c r="C719"/>
      <c r="D719"/>
      <c r="E719"/>
      <c r="F719"/>
      <c r="G719"/>
      <c r="H719"/>
      <c r="I719"/>
    </row>
    <row r="720" spans="1:9" s="638" customFormat="1">
      <c r="A720"/>
      <c r="B720"/>
      <c r="C720"/>
      <c r="D720"/>
      <c r="E720"/>
      <c r="F720"/>
      <c r="G720"/>
      <c r="H720"/>
      <c r="I720"/>
    </row>
    <row r="721" spans="1:9" s="638" customFormat="1">
      <c r="A721"/>
      <c r="B721"/>
      <c r="C721"/>
      <c r="D721"/>
      <c r="E721"/>
      <c r="F721"/>
      <c r="G721"/>
      <c r="H721"/>
      <c r="I721"/>
    </row>
    <row r="722" spans="1:9" s="638" customFormat="1">
      <c r="A722"/>
      <c r="B722"/>
      <c r="C722"/>
      <c r="D722"/>
      <c r="E722"/>
      <c r="F722"/>
      <c r="G722"/>
      <c r="H722"/>
      <c r="I722"/>
    </row>
    <row r="723" spans="1:9" s="638" customFormat="1">
      <c r="A723"/>
      <c r="B723"/>
      <c r="C723"/>
      <c r="D723"/>
      <c r="E723"/>
      <c r="F723"/>
      <c r="G723"/>
      <c r="H723"/>
      <c r="I723"/>
    </row>
    <row r="724" spans="1:9" s="638" customFormat="1">
      <c r="A724"/>
      <c r="B724"/>
      <c r="C724"/>
      <c r="D724"/>
      <c r="E724"/>
      <c r="F724"/>
      <c r="G724"/>
      <c r="H724"/>
      <c r="I724"/>
    </row>
    <row r="725" spans="1:9" s="638" customFormat="1">
      <c r="A725"/>
      <c r="B725"/>
      <c r="C725"/>
      <c r="D725"/>
      <c r="E725"/>
      <c r="F725"/>
      <c r="G725"/>
      <c r="H725"/>
      <c r="I725"/>
    </row>
    <row r="726" spans="1:9" s="638" customFormat="1">
      <c r="A726"/>
      <c r="B726"/>
      <c r="C726"/>
      <c r="D726"/>
      <c r="E726"/>
      <c r="F726"/>
      <c r="G726"/>
      <c r="H726"/>
      <c r="I726"/>
    </row>
    <row r="727" spans="1:9" s="638" customFormat="1">
      <c r="A727"/>
      <c r="B727"/>
      <c r="C727"/>
      <c r="D727"/>
      <c r="E727"/>
      <c r="F727"/>
      <c r="G727"/>
      <c r="H727"/>
      <c r="I727"/>
    </row>
    <row r="728" spans="1:9" s="638" customFormat="1">
      <c r="A728"/>
      <c r="B728"/>
      <c r="C728"/>
      <c r="D728"/>
      <c r="E728"/>
      <c r="F728"/>
      <c r="G728"/>
      <c r="H728"/>
      <c r="I728"/>
    </row>
    <row r="729" spans="1:9" s="638" customFormat="1">
      <c r="A729"/>
      <c r="B729"/>
      <c r="C729"/>
      <c r="D729"/>
      <c r="E729"/>
      <c r="F729"/>
      <c r="G729"/>
      <c r="H729"/>
      <c r="I729"/>
    </row>
    <row r="730" spans="1:9" s="638" customFormat="1">
      <c r="A730"/>
      <c r="B730"/>
      <c r="C730"/>
      <c r="D730"/>
      <c r="E730"/>
      <c r="F730"/>
      <c r="G730"/>
      <c r="H730"/>
      <c r="I730"/>
    </row>
    <row r="731" spans="1:9" s="638" customFormat="1">
      <c r="A731"/>
      <c r="B731"/>
      <c r="C731"/>
      <c r="D731"/>
      <c r="E731"/>
      <c r="F731"/>
      <c r="G731"/>
      <c r="H731"/>
      <c r="I731"/>
    </row>
    <row r="732" spans="1:9" s="638" customFormat="1">
      <c r="A732"/>
      <c r="B732"/>
      <c r="C732"/>
      <c r="D732"/>
      <c r="E732"/>
      <c r="F732"/>
      <c r="G732"/>
      <c r="H732"/>
      <c r="I732"/>
    </row>
    <row r="733" spans="1:9" s="638" customFormat="1">
      <c r="A733"/>
      <c r="B733"/>
      <c r="C733"/>
      <c r="D733"/>
      <c r="E733"/>
      <c r="F733"/>
      <c r="G733"/>
      <c r="H733"/>
      <c r="I733"/>
    </row>
    <row r="734" spans="1:9" s="638" customFormat="1">
      <c r="A734"/>
      <c r="B734"/>
      <c r="C734"/>
      <c r="D734"/>
      <c r="E734"/>
      <c r="F734"/>
      <c r="G734"/>
      <c r="H734"/>
      <c r="I734"/>
    </row>
    <row r="735" spans="1:9" s="638" customFormat="1">
      <c r="A735"/>
      <c r="B735"/>
      <c r="C735"/>
      <c r="D735"/>
      <c r="E735"/>
      <c r="F735"/>
      <c r="G735"/>
      <c r="H735"/>
      <c r="I735"/>
    </row>
    <row r="736" spans="1:9" s="638" customFormat="1">
      <c r="A736"/>
      <c r="B736"/>
      <c r="C736"/>
      <c r="D736"/>
      <c r="E736"/>
      <c r="F736"/>
      <c r="G736"/>
      <c r="H736"/>
      <c r="I736"/>
    </row>
    <row r="737" spans="1:9" s="638" customFormat="1">
      <c r="A737"/>
      <c r="B737"/>
      <c r="C737"/>
      <c r="D737"/>
      <c r="E737"/>
      <c r="F737"/>
      <c r="G737"/>
      <c r="H737"/>
      <c r="I737"/>
    </row>
    <row r="738" spans="1:9" s="638" customFormat="1">
      <c r="A738"/>
      <c r="B738"/>
      <c r="C738"/>
      <c r="D738"/>
      <c r="E738"/>
      <c r="F738"/>
      <c r="G738"/>
      <c r="H738"/>
      <c r="I738"/>
    </row>
    <row r="739" spans="1:9" s="638" customFormat="1">
      <c r="A739"/>
      <c r="B739"/>
      <c r="C739"/>
      <c r="D739"/>
      <c r="E739"/>
      <c r="F739"/>
      <c r="G739"/>
      <c r="H739"/>
      <c r="I739"/>
    </row>
    <row r="740" spans="1:9" s="638" customFormat="1">
      <c r="A740"/>
      <c r="B740"/>
      <c r="C740"/>
      <c r="D740"/>
      <c r="E740"/>
      <c r="F740"/>
      <c r="G740"/>
      <c r="H740"/>
      <c r="I740"/>
    </row>
    <row r="741" spans="1:9" s="638" customFormat="1">
      <c r="A741"/>
      <c r="B741"/>
      <c r="C741"/>
      <c r="D741"/>
      <c r="E741"/>
      <c r="F741"/>
      <c r="G741"/>
      <c r="H741"/>
      <c r="I741"/>
    </row>
    <row r="742" spans="1:9" s="638" customFormat="1">
      <c r="A742"/>
      <c r="B742"/>
      <c r="C742"/>
      <c r="D742"/>
      <c r="E742"/>
      <c r="F742"/>
      <c r="G742"/>
      <c r="H742"/>
      <c r="I742"/>
    </row>
    <row r="743" spans="1:9" s="638" customFormat="1">
      <c r="A743"/>
      <c r="B743"/>
      <c r="C743"/>
      <c r="D743"/>
      <c r="E743"/>
      <c r="F743"/>
      <c r="G743"/>
      <c r="H743"/>
      <c r="I743"/>
    </row>
    <row r="744" spans="1:9" s="638" customFormat="1">
      <c r="A744"/>
      <c r="B744"/>
      <c r="C744"/>
      <c r="D744"/>
      <c r="E744"/>
      <c r="F744"/>
      <c r="G744"/>
      <c r="H744"/>
      <c r="I744"/>
    </row>
    <row r="745" spans="1:9" s="638" customFormat="1">
      <c r="A745"/>
      <c r="B745"/>
      <c r="C745"/>
      <c r="D745"/>
      <c r="E745"/>
      <c r="F745"/>
      <c r="G745"/>
      <c r="H745"/>
      <c r="I745"/>
    </row>
    <row r="746" spans="1:9" s="638" customFormat="1">
      <c r="A746"/>
      <c r="B746"/>
      <c r="C746"/>
      <c r="D746"/>
      <c r="E746"/>
      <c r="F746"/>
      <c r="G746"/>
      <c r="H746"/>
      <c r="I746"/>
    </row>
    <row r="747" spans="1:9" s="638" customFormat="1">
      <c r="A747"/>
      <c r="B747"/>
      <c r="C747"/>
      <c r="D747"/>
      <c r="E747"/>
      <c r="F747"/>
      <c r="G747"/>
      <c r="H747"/>
      <c r="I747"/>
    </row>
    <row r="748" spans="1:9" s="638" customFormat="1">
      <c r="A748"/>
      <c r="B748"/>
      <c r="C748"/>
      <c r="D748"/>
      <c r="E748"/>
      <c r="F748"/>
      <c r="G748"/>
      <c r="H748"/>
      <c r="I748"/>
    </row>
    <row r="749" spans="1:9" s="638" customFormat="1">
      <c r="A749"/>
      <c r="B749"/>
      <c r="C749"/>
      <c r="D749"/>
      <c r="E749"/>
      <c r="F749"/>
      <c r="G749"/>
      <c r="H749"/>
      <c r="I749"/>
    </row>
    <row r="750" spans="1:9" s="638" customFormat="1">
      <c r="A750"/>
      <c r="B750"/>
      <c r="C750"/>
      <c r="D750"/>
      <c r="E750"/>
      <c r="F750"/>
      <c r="G750"/>
      <c r="H750"/>
      <c r="I750"/>
    </row>
    <row r="751" spans="1:9" s="638" customFormat="1">
      <c r="A751"/>
      <c r="B751"/>
      <c r="C751"/>
      <c r="D751"/>
      <c r="E751"/>
      <c r="F751"/>
      <c r="G751"/>
      <c r="H751"/>
      <c r="I751"/>
    </row>
    <row r="752" spans="1:9" s="638" customFormat="1">
      <c r="A752"/>
      <c r="B752"/>
      <c r="C752"/>
      <c r="D752"/>
      <c r="E752"/>
      <c r="F752"/>
      <c r="G752"/>
      <c r="H752"/>
      <c r="I752"/>
    </row>
    <row r="753" spans="1:9" s="638" customFormat="1">
      <c r="A753"/>
      <c r="B753"/>
      <c r="C753"/>
      <c r="D753"/>
      <c r="E753"/>
      <c r="F753"/>
      <c r="G753"/>
      <c r="H753"/>
      <c r="I753"/>
    </row>
    <row r="754" spans="1:9" s="638" customFormat="1">
      <c r="A754"/>
      <c r="B754"/>
      <c r="C754"/>
      <c r="D754"/>
      <c r="E754"/>
      <c r="F754"/>
      <c r="G754"/>
      <c r="H754"/>
      <c r="I754"/>
    </row>
    <row r="755" spans="1:9" s="638" customFormat="1">
      <c r="A755"/>
      <c r="B755"/>
      <c r="C755"/>
      <c r="D755"/>
      <c r="E755"/>
      <c r="F755"/>
      <c r="G755"/>
      <c r="H755"/>
      <c r="I755"/>
    </row>
    <row r="756" spans="1:9" s="638" customFormat="1">
      <c r="A756"/>
      <c r="B756"/>
      <c r="C756"/>
      <c r="D756"/>
      <c r="E756"/>
      <c r="F756"/>
      <c r="G756"/>
      <c r="H756"/>
      <c r="I756"/>
    </row>
    <row r="757" spans="1:9" s="638" customFormat="1">
      <c r="A757"/>
      <c r="B757"/>
      <c r="C757"/>
      <c r="D757"/>
      <c r="E757"/>
      <c r="F757"/>
      <c r="G757"/>
      <c r="H757"/>
      <c r="I757"/>
    </row>
    <row r="758" spans="1:9" s="638" customFormat="1">
      <c r="A758"/>
      <c r="B758"/>
      <c r="C758"/>
      <c r="D758"/>
      <c r="E758"/>
      <c r="F758"/>
      <c r="G758"/>
      <c r="H758"/>
      <c r="I758"/>
    </row>
    <row r="759" spans="1:9" s="638" customFormat="1">
      <c r="A759"/>
      <c r="B759"/>
      <c r="C759"/>
      <c r="D759"/>
      <c r="E759"/>
      <c r="F759"/>
      <c r="G759"/>
      <c r="H759"/>
      <c r="I759"/>
    </row>
    <row r="760" spans="1:9" s="638" customFormat="1">
      <c r="A760"/>
      <c r="B760"/>
      <c r="C760"/>
      <c r="D760"/>
      <c r="E760"/>
      <c r="F760"/>
      <c r="G760"/>
      <c r="H760"/>
      <c r="I760"/>
    </row>
    <row r="761" spans="1:9" s="638" customFormat="1">
      <c r="A761"/>
      <c r="B761"/>
      <c r="C761"/>
      <c r="D761"/>
      <c r="E761"/>
      <c r="F761"/>
      <c r="G761"/>
      <c r="H761"/>
      <c r="I761"/>
    </row>
    <row r="762" spans="1:9" s="638" customFormat="1">
      <c r="A762"/>
      <c r="B762"/>
      <c r="C762"/>
      <c r="D762"/>
      <c r="E762"/>
      <c r="F762"/>
      <c r="G762"/>
      <c r="H762"/>
      <c r="I762"/>
    </row>
    <row r="763" spans="1:9" s="638" customFormat="1">
      <c r="A763"/>
      <c r="B763"/>
      <c r="C763"/>
      <c r="D763"/>
      <c r="E763"/>
      <c r="F763"/>
      <c r="G763"/>
      <c r="H763"/>
      <c r="I763"/>
    </row>
    <row r="764" spans="1:9" s="638" customFormat="1">
      <c r="A764"/>
      <c r="B764"/>
      <c r="C764"/>
      <c r="D764"/>
      <c r="E764"/>
      <c r="F764"/>
      <c r="G764"/>
      <c r="H764"/>
      <c r="I764"/>
    </row>
    <row r="765" spans="1:9" s="638" customFormat="1">
      <c r="A765"/>
      <c r="B765"/>
      <c r="C765"/>
      <c r="D765"/>
      <c r="E765"/>
      <c r="F765"/>
      <c r="G765"/>
      <c r="H765"/>
      <c r="I765"/>
    </row>
    <row r="766" spans="1:9" s="638" customFormat="1">
      <c r="A766"/>
      <c r="B766"/>
      <c r="C766"/>
      <c r="D766"/>
      <c r="E766"/>
      <c r="F766"/>
      <c r="G766"/>
      <c r="H766"/>
      <c r="I766"/>
    </row>
    <row r="767" spans="1:9" s="638" customFormat="1">
      <c r="A767"/>
      <c r="B767"/>
      <c r="C767"/>
      <c r="D767"/>
      <c r="E767"/>
      <c r="F767"/>
      <c r="G767"/>
      <c r="H767"/>
      <c r="I767"/>
    </row>
    <row r="768" spans="1:9" s="638" customFormat="1">
      <c r="A768"/>
      <c r="B768"/>
      <c r="C768"/>
      <c r="D768"/>
      <c r="E768"/>
      <c r="F768"/>
      <c r="G768"/>
      <c r="H768"/>
      <c r="I768"/>
    </row>
    <row r="769" spans="1:9" s="638" customFormat="1">
      <c r="A769"/>
      <c r="B769"/>
      <c r="C769"/>
      <c r="D769"/>
      <c r="E769"/>
      <c r="F769"/>
      <c r="G769"/>
      <c r="H769"/>
      <c r="I769"/>
    </row>
    <row r="770" spans="1:9" s="638" customFormat="1">
      <c r="A770"/>
      <c r="B770"/>
      <c r="C770"/>
      <c r="D770"/>
      <c r="E770"/>
      <c r="F770"/>
      <c r="G770"/>
      <c r="H770"/>
      <c r="I770"/>
    </row>
    <row r="771" spans="1:9" s="638" customFormat="1">
      <c r="A771"/>
      <c r="B771"/>
      <c r="C771"/>
      <c r="D771"/>
      <c r="E771"/>
      <c r="F771"/>
      <c r="G771"/>
      <c r="H771"/>
      <c r="I771"/>
    </row>
    <row r="772" spans="1:9" s="638" customFormat="1">
      <c r="A772"/>
      <c r="B772"/>
      <c r="C772"/>
      <c r="D772"/>
      <c r="E772"/>
      <c r="F772"/>
      <c r="G772"/>
      <c r="H772"/>
      <c r="I772"/>
    </row>
    <row r="773" spans="1:9" s="638" customFormat="1">
      <c r="A773"/>
      <c r="B773"/>
      <c r="C773"/>
      <c r="D773"/>
      <c r="E773"/>
      <c r="F773"/>
      <c r="G773"/>
      <c r="H773"/>
      <c r="I773"/>
    </row>
    <row r="774" spans="1:9" s="638" customFormat="1">
      <c r="A774"/>
      <c r="B774"/>
      <c r="C774"/>
      <c r="D774"/>
      <c r="E774"/>
      <c r="F774"/>
      <c r="G774"/>
      <c r="H774"/>
      <c r="I774"/>
    </row>
    <row r="775" spans="1:9" s="638" customFormat="1">
      <c r="A775"/>
      <c r="B775"/>
      <c r="C775"/>
      <c r="D775"/>
      <c r="E775"/>
      <c r="F775"/>
      <c r="G775"/>
      <c r="H775"/>
      <c r="I775"/>
    </row>
    <row r="776" spans="1:9" s="638" customFormat="1">
      <c r="A776"/>
      <c r="B776"/>
      <c r="C776"/>
      <c r="D776"/>
      <c r="E776"/>
      <c r="F776"/>
      <c r="G776"/>
      <c r="H776"/>
      <c r="I776"/>
    </row>
    <row r="777" spans="1:9" s="638" customFormat="1">
      <c r="A777"/>
      <c r="B777"/>
      <c r="C777"/>
      <c r="D777"/>
      <c r="E777"/>
      <c r="F777"/>
      <c r="G777"/>
      <c r="H777"/>
      <c r="I777"/>
    </row>
    <row r="778" spans="1:9" s="638" customFormat="1">
      <c r="A778"/>
      <c r="B778"/>
      <c r="C778"/>
      <c r="D778"/>
      <c r="E778"/>
      <c r="F778"/>
      <c r="G778"/>
      <c r="H778"/>
      <c r="I778"/>
    </row>
    <row r="779" spans="1:9" s="638" customFormat="1">
      <c r="A779"/>
      <c r="B779"/>
      <c r="C779"/>
      <c r="D779"/>
      <c r="E779"/>
      <c r="F779"/>
      <c r="G779"/>
      <c r="H779"/>
      <c r="I779"/>
    </row>
  </sheetData>
  <sheetProtection algorithmName="SHA-512" hashValue="gMnQhZKif1aK5g6pGlnefjPj5VLQ+QH3lXTuZU+Kvi0srAATg90rqDHBOHowpgmWoxDYChYeoOsWoX9xrbeyKA==" saltValue="i/0BiLHxpLDTQL81Rhx07w==" spinCount="100000" sheet="1" objects="1" scenarios="1" autoFilter="0"/>
  <phoneticPr fontId="50" type="noConversion"/>
  <conditionalFormatting sqref="G53:G55">
    <cfRule type="containsText" dxfId="490" priority="269" operator="containsText" text="km">
      <formula>NOT(ISERROR(SEARCH("km",G53)))</formula>
    </cfRule>
  </conditionalFormatting>
  <conditionalFormatting sqref="G66:G80 G133:G138">
    <cfRule type="containsText" dxfId="489" priority="291" operator="containsText" text="km">
      <formula>NOT(ISERROR(SEARCH("km",G66)))</formula>
    </cfRule>
  </conditionalFormatting>
  <conditionalFormatting sqref="G435:G448">
    <cfRule type="containsText" dxfId="488" priority="136" operator="containsText" text="km">
      <formula>NOT(ISERROR(SEARCH("km",G435)))</formula>
    </cfRule>
  </conditionalFormatting>
  <hyperlinks>
    <hyperlink ref="C3" location="CONTENTS!A1" display="Contents" xr:uid="{8405F677-9FB5-4641-B989-5DB344B15504}"/>
  </hyperlinks>
  <pageMargins left="0.7" right="0.7" top="0.75" bottom="0.75" header="0.3" footer="0.3"/>
  <pageSetup paperSize="8" scale="9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dimension ref="A1:O135"/>
  <sheetViews>
    <sheetView showGridLines="0" zoomScaleNormal="100" zoomScaleSheetLayoutView="40" workbookViewId="0">
      <pane ySplit="6" topLeftCell="A7" activePane="bottomLeft" state="frozen"/>
      <selection activeCell="I26" sqref="I26"/>
      <selection pane="bottomLeft"/>
    </sheetView>
  </sheetViews>
  <sheetFormatPr defaultColWidth="2.28515625" defaultRowHeight="12.75"/>
  <cols>
    <col min="1" max="1" width="3.42578125" style="434" customWidth="1"/>
    <col min="2" max="2" width="26.28515625" style="434" customWidth="1"/>
    <col min="3" max="3" width="84.42578125" style="434" customWidth="1"/>
    <col min="4" max="7" width="18.7109375" style="434" customWidth="1"/>
    <col min="8" max="8" width="10.7109375" style="727" bestFit="1" customWidth="1"/>
    <col min="9" max="9" width="2.28515625" style="434" customWidth="1"/>
    <col min="10" max="14" width="2.28515625" style="641"/>
    <col min="15" max="15" width="10.7109375" style="434" bestFit="1" customWidth="1"/>
    <col min="16" max="19" width="2.28515625" style="434"/>
    <col min="20" max="20" width="9.28515625" style="434" bestFit="1" customWidth="1"/>
    <col min="21" max="148" width="2.28515625" style="434"/>
    <col min="149" max="150" width="2.28515625" style="434" customWidth="1"/>
    <col min="151" max="151" width="24.7109375" style="434" customWidth="1"/>
    <col min="152" max="152" width="33.7109375" style="434" customWidth="1"/>
    <col min="153" max="153" width="9.28515625" style="434" customWidth="1"/>
    <col min="154" max="155" width="7.7109375" style="434" customWidth="1"/>
    <col min="156" max="157" width="11.28515625" style="434" customWidth="1"/>
    <col min="158" max="158" width="15.7109375" style="434" customWidth="1"/>
    <col min="159" max="159" width="28.7109375" style="434" customWidth="1"/>
    <col min="160" max="160" width="40.7109375" style="434" customWidth="1"/>
    <col min="161" max="162" width="2.28515625" style="434"/>
    <col min="163" max="165" width="0" style="434" hidden="1" customWidth="1"/>
    <col min="166" max="404" width="2.28515625" style="434"/>
    <col min="405" max="406" width="2.28515625" style="434" customWidth="1"/>
    <col min="407" max="407" width="24.7109375" style="434" customWidth="1"/>
    <col min="408" max="408" width="33.7109375" style="434" customWidth="1"/>
    <col min="409" max="409" width="9.28515625" style="434" customWidth="1"/>
    <col min="410" max="411" width="7.7109375" style="434" customWidth="1"/>
    <col min="412" max="413" width="11.28515625" style="434" customWidth="1"/>
    <col min="414" max="414" width="15.7109375" style="434" customWidth="1"/>
    <col min="415" max="415" width="28.7109375" style="434" customWidth="1"/>
    <col min="416" max="416" width="40.7109375" style="434" customWidth="1"/>
    <col min="417" max="418" width="2.28515625" style="434"/>
    <col min="419" max="421" width="0" style="434" hidden="1" customWidth="1"/>
    <col min="422" max="660" width="2.28515625" style="434"/>
    <col min="661" max="662" width="2.28515625" style="434" customWidth="1"/>
    <col min="663" max="663" width="24.7109375" style="434" customWidth="1"/>
    <col min="664" max="664" width="33.7109375" style="434" customWidth="1"/>
    <col min="665" max="665" width="9.28515625" style="434" customWidth="1"/>
    <col min="666" max="667" width="7.7109375" style="434" customWidth="1"/>
    <col min="668" max="669" width="11.28515625" style="434" customWidth="1"/>
    <col min="670" max="670" width="15.7109375" style="434" customWidth="1"/>
    <col min="671" max="671" width="28.7109375" style="434" customWidth="1"/>
    <col min="672" max="672" width="40.7109375" style="434" customWidth="1"/>
    <col min="673" max="674" width="2.28515625" style="434"/>
    <col min="675" max="677" width="0" style="434" hidden="1" customWidth="1"/>
    <col min="678" max="916" width="2.28515625" style="434"/>
    <col min="917" max="918" width="2.28515625" style="434" customWidth="1"/>
    <col min="919" max="919" width="24.7109375" style="434" customWidth="1"/>
    <col min="920" max="920" width="33.7109375" style="434" customWidth="1"/>
    <col min="921" max="921" width="9.28515625" style="434" customWidth="1"/>
    <col min="922" max="923" width="7.7109375" style="434" customWidth="1"/>
    <col min="924" max="925" width="11.28515625" style="434" customWidth="1"/>
    <col min="926" max="926" width="15.7109375" style="434" customWidth="1"/>
    <col min="927" max="927" width="28.7109375" style="434" customWidth="1"/>
    <col min="928" max="928" width="40.7109375" style="434" customWidth="1"/>
    <col min="929" max="930" width="2.28515625" style="434"/>
    <col min="931" max="933" width="0" style="434" hidden="1" customWidth="1"/>
    <col min="934" max="1172" width="2.28515625" style="434"/>
    <col min="1173" max="1174" width="2.28515625" style="434" customWidth="1"/>
    <col min="1175" max="1175" width="24.7109375" style="434" customWidth="1"/>
    <col min="1176" max="1176" width="33.7109375" style="434" customWidth="1"/>
    <col min="1177" max="1177" width="9.28515625" style="434" customWidth="1"/>
    <col min="1178" max="1179" width="7.7109375" style="434" customWidth="1"/>
    <col min="1180" max="1181" width="11.28515625" style="434" customWidth="1"/>
    <col min="1182" max="1182" width="15.7109375" style="434" customWidth="1"/>
    <col min="1183" max="1183" width="28.7109375" style="434" customWidth="1"/>
    <col min="1184" max="1184" width="40.7109375" style="434" customWidth="1"/>
    <col min="1185" max="1186" width="2.28515625" style="434"/>
    <col min="1187" max="1189" width="0" style="434" hidden="1" customWidth="1"/>
    <col min="1190" max="1428" width="2.28515625" style="434"/>
    <col min="1429" max="1430" width="2.28515625" style="434" customWidth="1"/>
    <col min="1431" max="1431" width="24.7109375" style="434" customWidth="1"/>
    <col min="1432" max="1432" width="33.7109375" style="434" customWidth="1"/>
    <col min="1433" max="1433" width="9.28515625" style="434" customWidth="1"/>
    <col min="1434" max="1435" width="7.7109375" style="434" customWidth="1"/>
    <col min="1436" max="1437" width="11.28515625" style="434" customWidth="1"/>
    <col min="1438" max="1438" width="15.7109375" style="434" customWidth="1"/>
    <col min="1439" max="1439" width="28.7109375" style="434" customWidth="1"/>
    <col min="1440" max="1440" width="40.7109375" style="434" customWidth="1"/>
    <col min="1441" max="1442" width="2.28515625" style="434"/>
    <col min="1443" max="1445" width="0" style="434" hidden="1" customWidth="1"/>
    <col min="1446" max="1684" width="2.28515625" style="434"/>
    <col min="1685" max="1686" width="2.28515625" style="434" customWidth="1"/>
    <col min="1687" max="1687" width="24.7109375" style="434" customWidth="1"/>
    <col min="1688" max="1688" width="33.7109375" style="434" customWidth="1"/>
    <col min="1689" max="1689" width="9.28515625" style="434" customWidth="1"/>
    <col min="1690" max="1691" width="7.7109375" style="434" customWidth="1"/>
    <col min="1692" max="1693" width="11.28515625" style="434" customWidth="1"/>
    <col min="1694" max="1694" width="15.7109375" style="434" customWidth="1"/>
    <col min="1695" max="1695" width="28.7109375" style="434" customWidth="1"/>
    <col min="1696" max="1696" width="40.7109375" style="434" customWidth="1"/>
    <col min="1697" max="1698" width="2.28515625" style="434"/>
    <col min="1699" max="1701" width="0" style="434" hidden="1" customWidth="1"/>
    <col min="1702" max="1940" width="2.28515625" style="434"/>
    <col min="1941" max="1942" width="2.28515625" style="434" customWidth="1"/>
    <col min="1943" max="1943" width="24.7109375" style="434" customWidth="1"/>
    <col min="1944" max="1944" width="33.7109375" style="434" customWidth="1"/>
    <col min="1945" max="1945" width="9.28515625" style="434" customWidth="1"/>
    <col min="1946" max="1947" width="7.7109375" style="434" customWidth="1"/>
    <col min="1948" max="1949" width="11.28515625" style="434" customWidth="1"/>
    <col min="1950" max="1950" width="15.7109375" style="434" customWidth="1"/>
    <col min="1951" max="1951" width="28.7109375" style="434" customWidth="1"/>
    <col min="1952" max="1952" width="40.7109375" style="434" customWidth="1"/>
    <col min="1953" max="1954" width="2.28515625" style="434"/>
    <col min="1955" max="1957" width="0" style="434" hidden="1" customWidth="1"/>
    <col min="1958" max="2196" width="2.28515625" style="434"/>
    <col min="2197" max="2198" width="2.28515625" style="434" customWidth="1"/>
    <col min="2199" max="2199" width="24.7109375" style="434" customWidth="1"/>
    <col min="2200" max="2200" width="33.7109375" style="434" customWidth="1"/>
    <col min="2201" max="2201" width="9.28515625" style="434" customWidth="1"/>
    <col min="2202" max="2203" width="7.7109375" style="434" customWidth="1"/>
    <col min="2204" max="2205" width="11.28515625" style="434" customWidth="1"/>
    <col min="2206" max="2206" width="15.7109375" style="434" customWidth="1"/>
    <col min="2207" max="2207" width="28.7109375" style="434" customWidth="1"/>
    <col min="2208" max="2208" width="40.7109375" style="434" customWidth="1"/>
    <col min="2209" max="2210" width="2.28515625" style="434"/>
    <col min="2211" max="2213" width="0" style="434" hidden="1" customWidth="1"/>
    <col min="2214" max="2452" width="2.28515625" style="434"/>
    <col min="2453" max="2454" width="2.28515625" style="434" customWidth="1"/>
    <col min="2455" max="2455" width="24.7109375" style="434" customWidth="1"/>
    <col min="2456" max="2456" width="33.7109375" style="434" customWidth="1"/>
    <col min="2457" max="2457" width="9.28515625" style="434" customWidth="1"/>
    <col min="2458" max="2459" width="7.7109375" style="434" customWidth="1"/>
    <col min="2460" max="2461" width="11.28515625" style="434" customWidth="1"/>
    <col min="2462" max="2462" width="15.7109375" style="434" customWidth="1"/>
    <col min="2463" max="2463" width="28.7109375" style="434" customWidth="1"/>
    <col min="2464" max="2464" width="40.7109375" style="434" customWidth="1"/>
    <col min="2465" max="2466" width="2.28515625" style="434"/>
    <col min="2467" max="2469" width="0" style="434" hidden="1" customWidth="1"/>
    <col min="2470" max="2708" width="2.28515625" style="434"/>
    <col min="2709" max="2710" width="2.28515625" style="434" customWidth="1"/>
    <col min="2711" max="2711" width="24.7109375" style="434" customWidth="1"/>
    <col min="2712" max="2712" width="33.7109375" style="434" customWidth="1"/>
    <col min="2713" max="2713" width="9.28515625" style="434" customWidth="1"/>
    <col min="2714" max="2715" width="7.7109375" style="434" customWidth="1"/>
    <col min="2716" max="2717" width="11.28515625" style="434" customWidth="1"/>
    <col min="2718" max="2718" width="15.7109375" style="434" customWidth="1"/>
    <col min="2719" max="2719" width="28.7109375" style="434" customWidth="1"/>
    <col min="2720" max="2720" width="40.7109375" style="434" customWidth="1"/>
    <col min="2721" max="2722" width="2.28515625" style="434"/>
    <col min="2723" max="2725" width="0" style="434" hidden="1" customWidth="1"/>
    <col min="2726" max="2964" width="2.28515625" style="434"/>
    <col min="2965" max="2966" width="2.28515625" style="434" customWidth="1"/>
    <col min="2967" max="2967" width="24.7109375" style="434" customWidth="1"/>
    <col min="2968" max="2968" width="33.7109375" style="434" customWidth="1"/>
    <col min="2969" max="2969" width="9.28515625" style="434" customWidth="1"/>
    <col min="2970" max="2971" width="7.7109375" style="434" customWidth="1"/>
    <col min="2972" max="2973" width="11.28515625" style="434" customWidth="1"/>
    <col min="2974" max="2974" width="15.7109375" style="434" customWidth="1"/>
    <col min="2975" max="2975" width="28.7109375" style="434" customWidth="1"/>
    <col min="2976" max="2976" width="40.7109375" style="434" customWidth="1"/>
    <col min="2977" max="2978" width="2.28515625" style="434"/>
    <col min="2979" max="2981" width="0" style="434" hidden="1" customWidth="1"/>
    <col min="2982" max="3220" width="2.28515625" style="434"/>
    <col min="3221" max="3222" width="2.28515625" style="434" customWidth="1"/>
    <col min="3223" max="3223" width="24.7109375" style="434" customWidth="1"/>
    <col min="3224" max="3224" width="33.7109375" style="434" customWidth="1"/>
    <col min="3225" max="3225" width="9.28515625" style="434" customWidth="1"/>
    <col min="3226" max="3227" width="7.7109375" style="434" customWidth="1"/>
    <col min="3228" max="3229" width="11.28515625" style="434" customWidth="1"/>
    <col min="3230" max="3230" width="15.7109375" style="434" customWidth="1"/>
    <col min="3231" max="3231" width="28.7109375" style="434" customWidth="1"/>
    <col min="3232" max="3232" width="40.7109375" style="434" customWidth="1"/>
    <col min="3233" max="3234" width="2.28515625" style="434"/>
    <col min="3235" max="3237" width="0" style="434" hidden="1" customWidth="1"/>
    <col min="3238" max="3476" width="2.28515625" style="434"/>
    <col min="3477" max="3478" width="2.28515625" style="434" customWidth="1"/>
    <col min="3479" max="3479" width="24.7109375" style="434" customWidth="1"/>
    <col min="3480" max="3480" width="33.7109375" style="434" customWidth="1"/>
    <col min="3481" max="3481" width="9.28515625" style="434" customWidth="1"/>
    <col min="3482" max="3483" width="7.7109375" style="434" customWidth="1"/>
    <col min="3484" max="3485" width="11.28515625" style="434" customWidth="1"/>
    <col min="3486" max="3486" width="15.7109375" style="434" customWidth="1"/>
    <col min="3487" max="3487" width="28.7109375" style="434" customWidth="1"/>
    <col min="3488" max="3488" width="40.7109375" style="434" customWidth="1"/>
    <col min="3489" max="3490" width="2.28515625" style="434"/>
    <col min="3491" max="3493" width="0" style="434" hidden="1" customWidth="1"/>
    <col min="3494" max="3732" width="2.28515625" style="434"/>
    <col min="3733" max="3734" width="2.28515625" style="434" customWidth="1"/>
    <col min="3735" max="3735" width="24.7109375" style="434" customWidth="1"/>
    <col min="3736" max="3736" width="33.7109375" style="434" customWidth="1"/>
    <col min="3737" max="3737" width="9.28515625" style="434" customWidth="1"/>
    <col min="3738" max="3739" width="7.7109375" style="434" customWidth="1"/>
    <col min="3740" max="3741" width="11.28515625" style="434" customWidth="1"/>
    <col min="3742" max="3742" width="15.7109375" style="434" customWidth="1"/>
    <col min="3743" max="3743" width="28.7109375" style="434" customWidth="1"/>
    <col min="3744" max="3744" width="40.7109375" style="434" customWidth="1"/>
    <col min="3745" max="3746" width="2.28515625" style="434"/>
    <col min="3747" max="3749" width="0" style="434" hidden="1" customWidth="1"/>
    <col min="3750" max="3988" width="2.28515625" style="434"/>
    <col min="3989" max="3990" width="2.28515625" style="434" customWidth="1"/>
    <col min="3991" max="3991" width="24.7109375" style="434" customWidth="1"/>
    <col min="3992" max="3992" width="33.7109375" style="434" customWidth="1"/>
    <col min="3993" max="3993" width="9.28515625" style="434" customWidth="1"/>
    <col min="3994" max="3995" width="7.7109375" style="434" customWidth="1"/>
    <col min="3996" max="3997" width="11.28515625" style="434" customWidth="1"/>
    <col min="3998" max="3998" width="15.7109375" style="434" customWidth="1"/>
    <col min="3999" max="3999" width="28.7109375" style="434" customWidth="1"/>
    <col min="4000" max="4000" width="40.7109375" style="434" customWidth="1"/>
    <col min="4001" max="4002" width="2.28515625" style="434"/>
    <col min="4003" max="4005" width="0" style="434" hidden="1" customWidth="1"/>
    <col min="4006" max="4244" width="2.28515625" style="434"/>
    <col min="4245" max="4246" width="2.28515625" style="434" customWidth="1"/>
    <col min="4247" max="4247" width="24.7109375" style="434" customWidth="1"/>
    <col min="4248" max="4248" width="33.7109375" style="434" customWidth="1"/>
    <col min="4249" max="4249" width="9.28515625" style="434" customWidth="1"/>
    <col min="4250" max="4251" width="7.7109375" style="434" customWidth="1"/>
    <col min="4252" max="4253" width="11.28515625" style="434" customWidth="1"/>
    <col min="4254" max="4254" width="15.7109375" style="434" customWidth="1"/>
    <col min="4255" max="4255" width="28.7109375" style="434" customWidth="1"/>
    <col min="4256" max="4256" width="40.7109375" style="434" customWidth="1"/>
    <col min="4257" max="4258" width="2.28515625" style="434"/>
    <col min="4259" max="4261" width="0" style="434" hidden="1" customWidth="1"/>
    <col min="4262" max="4500" width="2.28515625" style="434"/>
    <col min="4501" max="4502" width="2.28515625" style="434" customWidth="1"/>
    <col min="4503" max="4503" width="24.7109375" style="434" customWidth="1"/>
    <col min="4504" max="4504" width="33.7109375" style="434" customWidth="1"/>
    <col min="4505" max="4505" width="9.28515625" style="434" customWidth="1"/>
    <col min="4506" max="4507" width="7.7109375" style="434" customWidth="1"/>
    <col min="4508" max="4509" width="11.28515625" style="434" customWidth="1"/>
    <col min="4510" max="4510" width="15.7109375" style="434" customWidth="1"/>
    <col min="4511" max="4511" width="28.7109375" style="434" customWidth="1"/>
    <col min="4512" max="4512" width="40.7109375" style="434" customWidth="1"/>
    <col min="4513" max="4514" width="2.28515625" style="434"/>
    <col min="4515" max="4517" width="0" style="434" hidden="1" customWidth="1"/>
    <col min="4518" max="4756" width="2.28515625" style="434"/>
    <col min="4757" max="4758" width="2.28515625" style="434" customWidth="1"/>
    <col min="4759" max="4759" width="24.7109375" style="434" customWidth="1"/>
    <col min="4760" max="4760" width="33.7109375" style="434" customWidth="1"/>
    <col min="4761" max="4761" width="9.28515625" style="434" customWidth="1"/>
    <col min="4762" max="4763" width="7.7109375" style="434" customWidth="1"/>
    <col min="4764" max="4765" width="11.28515625" style="434" customWidth="1"/>
    <col min="4766" max="4766" width="15.7109375" style="434" customWidth="1"/>
    <col min="4767" max="4767" width="28.7109375" style="434" customWidth="1"/>
    <col min="4768" max="4768" width="40.7109375" style="434" customWidth="1"/>
    <col min="4769" max="4770" width="2.28515625" style="434"/>
    <col min="4771" max="4773" width="0" style="434" hidden="1" customWidth="1"/>
    <col min="4774" max="5012" width="2.28515625" style="434"/>
    <col min="5013" max="5014" width="2.28515625" style="434" customWidth="1"/>
    <col min="5015" max="5015" width="24.7109375" style="434" customWidth="1"/>
    <col min="5016" max="5016" width="33.7109375" style="434" customWidth="1"/>
    <col min="5017" max="5017" width="9.28515625" style="434" customWidth="1"/>
    <col min="5018" max="5019" width="7.7109375" style="434" customWidth="1"/>
    <col min="5020" max="5021" width="11.28515625" style="434" customWidth="1"/>
    <col min="5022" max="5022" width="15.7109375" style="434" customWidth="1"/>
    <col min="5023" max="5023" width="28.7109375" style="434" customWidth="1"/>
    <col min="5024" max="5024" width="40.7109375" style="434" customWidth="1"/>
    <col min="5025" max="5026" width="2.28515625" style="434"/>
    <col min="5027" max="5029" width="0" style="434" hidden="1" customWidth="1"/>
    <col min="5030" max="5268" width="2.28515625" style="434"/>
    <col min="5269" max="5270" width="2.28515625" style="434" customWidth="1"/>
    <col min="5271" max="5271" width="24.7109375" style="434" customWidth="1"/>
    <col min="5272" max="5272" width="33.7109375" style="434" customWidth="1"/>
    <col min="5273" max="5273" width="9.28515625" style="434" customWidth="1"/>
    <col min="5274" max="5275" width="7.7109375" style="434" customWidth="1"/>
    <col min="5276" max="5277" width="11.28515625" style="434" customWidth="1"/>
    <col min="5278" max="5278" width="15.7109375" style="434" customWidth="1"/>
    <col min="5279" max="5279" width="28.7109375" style="434" customWidth="1"/>
    <col min="5280" max="5280" width="40.7109375" style="434" customWidth="1"/>
    <col min="5281" max="5282" width="2.28515625" style="434"/>
    <col min="5283" max="5285" width="0" style="434" hidden="1" customWidth="1"/>
    <col min="5286" max="5524" width="2.28515625" style="434"/>
    <col min="5525" max="5526" width="2.28515625" style="434" customWidth="1"/>
    <col min="5527" max="5527" width="24.7109375" style="434" customWidth="1"/>
    <col min="5528" max="5528" width="33.7109375" style="434" customWidth="1"/>
    <col min="5529" max="5529" width="9.28515625" style="434" customWidth="1"/>
    <col min="5530" max="5531" width="7.7109375" style="434" customWidth="1"/>
    <col min="5532" max="5533" width="11.28515625" style="434" customWidth="1"/>
    <col min="5534" max="5534" width="15.7109375" style="434" customWidth="1"/>
    <col min="5535" max="5535" width="28.7109375" style="434" customWidth="1"/>
    <col min="5536" max="5536" width="40.7109375" style="434" customWidth="1"/>
    <col min="5537" max="5538" width="2.28515625" style="434"/>
    <col min="5539" max="5541" width="0" style="434" hidden="1" customWidth="1"/>
    <col min="5542" max="5780" width="2.28515625" style="434"/>
    <col min="5781" max="5782" width="2.28515625" style="434" customWidth="1"/>
    <col min="5783" max="5783" width="24.7109375" style="434" customWidth="1"/>
    <col min="5784" max="5784" width="33.7109375" style="434" customWidth="1"/>
    <col min="5785" max="5785" width="9.28515625" style="434" customWidth="1"/>
    <col min="5786" max="5787" width="7.7109375" style="434" customWidth="1"/>
    <col min="5788" max="5789" width="11.28515625" style="434" customWidth="1"/>
    <col min="5790" max="5790" width="15.7109375" style="434" customWidth="1"/>
    <col min="5791" max="5791" width="28.7109375" style="434" customWidth="1"/>
    <col min="5792" max="5792" width="40.7109375" style="434" customWidth="1"/>
    <col min="5793" max="5794" width="2.28515625" style="434"/>
    <col min="5795" max="5797" width="0" style="434" hidden="1" customWidth="1"/>
    <col min="5798" max="6036" width="2.28515625" style="434"/>
    <col min="6037" max="6038" width="2.28515625" style="434" customWidth="1"/>
    <col min="6039" max="6039" width="24.7109375" style="434" customWidth="1"/>
    <col min="6040" max="6040" width="33.7109375" style="434" customWidth="1"/>
    <col min="6041" max="6041" width="9.28515625" style="434" customWidth="1"/>
    <col min="6042" max="6043" width="7.7109375" style="434" customWidth="1"/>
    <col min="6044" max="6045" width="11.28515625" style="434" customWidth="1"/>
    <col min="6046" max="6046" width="15.7109375" style="434" customWidth="1"/>
    <col min="6047" max="6047" width="28.7109375" style="434" customWidth="1"/>
    <col min="6048" max="6048" width="40.7109375" style="434" customWidth="1"/>
    <col min="6049" max="6050" width="2.28515625" style="434"/>
    <col min="6051" max="6053" width="0" style="434" hidden="1" customWidth="1"/>
    <col min="6054" max="6292" width="2.28515625" style="434"/>
    <col min="6293" max="6294" width="2.28515625" style="434" customWidth="1"/>
    <col min="6295" max="6295" width="24.7109375" style="434" customWidth="1"/>
    <col min="6296" max="6296" width="33.7109375" style="434" customWidth="1"/>
    <col min="6297" max="6297" width="9.28515625" style="434" customWidth="1"/>
    <col min="6298" max="6299" width="7.7109375" style="434" customWidth="1"/>
    <col min="6300" max="6301" width="11.28515625" style="434" customWidth="1"/>
    <col min="6302" max="6302" width="15.7109375" style="434" customWidth="1"/>
    <col min="6303" max="6303" width="28.7109375" style="434" customWidth="1"/>
    <col min="6304" max="6304" width="40.7109375" style="434" customWidth="1"/>
    <col min="6305" max="6306" width="2.28515625" style="434"/>
    <col min="6307" max="6309" width="0" style="434" hidden="1" customWidth="1"/>
    <col min="6310" max="6548" width="2.28515625" style="434"/>
    <col min="6549" max="6550" width="2.28515625" style="434" customWidth="1"/>
    <col min="6551" max="6551" width="24.7109375" style="434" customWidth="1"/>
    <col min="6552" max="6552" width="33.7109375" style="434" customWidth="1"/>
    <col min="6553" max="6553" width="9.28515625" style="434" customWidth="1"/>
    <col min="6554" max="6555" width="7.7109375" style="434" customWidth="1"/>
    <col min="6556" max="6557" width="11.28515625" style="434" customWidth="1"/>
    <col min="6558" max="6558" width="15.7109375" style="434" customWidth="1"/>
    <col min="6559" max="6559" width="28.7109375" style="434" customWidth="1"/>
    <col min="6560" max="6560" width="40.7109375" style="434" customWidth="1"/>
    <col min="6561" max="6562" width="2.28515625" style="434"/>
    <col min="6563" max="6565" width="0" style="434" hidden="1" customWidth="1"/>
    <col min="6566" max="6804" width="2.28515625" style="434"/>
    <col min="6805" max="6806" width="2.28515625" style="434" customWidth="1"/>
    <col min="6807" max="6807" width="24.7109375" style="434" customWidth="1"/>
    <col min="6808" max="6808" width="33.7109375" style="434" customWidth="1"/>
    <col min="6809" max="6809" width="9.28515625" style="434" customWidth="1"/>
    <col min="6810" max="6811" width="7.7109375" style="434" customWidth="1"/>
    <col min="6812" max="6813" width="11.28515625" style="434" customWidth="1"/>
    <col min="6814" max="6814" width="15.7109375" style="434" customWidth="1"/>
    <col min="6815" max="6815" width="28.7109375" style="434" customWidth="1"/>
    <col min="6816" max="6816" width="40.7109375" style="434" customWidth="1"/>
    <col min="6817" max="6818" width="2.28515625" style="434"/>
    <col min="6819" max="6821" width="0" style="434" hidden="1" customWidth="1"/>
    <col min="6822" max="7060" width="2.28515625" style="434"/>
    <col min="7061" max="7062" width="2.28515625" style="434" customWidth="1"/>
    <col min="7063" max="7063" width="24.7109375" style="434" customWidth="1"/>
    <col min="7064" max="7064" width="33.7109375" style="434" customWidth="1"/>
    <col min="7065" max="7065" width="9.28515625" style="434" customWidth="1"/>
    <col min="7066" max="7067" width="7.7109375" style="434" customWidth="1"/>
    <col min="7068" max="7069" width="11.28515625" style="434" customWidth="1"/>
    <col min="7070" max="7070" width="15.7109375" style="434" customWidth="1"/>
    <col min="7071" max="7071" width="28.7109375" style="434" customWidth="1"/>
    <col min="7072" max="7072" width="40.7109375" style="434" customWidth="1"/>
    <col min="7073" max="7074" width="2.28515625" style="434"/>
    <col min="7075" max="7077" width="0" style="434" hidden="1" customWidth="1"/>
    <col min="7078" max="7316" width="2.28515625" style="434"/>
    <col min="7317" max="7318" width="2.28515625" style="434" customWidth="1"/>
    <col min="7319" max="7319" width="24.7109375" style="434" customWidth="1"/>
    <col min="7320" max="7320" width="33.7109375" style="434" customWidth="1"/>
    <col min="7321" max="7321" width="9.28515625" style="434" customWidth="1"/>
    <col min="7322" max="7323" width="7.7109375" style="434" customWidth="1"/>
    <col min="7324" max="7325" width="11.28515625" style="434" customWidth="1"/>
    <col min="7326" max="7326" width="15.7109375" style="434" customWidth="1"/>
    <col min="7327" max="7327" width="28.7109375" style="434" customWidth="1"/>
    <col min="7328" max="7328" width="40.7109375" style="434" customWidth="1"/>
    <col min="7329" max="7330" width="2.28515625" style="434"/>
    <col min="7331" max="7333" width="0" style="434" hidden="1" customWidth="1"/>
    <col min="7334" max="7572" width="2.28515625" style="434"/>
    <col min="7573" max="7574" width="2.28515625" style="434" customWidth="1"/>
    <col min="7575" max="7575" width="24.7109375" style="434" customWidth="1"/>
    <col min="7576" max="7576" width="33.7109375" style="434" customWidth="1"/>
    <col min="7577" max="7577" width="9.28515625" style="434" customWidth="1"/>
    <col min="7578" max="7579" width="7.7109375" style="434" customWidth="1"/>
    <col min="7580" max="7581" width="11.28515625" style="434" customWidth="1"/>
    <col min="7582" max="7582" width="15.7109375" style="434" customWidth="1"/>
    <col min="7583" max="7583" width="28.7109375" style="434" customWidth="1"/>
    <col min="7584" max="7584" width="40.7109375" style="434" customWidth="1"/>
    <col min="7585" max="7586" width="2.28515625" style="434"/>
    <col min="7587" max="7589" width="0" style="434" hidden="1" customWidth="1"/>
    <col min="7590" max="7828" width="2.28515625" style="434"/>
    <col min="7829" max="7830" width="2.28515625" style="434" customWidth="1"/>
    <col min="7831" max="7831" width="24.7109375" style="434" customWidth="1"/>
    <col min="7832" max="7832" width="33.7109375" style="434" customWidth="1"/>
    <col min="7833" max="7833" width="9.28515625" style="434" customWidth="1"/>
    <col min="7834" max="7835" width="7.7109375" style="434" customWidth="1"/>
    <col min="7836" max="7837" width="11.28515625" style="434" customWidth="1"/>
    <col min="7838" max="7838" width="15.7109375" style="434" customWidth="1"/>
    <col min="7839" max="7839" width="28.7109375" style="434" customWidth="1"/>
    <col min="7840" max="7840" width="40.7109375" style="434" customWidth="1"/>
    <col min="7841" max="7842" width="2.28515625" style="434"/>
    <col min="7843" max="7845" width="0" style="434" hidden="1" customWidth="1"/>
    <col min="7846" max="8084" width="2.28515625" style="434"/>
    <col min="8085" max="8086" width="2.28515625" style="434" customWidth="1"/>
    <col min="8087" max="8087" width="24.7109375" style="434" customWidth="1"/>
    <col min="8088" max="8088" width="33.7109375" style="434" customWidth="1"/>
    <col min="8089" max="8089" width="9.28515625" style="434" customWidth="1"/>
    <col min="8090" max="8091" width="7.7109375" style="434" customWidth="1"/>
    <col min="8092" max="8093" width="11.28515625" style="434" customWidth="1"/>
    <col min="8094" max="8094" width="15.7109375" style="434" customWidth="1"/>
    <col min="8095" max="8095" width="28.7109375" style="434" customWidth="1"/>
    <col min="8096" max="8096" width="40.7109375" style="434" customWidth="1"/>
    <col min="8097" max="8098" width="2.28515625" style="434"/>
    <col min="8099" max="8101" width="0" style="434" hidden="1" customWidth="1"/>
    <col min="8102" max="8340" width="2.28515625" style="434"/>
    <col min="8341" max="8342" width="2.28515625" style="434" customWidth="1"/>
    <col min="8343" max="8343" width="24.7109375" style="434" customWidth="1"/>
    <col min="8344" max="8344" width="33.7109375" style="434" customWidth="1"/>
    <col min="8345" max="8345" width="9.28515625" style="434" customWidth="1"/>
    <col min="8346" max="8347" width="7.7109375" style="434" customWidth="1"/>
    <col min="8348" max="8349" width="11.28515625" style="434" customWidth="1"/>
    <col min="8350" max="8350" width="15.7109375" style="434" customWidth="1"/>
    <col min="8351" max="8351" width="28.7109375" style="434" customWidth="1"/>
    <col min="8352" max="8352" width="40.7109375" style="434" customWidth="1"/>
    <col min="8353" max="8354" width="2.28515625" style="434"/>
    <col min="8355" max="8357" width="0" style="434" hidden="1" customWidth="1"/>
    <col min="8358" max="8596" width="2.28515625" style="434"/>
    <col min="8597" max="8598" width="2.28515625" style="434" customWidth="1"/>
    <col min="8599" max="8599" width="24.7109375" style="434" customWidth="1"/>
    <col min="8600" max="8600" width="33.7109375" style="434" customWidth="1"/>
    <col min="8601" max="8601" width="9.28515625" style="434" customWidth="1"/>
    <col min="8602" max="8603" width="7.7109375" style="434" customWidth="1"/>
    <col min="8604" max="8605" width="11.28515625" style="434" customWidth="1"/>
    <col min="8606" max="8606" width="15.7109375" style="434" customWidth="1"/>
    <col min="8607" max="8607" width="28.7109375" style="434" customWidth="1"/>
    <col min="8608" max="8608" width="40.7109375" style="434" customWidth="1"/>
    <col min="8609" max="8610" width="2.28515625" style="434"/>
    <col min="8611" max="8613" width="0" style="434" hidden="1" customWidth="1"/>
    <col min="8614" max="8852" width="2.28515625" style="434"/>
    <col min="8853" max="8854" width="2.28515625" style="434" customWidth="1"/>
    <col min="8855" max="8855" width="24.7109375" style="434" customWidth="1"/>
    <col min="8856" max="8856" width="33.7109375" style="434" customWidth="1"/>
    <col min="8857" max="8857" width="9.28515625" style="434" customWidth="1"/>
    <col min="8858" max="8859" width="7.7109375" style="434" customWidth="1"/>
    <col min="8860" max="8861" width="11.28515625" style="434" customWidth="1"/>
    <col min="8862" max="8862" width="15.7109375" style="434" customWidth="1"/>
    <col min="8863" max="8863" width="28.7109375" style="434" customWidth="1"/>
    <col min="8864" max="8864" width="40.7109375" style="434" customWidth="1"/>
    <col min="8865" max="8866" width="2.28515625" style="434"/>
    <col min="8867" max="8869" width="0" style="434" hidden="1" customWidth="1"/>
    <col min="8870" max="9108" width="2.28515625" style="434"/>
    <col min="9109" max="9110" width="2.28515625" style="434" customWidth="1"/>
    <col min="9111" max="9111" width="24.7109375" style="434" customWidth="1"/>
    <col min="9112" max="9112" width="33.7109375" style="434" customWidth="1"/>
    <col min="9113" max="9113" width="9.28515625" style="434" customWidth="1"/>
    <col min="9114" max="9115" width="7.7109375" style="434" customWidth="1"/>
    <col min="9116" max="9117" width="11.28515625" style="434" customWidth="1"/>
    <col min="9118" max="9118" width="15.7109375" style="434" customWidth="1"/>
    <col min="9119" max="9119" width="28.7109375" style="434" customWidth="1"/>
    <col min="9120" max="9120" width="40.7109375" style="434" customWidth="1"/>
    <col min="9121" max="9122" width="2.28515625" style="434"/>
    <col min="9123" max="9125" width="0" style="434" hidden="1" customWidth="1"/>
    <col min="9126" max="9364" width="2.28515625" style="434"/>
    <col min="9365" max="9366" width="2.28515625" style="434" customWidth="1"/>
    <col min="9367" max="9367" width="24.7109375" style="434" customWidth="1"/>
    <col min="9368" max="9368" width="33.7109375" style="434" customWidth="1"/>
    <col min="9369" max="9369" width="9.28515625" style="434" customWidth="1"/>
    <col min="9370" max="9371" width="7.7109375" style="434" customWidth="1"/>
    <col min="9372" max="9373" width="11.28515625" style="434" customWidth="1"/>
    <col min="9374" max="9374" width="15.7109375" style="434" customWidth="1"/>
    <col min="9375" max="9375" width="28.7109375" style="434" customWidth="1"/>
    <col min="9376" max="9376" width="40.7109375" style="434" customWidth="1"/>
    <col min="9377" max="9378" width="2.28515625" style="434"/>
    <col min="9379" max="9381" width="0" style="434" hidden="1" customWidth="1"/>
    <col min="9382" max="9620" width="2.28515625" style="434"/>
    <col min="9621" max="9622" width="2.28515625" style="434" customWidth="1"/>
    <col min="9623" max="9623" width="24.7109375" style="434" customWidth="1"/>
    <col min="9624" max="9624" width="33.7109375" style="434" customWidth="1"/>
    <col min="9625" max="9625" width="9.28515625" style="434" customWidth="1"/>
    <col min="9626" max="9627" width="7.7109375" style="434" customWidth="1"/>
    <col min="9628" max="9629" width="11.28515625" style="434" customWidth="1"/>
    <col min="9630" max="9630" width="15.7109375" style="434" customWidth="1"/>
    <col min="9631" max="9631" width="28.7109375" style="434" customWidth="1"/>
    <col min="9632" max="9632" width="40.7109375" style="434" customWidth="1"/>
    <col min="9633" max="9634" width="2.28515625" style="434"/>
    <col min="9635" max="9637" width="0" style="434" hidden="1" customWidth="1"/>
    <col min="9638" max="9876" width="2.28515625" style="434"/>
    <col min="9877" max="9878" width="2.28515625" style="434" customWidth="1"/>
    <col min="9879" max="9879" width="24.7109375" style="434" customWidth="1"/>
    <col min="9880" max="9880" width="33.7109375" style="434" customWidth="1"/>
    <col min="9881" max="9881" width="9.28515625" style="434" customWidth="1"/>
    <col min="9882" max="9883" width="7.7109375" style="434" customWidth="1"/>
    <col min="9884" max="9885" width="11.28515625" style="434" customWidth="1"/>
    <col min="9886" max="9886" width="15.7109375" style="434" customWidth="1"/>
    <col min="9887" max="9887" width="28.7109375" style="434" customWidth="1"/>
    <col min="9888" max="9888" width="40.7109375" style="434" customWidth="1"/>
    <col min="9889" max="9890" width="2.28515625" style="434"/>
    <col min="9891" max="9893" width="0" style="434" hidden="1" customWidth="1"/>
    <col min="9894" max="10132" width="2.28515625" style="434"/>
    <col min="10133" max="10134" width="2.28515625" style="434" customWidth="1"/>
    <col min="10135" max="10135" width="24.7109375" style="434" customWidth="1"/>
    <col min="10136" max="10136" width="33.7109375" style="434" customWidth="1"/>
    <col min="10137" max="10137" width="9.28515625" style="434" customWidth="1"/>
    <col min="10138" max="10139" width="7.7109375" style="434" customWidth="1"/>
    <col min="10140" max="10141" width="11.28515625" style="434" customWidth="1"/>
    <col min="10142" max="10142" width="15.7109375" style="434" customWidth="1"/>
    <col min="10143" max="10143" width="28.7109375" style="434" customWidth="1"/>
    <col min="10144" max="10144" width="40.7109375" style="434" customWidth="1"/>
    <col min="10145" max="10146" width="2.28515625" style="434"/>
    <col min="10147" max="10149" width="0" style="434" hidden="1" customWidth="1"/>
    <col min="10150" max="10388" width="2.28515625" style="434"/>
    <col min="10389" max="10390" width="2.28515625" style="434" customWidth="1"/>
    <col min="10391" max="10391" width="24.7109375" style="434" customWidth="1"/>
    <col min="10392" max="10392" width="33.7109375" style="434" customWidth="1"/>
    <col min="10393" max="10393" width="9.28515625" style="434" customWidth="1"/>
    <col min="10394" max="10395" width="7.7109375" style="434" customWidth="1"/>
    <col min="10396" max="10397" width="11.28515625" style="434" customWidth="1"/>
    <col min="10398" max="10398" width="15.7109375" style="434" customWidth="1"/>
    <col min="10399" max="10399" width="28.7109375" style="434" customWidth="1"/>
    <col min="10400" max="10400" width="40.7109375" style="434" customWidth="1"/>
    <col min="10401" max="10402" width="2.28515625" style="434"/>
    <col min="10403" max="10405" width="0" style="434" hidden="1" customWidth="1"/>
    <col min="10406" max="10644" width="2.28515625" style="434"/>
    <col min="10645" max="10646" width="2.28515625" style="434" customWidth="1"/>
    <col min="10647" max="10647" width="24.7109375" style="434" customWidth="1"/>
    <col min="10648" max="10648" width="33.7109375" style="434" customWidth="1"/>
    <col min="10649" max="10649" width="9.28515625" style="434" customWidth="1"/>
    <col min="10650" max="10651" width="7.7109375" style="434" customWidth="1"/>
    <col min="10652" max="10653" width="11.28515625" style="434" customWidth="1"/>
    <col min="10654" max="10654" width="15.7109375" style="434" customWidth="1"/>
    <col min="10655" max="10655" width="28.7109375" style="434" customWidth="1"/>
    <col min="10656" max="10656" width="40.7109375" style="434" customWidth="1"/>
    <col min="10657" max="10658" width="2.28515625" style="434"/>
    <col min="10659" max="10661" width="0" style="434" hidden="1" customWidth="1"/>
    <col min="10662" max="10900" width="2.28515625" style="434"/>
    <col min="10901" max="10902" width="2.28515625" style="434" customWidth="1"/>
    <col min="10903" max="10903" width="24.7109375" style="434" customWidth="1"/>
    <col min="10904" max="10904" width="33.7109375" style="434" customWidth="1"/>
    <col min="10905" max="10905" width="9.28515625" style="434" customWidth="1"/>
    <col min="10906" max="10907" width="7.7109375" style="434" customWidth="1"/>
    <col min="10908" max="10909" width="11.28515625" style="434" customWidth="1"/>
    <col min="10910" max="10910" width="15.7109375" style="434" customWidth="1"/>
    <col min="10911" max="10911" width="28.7109375" style="434" customWidth="1"/>
    <col min="10912" max="10912" width="40.7109375" style="434" customWidth="1"/>
    <col min="10913" max="10914" width="2.28515625" style="434"/>
    <col min="10915" max="10917" width="0" style="434" hidden="1" customWidth="1"/>
    <col min="10918" max="11156" width="2.28515625" style="434"/>
    <col min="11157" max="11158" width="2.28515625" style="434" customWidth="1"/>
    <col min="11159" max="11159" width="24.7109375" style="434" customWidth="1"/>
    <col min="11160" max="11160" width="33.7109375" style="434" customWidth="1"/>
    <col min="11161" max="11161" width="9.28515625" style="434" customWidth="1"/>
    <col min="11162" max="11163" width="7.7109375" style="434" customWidth="1"/>
    <col min="11164" max="11165" width="11.28515625" style="434" customWidth="1"/>
    <col min="11166" max="11166" width="15.7109375" style="434" customWidth="1"/>
    <col min="11167" max="11167" width="28.7109375" style="434" customWidth="1"/>
    <col min="11168" max="11168" width="40.7109375" style="434" customWidth="1"/>
    <col min="11169" max="11170" width="2.28515625" style="434"/>
    <col min="11171" max="11173" width="0" style="434" hidden="1" customWidth="1"/>
    <col min="11174" max="11412" width="2.28515625" style="434"/>
    <col min="11413" max="11414" width="2.28515625" style="434" customWidth="1"/>
    <col min="11415" max="11415" width="24.7109375" style="434" customWidth="1"/>
    <col min="11416" max="11416" width="33.7109375" style="434" customWidth="1"/>
    <col min="11417" max="11417" width="9.28515625" style="434" customWidth="1"/>
    <col min="11418" max="11419" width="7.7109375" style="434" customWidth="1"/>
    <col min="11420" max="11421" width="11.28515625" style="434" customWidth="1"/>
    <col min="11422" max="11422" width="15.7109375" style="434" customWidth="1"/>
    <col min="11423" max="11423" width="28.7109375" style="434" customWidth="1"/>
    <col min="11424" max="11424" width="40.7109375" style="434" customWidth="1"/>
    <col min="11425" max="11426" width="2.28515625" style="434"/>
    <col min="11427" max="11429" width="0" style="434" hidden="1" customWidth="1"/>
    <col min="11430" max="11668" width="2.28515625" style="434"/>
    <col min="11669" max="11670" width="2.28515625" style="434" customWidth="1"/>
    <col min="11671" max="11671" width="24.7109375" style="434" customWidth="1"/>
    <col min="11672" max="11672" width="33.7109375" style="434" customWidth="1"/>
    <col min="11673" max="11673" width="9.28515625" style="434" customWidth="1"/>
    <col min="11674" max="11675" width="7.7109375" style="434" customWidth="1"/>
    <col min="11676" max="11677" width="11.28515625" style="434" customWidth="1"/>
    <col min="11678" max="11678" width="15.7109375" style="434" customWidth="1"/>
    <col min="11679" max="11679" width="28.7109375" style="434" customWidth="1"/>
    <col min="11680" max="11680" width="40.7109375" style="434" customWidth="1"/>
    <col min="11681" max="11682" width="2.28515625" style="434"/>
    <col min="11683" max="11685" width="0" style="434" hidden="1" customWidth="1"/>
    <col min="11686" max="11924" width="2.28515625" style="434"/>
    <col min="11925" max="11926" width="2.28515625" style="434" customWidth="1"/>
    <col min="11927" max="11927" width="24.7109375" style="434" customWidth="1"/>
    <col min="11928" max="11928" width="33.7109375" style="434" customWidth="1"/>
    <col min="11929" max="11929" width="9.28515625" style="434" customWidth="1"/>
    <col min="11930" max="11931" width="7.7109375" style="434" customWidth="1"/>
    <col min="11932" max="11933" width="11.28515625" style="434" customWidth="1"/>
    <col min="11934" max="11934" width="15.7109375" style="434" customWidth="1"/>
    <col min="11935" max="11935" width="28.7109375" style="434" customWidth="1"/>
    <col min="11936" max="11936" width="40.7109375" style="434" customWidth="1"/>
    <col min="11937" max="11938" width="2.28515625" style="434"/>
    <col min="11939" max="11941" width="0" style="434" hidden="1" customWidth="1"/>
    <col min="11942" max="12180" width="2.28515625" style="434"/>
    <col min="12181" max="12182" width="2.28515625" style="434" customWidth="1"/>
    <col min="12183" max="12183" width="24.7109375" style="434" customWidth="1"/>
    <col min="12184" max="12184" width="33.7109375" style="434" customWidth="1"/>
    <col min="12185" max="12185" width="9.28515625" style="434" customWidth="1"/>
    <col min="12186" max="12187" width="7.7109375" style="434" customWidth="1"/>
    <col min="12188" max="12189" width="11.28515625" style="434" customWidth="1"/>
    <col min="12190" max="12190" width="15.7109375" style="434" customWidth="1"/>
    <col min="12191" max="12191" width="28.7109375" style="434" customWidth="1"/>
    <col min="12192" max="12192" width="40.7109375" style="434" customWidth="1"/>
    <col min="12193" max="12194" width="2.28515625" style="434"/>
    <col min="12195" max="12197" width="0" style="434" hidden="1" customWidth="1"/>
    <col min="12198" max="12436" width="2.28515625" style="434"/>
    <col min="12437" max="12438" width="2.28515625" style="434" customWidth="1"/>
    <col min="12439" max="12439" width="24.7109375" style="434" customWidth="1"/>
    <col min="12440" max="12440" width="33.7109375" style="434" customWidth="1"/>
    <col min="12441" max="12441" width="9.28515625" style="434" customWidth="1"/>
    <col min="12442" max="12443" width="7.7109375" style="434" customWidth="1"/>
    <col min="12444" max="12445" width="11.28515625" style="434" customWidth="1"/>
    <col min="12446" max="12446" width="15.7109375" style="434" customWidth="1"/>
    <col min="12447" max="12447" width="28.7109375" style="434" customWidth="1"/>
    <col min="12448" max="12448" width="40.7109375" style="434" customWidth="1"/>
    <col min="12449" max="12450" width="2.28515625" style="434"/>
    <col min="12451" max="12453" width="0" style="434" hidden="1" customWidth="1"/>
    <col min="12454" max="12692" width="2.28515625" style="434"/>
    <col min="12693" max="12694" width="2.28515625" style="434" customWidth="1"/>
    <col min="12695" max="12695" width="24.7109375" style="434" customWidth="1"/>
    <col min="12696" max="12696" width="33.7109375" style="434" customWidth="1"/>
    <col min="12697" max="12697" width="9.28515625" style="434" customWidth="1"/>
    <col min="12698" max="12699" width="7.7109375" style="434" customWidth="1"/>
    <col min="12700" max="12701" width="11.28515625" style="434" customWidth="1"/>
    <col min="12702" max="12702" width="15.7109375" style="434" customWidth="1"/>
    <col min="12703" max="12703" width="28.7109375" style="434" customWidth="1"/>
    <col min="12704" max="12704" width="40.7109375" style="434" customWidth="1"/>
    <col min="12705" max="12706" width="2.28515625" style="434"/>
    <col min="12707" max="12709" width="0" style="434" hidden="1" customWidth="1"/>
    <col min="12710" max="12948" width="2.28515625" style="434"/>
    <col min="12949" max="12950" width="2.28515625" style="434" customWidth="1"/>
    <col min="12951" max="12951" width="24.7109375" style="434" customWidth="1"/>
    <col min="12952" max="12952" width="33.7109375" style="434" customWidth="1"/>
    <col min="12953" max="12953" width="9.28515625" style="434" customWidth="1"/>
    <col min="12954" max="12955" width="7.7109375" style="434" customWidth="1"/>
    <col min="12956" max="12957" width="11.28515625" style="434" customWidth="1"/>
    <col min="12958" max="12958" width="15.7109375" style="434" customWidth="1"/>
    <col min="12959" max="12959" width="28.7109375" style="434" customWidth="1"/>
    <col min="12960" max="12960" width="40.7109375" style="434" customWidth="1"/>
    <col min="12961" max="12962" width="2.28515625" style="434"/>
    <col min="12963" max="12965" width="0" style="434" hidden="1" customWidth="1"/>
    <col min="12966" max="13204" width="2.28515625" style="434"/>
    <col min="13205" max="13206" width="2.28515625" style="434" customWidth="1"/>
    <col min="13207" max="13207" width="24.7109375" style="434" customWidth="1"/>
    <col min="13208" max="13208" width="33.7109375" style="434" customWidth="1"/>
    <col min="13209" max="13209" width="9.28515625" style="434" customWidth="1"/>
    <col min="13210" max="13211" width="7.7109375" style="434" customWidth="1"/>
    <col min="13212" max="13213" width="11.28515625" style="434" customWidth="1"/>
    <col min="13214" max="13214" width="15.7109375" style="434" customWidth="1"/>
    <col min="13215" max="13215" width="28.7109375" style="434" customWidth="1"/>
    <col min="13216" max="13216" width="40.7109375" style="434" customWidth="1"/>
    <col min="13217" max="13218" width="2.28515625" style="434"/>
    <col min="13219" max="13221" width="0" style="434" hidden="1" customWidth="1"/>
    <col min="13222" max="13460" width="2.28515625" style="434"/>
    <col min="13461" max="13462" width="2.28515625" style="434" customWidth="1"/>
    <col min="13463" max="13463" width="24.7109375" style="434" customWidth="1"/>
    <col min="13464" max="13464" width="33.7109375" style="434" customWidth="1"/>
    <col min="13465" max="13465" width="9.28515625" style="434" customWidth="1"/>
    <col min="13466" max="13467" width="7.7109375" style="434" customWidth="1"/>
    <col min="13468" max="13469" width="11.28515625" style="434" customWidth="1"/>
    <col min="13470" max="13470" width="15.7109375" style="434" customWidth="1"/>
    <col min="13471" max="13471" width="28.7109375" style="434" customWidth="1"/>
    <col min="13472" max="13472" width="40.7109375" style="434" customWidth="1"/>
    <col min="13473" max="13474" width="2.28515625" style="434"/>
    <col min="13475" max="13477" width="0" style="434" hidden="1" customWidth="1"/>
    <col min="13478" max="13716" width="2.28515625" style="434"/>
    <col min="13717" max="13718" width="2.28515625" style="434" customWidth="1"/>
    <col min="13719" max="13719" width="24.7109375" style="434" customWidth="1"/>
    <col min="13720" max="13720" width="33.7109375" style="434" customWidth="1"/>
    <col min="13721" max="13721" width="9.28515625" style="434" customWidth="1"/>
    <col min="13722" max="13723" width="7.7109375" style="434" customWidth="1"/>
    <col min="13724" max="13725" width="11.28515625" style="434" customWidth="1"/>
    <col min="13726" max="13726" width="15.7109375" style="434" customWidth="1"/>
    <col min="13727" max="13727" width="28.7109375" style="434" customWidth="1"/>
    <col min="13728" max="13728" width="40.7109375" style="434" customWidth="1"/>
    <col min="13729" max="13730" width="2.28515625" style="434"/>
    <col min="13731" max="13733" width="0" style="434" hidden="1" customWidth="1"/>
    <col min="13734" max="13972" width="2.28515625" style="434"/>
    <col min="13973" max="13974" width="2.28515625" style="434" customWidth="1"/>
    <col min="13975" max="13975" width="24.7109375" style="434" customWidth="1"/>
    <col min="13976" max="13976" width="33.7109375" style="434" customWidth="1"/>
    <col min="13977" max="13977" width="9.28515625" style="434" customWidth="1"/>
    <col min="13978" max="13979" width="7.7109375" style="434" customWidth="1"/>
    <col min="13980" max="13981" width="11.28515625" style="434" customWidth="1"/>
    <col min="13982" max="13982" width="15.7109375" style="434" customWidth="1"/>
    <col min="13983" max="13983" width="28.7109375" style="434" customWidth="1"/>
    <col min="13984" max="13984" width="40.7109375" style="434" customWidth="1"/>
    <col min="13985" max="13986" width="2.28515625" style="434"/>
    <col min="13987" max="13989" width="0" style="434" hidden="1" customWidth="1"/>
    <col min="13990" max="14228" width="2.28515625" style="434"/>
    <col min="14229" max="14230" width="2.28515625" style="434" customWidth="1"/>
    <col min="14231" max="14231" width="24.7109375" style="434" customWidth="1"/>
    <col min="14232" max="14232" width="33.7109375" style="434" customWidth="1"/>
    <col min="14233" max="14233" width="9.28515625" style="434" customWidth="1"/>
    <col min="14234" max="14235" width="7.7109375" style="434" customWidth="1"/>
    <col min="14236" max="14237" width="11.28515625" style="434" customWidth="1"/>
    <col min="14238" max="14238" width="15.7109375" style="434" customWidth="1"/>
    <col min="14239" max="14239" width="28.7109375" style="434" customWidth="1"/>
    <col min="14240" max="14240" width="40.7109375" style="434" customWidth="1"/>
    <col min="14241" max="14242" width="2.28515625" style="434"/>
    <col min="14243" max="14245" width="0" style="434" hidden="1" customWidth="1"/>
    <col min="14246" max="14484" width="2.28515625" style="434"/>
    <col min="14485" max="14486" width="2.28515625" style="434" customWidth="1"/>
    <col min="14487" max="14487" width="24.7109375" style="434" customWidth="1"/>
    <col min="14488" max="14488" width="33.7109375" style="434" customWidth="1"/>
    <col min="14489" max="14489" width="9.28515625" style="434" customWidth="1"/>
    <col min="14490" max="14491" width="7.7109375" style="434" customWidth="1"/>
    <col min="14492" max="14493" width="11.28515625" style="434" customWidth="1"/>
    <col min="14494" max="14494" width="15.7109375" style="434" customWidth="1"/>
    <col min="14495" max="14495" width="28.7109375" style="434" customWidth="1"/>
    <col min="14496" max="14496" width="40.7109375" style="434" customWidth="1"/>
    <col min="14497" max="14498" width="2.28515625" style="434"/>
    <col min="14499" max="14501" width="0" style="434" hidden="1" customWidth="1"/>
    <col min="14502" max="14740" width="2.28515625" style="434"/>
    <col min="14741" max="14742" width="2.28515625" style="434" customWidth="1"/>
    <col min="14743" max="14743" width="24.7109375" style="434" customWidth="1"/>
    <col min="14744" max="14744" width="33.7109375" style="434" customWidth="1"/>
    <col min="14745" max="14745" width="9.28515625" style="434" customWidth="1"/>
    <col min="14746" max="14747" width="7.7109375" style="434" customWidth="1"/>
    <col min="14748" max="14749" width="11.28515625" style="434" customWidth="1"/>
    <col min="14750" max="14750" width="15.7109375" style="434" customWidth="1"/>
    <col min="14751" max="14751" width="28.7109375" style="434" customWidth="1"/>
    <col min="14752" max="14752" width="40.7109375" style="434" customWidth="1"/>
    <col min="14753" max="14754" width="2.28515625" style="434"/>
    <col min="14755" max="14757" width="0" style="434" hidden="1" customWidth="1"/>
    <col min="14758" max="14996" width="2.28515625" style="434"/>
    <col min="14997" max="14998" width="2.28515625" style="434" customWidth="1"/>
    <col min="14999" max="14999" width="24.7109375" style="434" customWidth="1"/>
    <col min="15000" max="15000" width="33.7109375" style="434" customWidth="1"/>
    <col min="15001" max="15001" width="9.28515625" style="434" customWidth="1"/>
    <col min="15002" max="15003" width="7.7109375" style="434" customWidth="1"/>
    <col min="15004" max="15005" width="11.28515625" style="434" customWidth="1"/>
    <col min="15006" max="15006" width="15.7109375" style="434" customWidth="1"/>
    <col min="15007" max="15007" width="28.7109375" style="434" customWidth="1"/>
    <col min="15008" max="15008" width="40.7109375" style="434" customWidth="1"/>
    <col min="15009" max="15010" width="2.28515625" style="434"/>
    <col min="15011" max="15013" width="0" style="434" hidden="1" customWidth="1"/>
    <col min="15014" max="15252" width="2.28515625" style="434"/>
    <col min="15253" max="15254" width="2.28515625" style="434" customWidth="1"/>
    <col min="15255" max="15255" width="24.7109375" style="434" customWidth="1"/>
    <col min="15256" max="15256" width="33.7109375" style="434" customWidth="1"/>
    <col min="15257" max="15257" width="9.28515625" style="434" customWidth="1"/>
    <col min="15258" max="15259" width="7.7109375" style="434" customWidth="1"/>
    <col min="15260" max="15261" width="11.28515625" style="434" customWidth="1"/>
    <col min="15262" max="15262" width="15.7109375" style="434" customWidth="1"/>
    <col min="15263" max="15263" width="28.7109375" style="434" customWidth="1"/>
    <col min="15264" max="15264" width="40.7109375" style="434" customWidth="1"/>
    <col min="15265" max="15266" width="2.28515625" style="434"/>
    <col min="15267" max="15269" width="0" style="434" hidden="1" customWidth="1"/>
    <col min="15270" max="15508" width="2.28515625" style="434"/>
    <col min="15509" max="15510" width="2.28515625" style="434" customWidth="1"/>
    <col min="15511" max="15511" width="24.7109375" style="434" customWidth="1"/>
    <col min="15512" max="15512" width="33.7109375" style="434" customWidth="1"/>
    <col min="15513" max="15513" width="9.28515625" style="434" customWidth="1"/>
    <col min="15514" max="15515" width="7.7109375" style="434" customWidth="1"/>
    <col min="15516" max="15517" width="11.28515625" style="434" customWidth="1"/>
    <col min="15518" max="15518" width="15.7109375" style="434" customWidth="1"/>
    <col min="15519" max="15519" width="28.7109375" style="434" customWidth="1"/>
    <col min="15520" max="15520" width="40.7109375" style="434" customWidth="1"/>
    <col min="15521" max="15522" width="2.28515625" style="434"/>
    <col min="15523" max="15525" width="0" style="434" hidden="1" customWidth="1"/>
    <col min="15526" max="15764" width="2.28515625" style="434"/>
    <col min="15765" max="15766" width="2.28515625" style="434" customWidth="1"/>
    <col min="15767" max="15767" width="24.7109375" style="434" customWidth="1"/>
    <col min="15768" max="15768" width="33.7109375" style="434" customWidth="1"/>
    <col min="15769" max="15769" width="9.28515625" style="434" customWidth="1"/>
    <col min="15770" max="15771" width="7.7109375" style="434" customWidth="1"/>
    <col min="15772" max="15773" width="11.28515625" style="434" customWidth="1"/>
    <col min="15774" max="15774" width="15.7109375" style="434" customWidth="1"/>
    <col min="15775" max="15775" width="28.7109375" style="434" customWidth="1"/>
    <col min="15776" max="15776" width="40.7109375" style="434" customWidth="1"/>
    <col min="15777" max="15778" width="2.28515625" style="434"/>
    <col min="15779" max="15781" width="0" style="434" hidden="1" customWidth="1"/>
    <col min="15782" max="16020" width="2.28515625" style="434"/>
    <col min="16021" max="16022" width="2.28515625" style="434" customWidth="1"/>
    <col min="16023" max="16023" width="24.7109375" style="434" customWidth="1"/>
    <col min="16024" max="16024" width="33.7109375" style="434" customWidth="1"/>
    <col min="16025" max="16025" width="9.28515625" style="434" customWidth="1"/>
    <col min="16026" max="16027" width="7.7109375" style="434" customWidth="1"/>
    <col min="16028" max="16029" width="11.28515625" style="434" customWidth="1"/>
    <col min="16030" max="16030" width="15.7109375" style="434" customWidth="1"/>
    <col min="16031" max="16031" width="28.7109375" style="434" customWidth="1"/>
    <col min="16032" max="16032" width="40.7109375" style="434" customWidth="1"/>
    <col min="16033" max="16034" width="2.28515625" style="434"/>
    <col min="16035" max="16037" width="0" style="434" hidden="1" customWidth="1"/>
    <col min="16038" max="16384" width="2.28515625" style="434"/>
  </cols>
  <sheetData>
    <row r="1" spans="1:15" ht="15" customHeight="1">
      <c r="A1" s="639"/>
      <c r="B1" s="433" t="s">
        <v>0</v>
      </c>
      <c r="G1" s="640" t="s">
        <v>1483</v>
      </c>
      <c r="H1" s="733">
        <v>1</v>
      </c>
      <c r="I1" s="639"/>
    </row>
    <row r="2" spans="1:15" ht="18" customHeight="1">
      <c r="A2" s="642"/>
      <c r="B2" s="286" t="s">
        <v>256</v>
      </c>
      <c r="C2" s="476" t="s">
        <v>57</v>
      </c>
      <c r="D2" s="476"/>
      <c r="E2" s="476"/>
      <c r="F2" s="476"/>
      <c r="G2" s="476"/>
      <c r="H2" s="643">
        <v>1</v>
      </c>
      <c r="I2" s="639"/>
    </row>
    <row r="3" spans="1:15" ht="18" customHeight="1">
      <c r="A3" s="642"/>
      <c r="B3" s="644">
        <f>G122</f>
        <v>0</v>
      </c>
      <c r="C3" s="556" t="s">
        <v>1484</v>
      </c>
      <c r="H3" s="643">
        <v>1</v>
      </c>
      <c r="I3" s="645"/>
    </row>
    <row r="4" spans="1:15" ht="18">
      <c r="A4" s="642"/>
      <c r="B4" s="642"/>
      <c r="E4" s="646"/>
      <c r="F4" s="647"/>
      <c r="G4" s="648"/>
      <c r="H4" s="643">
        <v>1</v>
      </c>
      <c r="I4" s="649"/>
    </row>
    <row r="5" spans="1:15" ht="45.75" customHeight="1">
      <c r="A5" s="642"/>
      <c r="B5" s="642"/>
      <c r="G5" s="405"/>
      <c r="H5" s="643">
        <v>1</v>
      </c>
      <c r="I5" s="649"/>
    </row>
    <row r="6" spans="1:15" s="658" customFormat="1" ht="19.899999999999999" customHeight="1">
      <c r="A6" s="465"/>
      <c r="B6" s="650" t="s">
        <v>178</v>
      </c>
      <c r="C6" s="651"/>
      <c r="D6" s="652" t="s">
        <v>1485</v>
      </c>
      <c r="E6" s="652" t="s">
        <v>2</v>
      </c>
      <c r="F6" s="653" t="s">
        <v>1486</v>
      </c>
      <c r="G6" s="654" t="s">
        <v>32</v>
      </c>
      <c r="H6" s="655">
        <v>1</v>
      </c>
      <c r="I6" s="656"/>
      <c r="J6" s="657"/>
      <c r="K6" s="657"/>
      <c r="L6" s="657"/>
      <c r="M6" s="657"/>
      <c r="N6" s="657"/>
    </row>
    <row r="7" spans="1:15" ht="8.65" customHeight="1">
      <c r="A7" s="642"/>
      <c r="G7" s="405"/>
      <c r="H7" s="643">
        <v>1</v>
      </c>
      <c r="I7" s="649"/>
    </row>
    <row r="8" spans="1:15" s="658" customFormat="1" ht="19.899999999999999" customHeight="1">
      <c r="A8" s="465"/>
      <c r="B8" s="659" t="str">
        <f>ELIGIBLE_MINING_ACTIVITIES</f>
        <v>1. Eligible Mining Activities</v>
      </c>
      <c r="C8" s="660"/>
      <c r="D8" s="660"/>
      <c r="E8" s="660"/>
      <c r="F8" s="660"/>
      <c r="G8" s="660"/>
      <c r="H8" s="655">
        <v>1</v>
      </c>
      <c r="J8" s="657"/>
      <c r="K8" s="657"/>
      <c r="L8" s="657"/>
      <c r="M8" s="657"/>
      <c r="N8" s="657"/>
    </row>
    <row r="9" spans="1:15" s="658" customFormat="1" ht="19.899999999999999" customHeight="1">
      <c r="A9" s="465"/>
      <c r="B9" s="661" t="s">
        <v>75</v>
      </c>
      <c r="C9" s="662"/>
      <c r="D9" s="663">
        <f>'1. Eligible Mining Activities'!F57</f>
        <v>0</v>
      </c>
      <c r="E9" s="664" t="s">
        <v>1487</v>
      </c>
      <c r="F9" s="665">
        <f>'1. Eligible Mining Activities'!L57</f>
        <v>0</v>
      </c>
      <c r="G9" s="666">
        <f>'1. Eligible Mining Activities'!K57</f>
        <v>0</v>
      </c>
      <c r="H9" s="655">
        <f>IF(G9&gt;0,1,0)</f>
        <v>0</v>
      </c>
      <c r="I9" s="656"/>
      <c r="J9" s="657"/>
      <c r="K9" s="657"/>
      <c r="L9" s="657"/>
      <c r="M9" s="657"/>
      <c r="N9" s="657"/>
      <c r="O9" s="667"/>
    </row>
    <row r="10" spans="1:15" s="658" customFormat="1" ht="19.899999999999999" customHeight="1">
      <c r="A10" s="465"/>
      <c r="B10" s="668"/>
      <c r="C10" s="668"/>
      <c r="D10" s="668"/>
      <c r="E10" s="668"/>
      <c r="F10" s="669"/>
      <c r="G10" s="670">
        <f>'1. Eligible Mining Activities'!B3</f>
        <v>0</v>
      </c>
      <c r="H10" s="655">
        <v>1</v>
      </c>
      <c r="I10" s="656"/>
      <c r="J10" s="657"/>
      <c r="K10" s="657"/>
      <c r="L10" s="657"/>
      <c r="M10" s="657"/>
      <c r="N10" s="657"/>
    </row>
    <row r="11" spans="1:15" s="658" customFormat="1" ht="19.899999999999999" customHeight="1">
      <c r="A11" s="465"/>
      <c r="B11" s="671" t="str">
        <f>_2._EXPLORATION</f>
        <v>2. Exploration</v>
      </c>
      <c r="C11" s="672"/>
      <c r="D11" s="672"/>
      <c r="E11" s="672"/>
      <c r="F11" s="672"/>
      <c r="G11" s="672"/>
      <c r="H11" s="673">
        <v>1</v>
      </c>
      <c r="I11" s="656"/>
      <c r="J11" s="657"/>
      <c r="K11" s="657"/>
      <c r="L11" s="657"/>
      <c r="M11" s="657"/>
      <c r="N11" s="657"/>
    </row>
    <row r="12" spans="1:15" s="658" customFormat="1" ht="19.899999999999999" customHeight="1">
      <c r="A12" s="465"/>
      <c r="B12" s="674" t="str">
        <f>'2. Exploration'!C7</f>
        <v>Seismic, Grid-Lines, Minor Tracks (by length)</v>
      </c>
      <c r="C12" s="675"/>
      <c r="D12" s="676">
        <f>'2. Exploration'!G16</f>
        <v>0</v>
      </c>
      <c r="E12" s="664" t="str">
        <f>'2. Exploration'!H10</f>
        <v>km</v>
      </c>
      <c r="F12" s="665">
        <f>'2. Exploration'!M16</f>
        <v>0</v>
      </c>
      <c r="G12" s="666">
        <f>'2. Exploration'!L16</f>
        <v>0</v>
      </c>
      <c r="H12" s="673">
        <f>IF(G12&gt;0,1,0)</f>
        <v>0</v>
      </c>
      <c r="I12" s="656"/>
      <c r="J12" s="657"/>
      <c r="K12" s="657"/>
      <c r="L12" s="657"/>
      <c r="M12" s="657"/>
      <c r="N12" s="657"/>
    </row>
    <row r="13" spans="1:15" s="658" customFormat="1" ht="19.899999999999999" customHeight="1">
      <c r="A13" s="465"/>
      <c r="B13" s="674" t="str">
        <f>'2. Exploration'!C18</f>
        <v>Seismic, Grid-Lines, Minor Tracks (by area)</v>
      </c>
      <c r="C13" s="675"/>
      <c r="D13" s="676">
        <f>'2. Exploration'!G27</f>
        <v>0</v>
      </c>
      <c r="E13" s="664" t="str">
        <f>'2. Exploration'!H21</f>
        <v>ha</v>
      </c>
      <c r="F13" s="665">
        <f>'2. Exploration'!M27</f>
        <v>0</v>
      </c>
      <c r="G13" s="666">
        <f>'2. Exploration'!L27</f>
        <v>0</v>
      </c>
      <c r="H13" s="673">
        <f t="shared" ref="H13:H18" si="0">IF(G13&gt;0,1,0)</f>
        <v>0</v>
      </c>
      <c r="I13" s="656"/>
      <c r="J13" s="657"/>
      <c r="K13" s="657"/>
      <c r="L13" s="657"/>
      <c r="M13" s="657"/>
      <c r="N13" s="657"/>
    </row>
    <row r="14" spans="1:15" s="658" customFormat="1" ht="19.899999999999999" customHeight="1">
      <c r="A14" s="465"/>
      <c r="B14" s="674" t="str">
        <f>'2. Exploration'!C29</f>
        <v>Tracks and Roads (by length)</v>
      </c>
      <c r="C14" s="675"/>
      <c r="D14" s="676">
        <f>'2. Exploration'!D43</f>
        <v>0</v>
      </c>
      <c r="E14" s="664" t="s">
        <v>24</v>
      </c>
      <c r="F14" s="665">
        <f>'2. Exploration'!J43</f>
        <v>0</v>
      </c>
      <c r="G14" s="666">
        <f>'2. Exploration'!I43</f>
        <v>0</v>
      </c>
      <c r="H14" s="673">
        <f t="shared" si="0"/>
        <v>0</v>
      </c>
      <c r="I14" s="656"/>
      <c r="J14" s="657"/>
      <c r="K14" s="657"/>
      <c r="L14" s="657"/>
      <c r="M14" s="657"/>
      <c r="N14" s="657"/>
    </row>
    <row r="15" spans="1:15" s="658" customFormat="1" ht="19.899999999999999" customHeight="1">
      <c r="A15" s="465"/>
      <c r="B15" s="674" t="str">
        <f>'2. Exploration'!C45</f>
        <v>Tracks and Roads (by area)</v>
      </c>
      <c r="C15" s="675"/>
      <c r="D15" s="676">
        <f>'2. Exploration'!D56</f>
        <v>0</v>
      </c>
      <c r="E15" s="664" t="str">
        <f>'2. Exploration'!E48</f>
        <v>ha</v>
      </c>
      <c r="F15" s="665">
        <f>'2. Exploration'!J56</f>
        <v>0</v>
      </c>
      <c r="G15" s="666">
        <f>'2. Exploration'!I56</f>
        <v>0</v>
      </c>
      <c r="H15" s="673">
        <f t="shared" si="0"/>
        <v>0</v>
      </c>
      <c r="I15" s="656"/>
      <c r="J15" s="657"/>
      <c r="K15" s="657"/>
      <c r="L15" s="657"/>
      <c r="M15" s="657"/>
      <c r="N15" s="657"/>
    </row>
    <row r="16" spans="1:15" s="658" customFormat="1" ht="19.899999999999999" customHeight="1">
      <c r="A16" s="465"/>
      <c r="B16" s="674" t="str">
        <f>'2. Exploration'!C58</f>
        <v>Drillholes and sumps</v>
      </c>
      <c r="C16" s="675"/>
      <c r="D16" s="677">
        <f>'2. Exploration'!D77</f>
        <v>0</v>
      </c>
      <c r="E16" s="664" t="s">
        <v>1487</v>
      </c>
      <c r="F16" s="665">
        <f>'2. Exploration'!J77</f>
        <v>0</v>
      </c>
      <c r="G16" s="666">
        <f>'2. Exploration'!I77</f>
        <v>0</v>
      </c>
      <c r="H16" s="673">
        <f t="shared" si="0"/>
        <v>0</v>
      </c>
      <c r="I16" s="656"/>
      <c r="J16" s="657"/>
      <c r="K16" s="657"/>
      <c r="L16" s="657"/>
      <c r="M16" s="657"/>
      <c r="N16" s="657"/>
    </row>
    <row r="17" spans="1:14" s="658" customFormat="1" ht="19.899999999999999" customHeight="1">
      <c r="A17" s="465"/>
      <c r="B17" s="674" t="str">
        <f>'2. Exploration'!C79</f>
        <v>Water Structures by area</v>
      </c>
      <c r="C17" s="675"/>
      <c r="D17" s="677">
        <f>'2. Exploration'!D101</f>
        <v>0</v>
      </c>
      <c r="E17" s="664" t="s">
        <v>1487</v>
      </c>
      <c r="F17" s="665">
        <f>'2. Exploration'!J101</f>
        <v>0</v>
      </c>
      <c r="G17" s="666">
        <f>'2. Exploration'!I101</f>
        <v>0</v>
      </c>
      <c r="H17" s="673">
        <f t="shared" si="0"/>
        <v>0</v>
      </c>
      <c r="I17" s="656"/>
      <c r="J17" s="657"/>
      <c r="K17" s="657"/>
      <c r="L17" s="657"/>
      <c r="M17" s="657"/>
      <c r="N17" s="657"/>
    </row>
    <row r="18" spans="1:14" s="658" customFormat="1" ht="19.899999999999999" customHeight="1">
      <c r="A18" s="465"/>
      <c r="B18" s="661" t="str">
        <f>'2. Exploration'!C104</f>
        <v>Camps and Water Treatment Plants (Disturbance)</v>
      </c>
      <c r="C18" s="662"/>
      <c r="D18" s="678">
        <f>'2. Exploration'!E117</f>
        <v>0</v>
      </c>
      <c r="E18" s="679" t="str">
        <f>'2. Exploration'!F107</f>
        <v>ha</v>
      </c>
      <c r="F18" s="680">
        <f>'2. Exploration'!K117</f>
        <v>0</v>
      </c>
      <c r="G18" s="666">
        <f>'2. Exploration'!J117</f>
        <v>0</v>
      </c>
      <c r="H18" s="673">
        <f t="shared" si="0"/>
        <v>0</v>
      </c>
      <c r="I18" s="656"/>
      <c r="J18" s="657"/>
      <c r="K18" s="657"/>
      <c r="L18" s="657"/>
      <c r="M18" s="657"/>
      <c r="N18" s="657"/>
    </row>
    <row r="19" spans="1:14" s="658" customFormat="1" ht="19.899999999999999" customHeight="1">
      <c r="A19" s="465"/>
      <c r="B19" s="681"/>
      <c r="C19" s="681"/>
      <c r="D19" s="668"/>
      <c r="E19" s="668"/>
      <c r="F19" s="669"/>
      <c r="G19" s="682">
        <f>'2. Exploration'!B3</f>
        <v>0</v>
      </c>
      <c r="H19" s="673">
        <v>1</v>
      </c>
      <c r="I19" s="656"/>
      <c r="J19" s="657"/>
      <c r="K19" s="657"/>
      <c r="L19" s="657"/>
      <c r="M19" s="657"/>
      <c r="N19" s="657"/>
    </row>
    <row r="20" spans="1:14" s="658" customFormat="1" ht="19.899999999999999" customHeight="1">
      <c r="A20" s="465"/>
      <c r="B20" s="671" t="str">
        <f>_3._INFRASTRUCTURE</f>
        <v>3. Infrastructure</v>
      </c>
      <c r="C20" s="672"/>
      <c r="D20" s="672"/>
      <c r="E20" s="672"/>
      <c r="F20" s="672"/>
      <c r="G20" s="672"/>
      <c r="H20" s="673">
        <v>1</v>
      </c>
      <c r="I20" s="656"/>
      <c r="J20" s="657"/>
      <c r="K20" s="657"/>
      <c r="L20" s="657"/>
      <c r="M20" s="657"/>
      <c r="N20" s="657"/>
    </row>
    <row r="21" spans="1:14" s="658" customFormat="1" ht="19.899999999999999" customHeight="1">
      <c r="A21" s="465"/>
      <c r="B21" s="674" t="str">
        <f>'3. Infrastructure'!C8</f>
        <v>Disconnect Major Services to Facility</v>
      </c>
      <c r="C21" s="675"/>
      <c r="D21" s="677">
        <f>'3. Infrastructure'!H17</f>
        <v>0</v>
      </c>
      <c r="E21" s="664" t="s">
        <v>27</v>
      </c>
      <c r="F21" s="665">
        <f>'3. Infrastructure'!N17</f>
        <v>0</v>
      </c>
      <c r="G21" s="666">
        <f>'3. Infrastructure'!M17</f>
        <v>0</v>
      </c>
      <c r="H21" s="673">
        <f>IF(G21&gt;0,1,0)</f>
        <v>0</v>
      </c>
      <c r="I21" s="656"/>
      <c r="J21" s="657"/>
      <c r="K21" s="657"/>
      <c r="L21" s="657"/>
      <c r="M21" s="657"/>
      <c r="N21" s="657"/>
    </row>
    <row r="22" spans="1:14" s="658" customFormat="1" ht="19.899999999999999" customHeight="1">
      <c r="A22" s="465"/>
      <c r="B22" s="674" t="str">
        <f>'3. Infrastructure'!$C$19</f>
        <v>Access Roads / Tracks (Defaults by length)</v>
      </c>
      <c r="C22" s="675"/>
      <c r="D22" s="676">
        <f>'3. Infrastructure'!H44</f>
        <v>0</v>
      </c>
      <c r="E22" s="664" t="str">
        <f>'3. Infrastructure'!I22</f>
        <v>km</v>
      </c>
      <c r="F22" s="665">
        <f>'3. Infrastructure'!N44</f>
        <v>0</v>
      </c>
      <c r="G22" s="666">
        <f>'3. Infrastructure'!M44</f>
        <v>0</v>
      </c>
      <c r="H22" s="673">
        <f>IF(G22&gt;0,1,0)</f>
        <v>0</v>
      </c>
      <c r="I22" s="656"/>
      <c r="J22" s="657"/>
      <c r="K22" s="657"/>
      <c r="L22" s="657"/>
      <c r="M22" s="657"/>
      <c r="N22" s="657"/>
    </row>
    <row r="23" spans="1:14" s="658" customFormat="1" ht="19.899999999999999" customHeight="1">
      <c r="A23" s="465"/>
      <c r="B23" s="674" t="str">
        <f>'3. Infrastructure'!$C$46</f>
        <v>Access Roads / Tracks (Defaults by Area)</v>
      </c>
      <c r="C23" s="675"/>
      <c r="D23" s="676">
        <f>'3. Infrastructure'!H60</f>
        <v>0</v>
      </c>
      <c r="E23" s="664" t="s">
        <v>95</v>
      </c>
      <c r="F23" s="665">
        <f>'3. Infrastructure'!N60</f>
        <v>0</v>
      </c>
      <c r="G23" s="666">
        <f>'3. Infrastructure'!M60</f>
        <v>0</v>
      </c>
      <c r="H23" s="673">
        <f t="shared" ref="H23:H49" si="1">IF(G23&gt;0,1,0)</f>
        <v>0</v>
      </c>
      <c r="I23" s="656"/>
      <c r="J23" s="657"/>
      <c r="K23" s="657"/>
      <c r="L23" s="657"/>
      <c r="M23" s="657"/>
      <c r="N23" s="657"/>
    </row>
    <row r="24" spans="1:14" s="658" customFormat="1" ht="19.899999999999999" customHeight="1">
      <c r="A24" s="465"/>
      <c r="B24" s="674" t="str">
        <f>'3. Infrastructure'!C68</f>
        <v>Access Roads / Tracks (User defined by length)</v>
      </c>
      <c r="C24" s="675"/>
      <c r="D24" s="676">
        <f>'3. Infrastructure'!F92</f>
        <v>0</v>
      </c>
      <c r="E24" s="664" t="s">
        <v>24</v>
      </c>
      <c r="F24" s="665">
        <f>'3. Infrastructure'!AV92</f>
        <v>0</v>
      </c>
      <c r="G24" s="666">
        <f>'3. Infrastructure'!AU92</f>
        <v>0</v>
      </c>
      <c r="H24" s="673">
        <f>IF(G24&gt;0,1,0)</f>
        <v>0</v>
      </c>
      <c r="I24" s="656"/>
      <c r="J24" s="657"/>
      <c r="K24" s="657"/>
      <c r="L24" s="657"/>
      <c r="M24" s="657"/>
      <c r="N24" s="657"/>
    </row>
    <row r="25" spans="1:14" s="658" customFormat="1" ht="19.899999999999999" customHeight="1">
      <c r="A25" s="465"/>
      <c r="B25" s="674" t="str">
        <f>'3. Infrastructure'!C101</f>
        <v>Access Roads / Tracks (User defined by area)</v>
      </c>
      <c r="C25" s="675"/>
      <c r="D25" s="676">
        <f>'3. Infrastructure'!E125</f>
        <v>0</v>
      </c>
      <c r="E25" s="664" t="s">
        <v>95</v>
      </c>
      <c r="F25" s="665">
        <f>'3. Infrastructure'!AU125</f>
        <v>0</v>
      </c>
      <c r="G25" s="666">
        <f>'3. Infrastructure'!AT125</f>
        <v>0</v>
      </c>
      <c r="H25" s="673">
        <f>IF(G25&gt;0,1,0)</f>
        <v>0</v>
      </c>
      <c r="I25" s="656"/>
      <c r="J25" s="657"/>
      <c r="K25" s="657"/>
      <c r="L25" s="657"/>
      <c r="M25" s="657"/>
      <c r="N25" s="657"/>
    </row>
    <row r="26" spans="1:14" s="658" customFormat="1" ht="19.899999999999999" customHeight="1">
      <c r="A26" s="465"/>
      <c r="B26" s="674" t="str">
        <f>'3. Infrastructure'!C128</f>
        <v>Road and watercourse overpass</v>
      </c>
      <c r="C26" s="675"/>
      <c r="D26" s="663">
        <f>'3. Infrastructure'!H136</f>
        <v>0</v>
      </c>
      <c r="E26" s="664" t="s">
        <v>1488</v>
      </c>
      <c r="F26" s="665">
        <f>'3. Infrastructure'!N136</f>
        <v>0</v>
      </c>
      <c r="G26" s="666">
        <f>'3. Infrastructure'!M136</f>
        <v>0</v>
      </c>
      <c r="H26" s="673">
        <f t="shared" si="1"/>
        <v>0</v>
      </c>
      <c r="I26" s="656"/>
      <c r="J26" s="657"/>
      <c r="K26" s="657"/>
      <c r="L26" s="657"/>
      <c r="M26" s="657"/>
      <c r="N26" s="657"/>
    </row>
    <row r="27" spans="1:14" s="658" customFormat="1" ht="19.899999999999999" customHeight="1">
      <c r="A27" s="465"/>
      <c r="B27" s="674" t="str">
        <f>'3. Infrastructure'!$C$139</f>
        <v>Mine Haul Roads (Defaults by length)</v>
      </c>
      <c r="C27" s="675"/>
      <c r="D27" s="676">
        <f>'3. Infrastructure'!H155</f>
        <v>0</v>
      </c>
      <c r="E27" s="664" t="s">
        <v>24</v>
      </c>
      <c r="F27" s="665">
        <f>'3. Infrastructure'!N155</f>
        <v>0</v>
      </c>
      <c r="G27" s="666">
        <f>'3. Infrastructure'!M155</f>
        <v>0</v>
      </c>
      <c r="H27" s="673">
        <f t="shared" si="1"/>
        <v>0</v>
      </c>
      <c r="I27" s="656"/>
      <c r="J27" s="657"/>
      <c r="K27" s="657"/>
      <c r="L27" s="657"/>
      <c r="M27" s="657"/>
      <c r="N27" s="657"/>
    </row>
    <row r="28" spans="1:14" s="658" customFormat="1" ht="19.899999999999999" customHeight="1">
      <c r="A28" s="465"/>
      <c r="B28" s="674" t="str">
        <f>'3. Infrastructure'!$C$190</f>
        <v>Mine Haul Roads (Defaults by area)</v>
      </c>
      <c r="C28" s="675"/>
      <c r="D28" s="676">
        <f>'3. Infrastructure'!H206</f>
        <v>0</v>
      </c>
      <c r="E28" s="664" t="s">
        <v>95</v>
      </c>
      <c r="F28" s="665">
        <f>'3. Infrastructure'!N206</f>
        <v>0</v>
      </c>
      <c r="G28" s="666">
        <f>'3. Infrastructure'!M206</f>
        <v>0</v>
      </c>
      <c r="H28" s="673">
        <f t="shared" si="1"/>
        <v>0</v>
      </c>
      <c r="I28" s="656"/>
      <c r="J28" s="657"/>
      <c r="K28" s="657"/>
      <c r="L28" s="657"/>
      <c r="M28" s="657"/>
      <c r="N28" s="657"/>
    </row>
    <row r="29" spans="1:14" s="658" customFormat="1" ht="19.899999999999999" customHeight="1">
      <c r="A29" s="465"/>
      <c r="B29" s="674" t="str">
        <f>'3. Infrastructure'!C162</f>
        <v>Mine Haul Roads (User defined by length)</v>
      </c>
      <c r="C29" s="675"/>
      <c r="D29" s="676">
        <f>'3. Infrastructure'!F186</f>
        <v>0</v>
      </c>
      <c r="E29" s="664" t="s">
        <v>24</v>
      </c>
      <c r="F29" s="665">
        <f>'3. Infrastructure'!AW186</f>
        <v>0</v>
      </c>
      <c r="G29" s="666">
        <f>'3. Infrastructure'!AV186</f>
        <v>0</v>
      </c>
      <c r="H29" s="673">
        <f>IF(G29&gt;0,1,0)</f>
        <v>0</v>
      </c>
      <c r="I29" s="656"/>
      <c r="J29" s="657"/>
      <c r="K29" s="657"/>
      <c r="L29" s="657"/>
      <c r="M29" s="657"/>
      <c r="N29" s="657"/>
    </row>
    <row r="30" spans="1:14" s="658" customFormat="1" ht="19.899999999999999" customHeight="1">
      <c r="A30" s="465"/>
      <c r="B30" s="674" t="str">
        <f>'3. Infrastructure'!C214</f>
        <v>Mine Haul Roads / Tracks (User defined by area)</v>
      </c>
      <c r="C30" s="675"/>
      <c r="D30" s="676">
        <f>'3. Infrastructure'!E238</f>
        <v>0</v>
      </c>
      <c r="E30" s="664" t="s">
        <v>95</v>
      </c>
      <c r="F30" s="665">
        <f>'3. Infrastructure'!AU238</f>
        <v>0</v>
      </c>
      <c r="G30" s="666">
        <f>'3. Infrastructure'!AT238</f>
        <v>0</v>
      </c>
      <c r="H30" s="673">
        <f>IF(G30&gt;0,1,0)</f>
        <v>0</v>
      </c>
      <c r="I30" s="656"/>
      <c r="J30" s="657"/>
      <c r="K30" s="657"/>
      <c r="L30" s="657"/>
      <c r="M30" s="657"/>
      <c r="N30" s="657"/>
    </row>
    <row r="31" spans="1:14" s="658" customFormat="1" ht="19.899999999999999" customHeight="1">
      <c r="A31" s="465"/>
      <c r="B31" s="674" t="str">
        <f>'3. Infrastructure'!C243</f>
        <v>Laydown Yards (Defaults)</v>
      </c>
      <c r="C31" s="675"/>
      <c r="D31" s="676">
        <f>'3. Infrastructure'!H256</f>
        <v>0</v>
      </c>
      <c r="E31" s="664" t="s">
        <v>95</v>
      </c>
      <c r="F31" s="665">
        <f>'3. Infrastructure'!N256</f>
        <v>0</v>
      </c>
      <c r="G31" s="666">
        <f>'3. Infrastructure'!M256</f>
        <v>0</v>
      </c>
      <c r="H31" s="673">
        <f t="shared" si="1"/>
        <v>0</v>
      </c>
      <c r="I31" s="656"/>
      <c r="J31" s="657"/>
      <c r="K31" s="657"/>
      <c r="L31" s="657"/>
      <c r="M31" s="657"/>
      <c r="N31" s="657"/>
    </row>
    <row r="32" spans="1:14" s="658" customFormat="1" ht="19.899999999999999" customHeight="1">
      <c r="A32" s="465"/>
      <c r="B32" s="674" t="str">
        <f>'3. Infrastructure'!C264</f>
        <v>Laydown Yards (User Defined)</v>
      </c>
      <c r="C32" s="675"/>
      <c r="D32" s="676">
        <f>'3. Infrastructure'!E278</f>
        <v>0</v>
      </c>
      <c r="E32" s="664" t="s">
        <v>95</v>
      </c>
      <c r="F32" s="665">
        <f>'3. Infrastructure'!AJ278</f>
        <v>0</v>
      </c>
      <c r="G32" s="666">
        <f>'3. Infrastructure'!AI278</f>
        <v>0</v>
      </c>
      <c r="H32" s="673">
        <f>IF(G32&gt;0,1,0)</f>
        <v>0</v>
      </c>
      <c r="I32" s="656"/>
      <c r="J32" s="657"/>
      <c r="K32" s="657"/>
      <c r="L32" s="657"/>
      <c r="M32" s="657"/>
      <c r="N32" s="657"/>
    </row>
    <row r="33" spans="1:14" s="658" customFormat="1" ht="19.899999999999999" customHeight="1">
      <c r="A33" s="465"/>
      <c r="B33" s="674" t="str">
        <f>'3. Infrastructure'!C281</f>
        <v>Borrow Pits</v>
      </c>
      <c r="C33" s="675"/>
      <c r="D33" s="676">
        <f>'3. Infrastructure'!H291</f>
        <v>0</v>
      </c>
      <c r="E33" s="664" t="s">
        <v>95</v>
      </c>
      <c r="F33" s="665">
        <f>'3. Infrastructure'!N291</f>
        <v>0</v>
      </c>
      <c r="G33" s="666">
        <f>'3. Infrastructure'!M291</f>
        <v>0</v>
      </c>
      <c r="H33" s="673">
        <f t="shared" si="1"/>
        <v>0</v>
      </c>
      <c r="I33" s="656"/>
      <c r="J33" s="657"/>
      <c r="K33" s="657"/>
      <c r="L33" s="657"/>
      <c r="M33" s="657"/>
      <c r="N33" s="657"/>
    </row>
    <row r="34" spans="1:14" s="658" customFormat="1" ht="19.899999999999999" customHeight="1">
      <c r="A34" s="465"/>
      <c r="B34" s="674" t="str">
        <f>'3. Infrastructure'!C294</f>
        <v>Pipelines (not associated with facilities / plant, i.e. pipelines connecting facilities / dams)</v>
      </c>
      <c r="C34" s="675"/>
      <c r="D34" s="676">
        <f>'3. Infrastructure'!H309</f>
        <v>0</v>
      </c>
      <c r="E34" s="664" t="s">
        <v>11</v>
      </c>
      <c r="F34" s="665">
        <f>'3. Infrastructure'!N309</f>
        <v>0</v>
      </c>
      <c r="G34" s="666">
        <f>'3. Infrastructure'!M309</f>
        <v>0</v>
      </c>
      <c r="H34" s="673">
        <f t="shared" si="1"/>
        <v>0</v>
      </c>
      <c r="I34" s="656"/>
      <c r="J34" s="657"/>
      <c r="K34" s="657"/>
      <c r="L34" s="657"/>
      <c r="M34" s="657"/>
      <c r="N34" s="657"/>
    </row>
    <row r="35" spans="1:14" s="658" customFormat="1" ht="19.899999999999999" customHeight="1">
      <c r="A35" s="465"/>
      <c r="B35" s="674" t="str">
        <f>'3. Infrastructure'!C315</f>
        <v>Pipelines (not associated with facilities etc) User Build</v>
      </c>
      <c r="C35" s="675"/>
      <c r="D35" s="676">
        <f>'3. Infrastructure'!F329</f>
        <v>0</v>
      </c>
      <c r="E35" s="664" t="s">
        <v>11</v>
      </c>
      <c r="F35" s="665">
        <f>'3. Infrastructure'!AG329</f>
        <v>0</v>
      </c>
      <c r="G35" s="666">
        <f>'3. Infrastructure'!AF329</f>
        <v>0</v>
      </c>
      <c r="H35" s="673">
        <f>IF(G35&gt;0,1,0)</f>
        <v>0</v>
      </c>
      <c r="I35" s="656"/>
      <c r="J35" s="657"/>
      <c r="K35" s="657"/>
      <c r="L35" s="657"/>
      <c r="M35" s="657"/>
      <c r="N35" s="657"/>
    </row>
    <row r="36" spans="1:14" s="658" customFormat="1" ht="19.899999999999999" customHeight="1">
      <c r="A36" s="465"/>
      <c r="B36" s="674" t="str">
        <f>'3. Infrastructure'!C332</f>
        <v>Camps (by capacity)</v>
      </c>
      <c r="C36" s="675"/>
      <c r="D36" s="677">
        <f>'3. Infrastructure'!H366</f>
        <v>0</v>
      </c>
      <c r="E36" s="664" t="s">
        <v>1489</v>
      </c>
      <c r="F36" s="665">
        <f>'3. Infrastructure'!N366</f>
        <v>0</v>
      </c>
      <c r="G36" s="666">
        <f>'3. Infrastructure'!M366</f>
        <v>0</v>
      </c>
      <c r="H36" s="673">
        <f t="shared" si="1"/>
        <v>0</v>
      </c>
      <c r="I36" s="656"/>
      <c r="J36" s="657"/>
      <c r="K36" s="657"/>
      <c r="L36" s="657"/>
      <c r="M36" s="657"/>
      <c r="N36" s="657"/>
    </row>
    <row r="37" spans="1:14" s="658" customFormat="1" ht="19.899999999999999" customHeight="1">
      <c r="A37" s="465"/>
      <c r="B37" s="674" t="str">
        <f>'3. Infrastructure'!C368</f>
        <v>Camps (by area)</v>
      </c>
      <c r="C37" s="675"/>
      <c r="D37" s="676">
        <f>'3. Infrastructure'!H379</f>
        <v>0</v>
      </c>
      <c r="E37" s="664" t="s">
        <v>36</v>
      </c>
      <c r="F37" s="665">
        <f>'3. Infrastructure'!N379</f>
        <v>0</v>
      </c>
      <c r="G37" s="666">
        <f>'3. Infrastructure'!M379</f>
        <v>0</v>
      </c>
      <c r="H37" s="673">
        <f t="shared" si="1"/>
        <v>0</v>
      </c>
      <c r="I37" s="656"/>
      <c r="J37" s="657"/>
      <c r="K37" s="657"/>
      <c r="L37" s="657"/>
      <c r="M37" s="657"/>
      <c r="N37" s="657"/>
    </row>
    <row r="38" spans="1:14" s="658" customFormat="1" ht="19.899999999999999" customHeight="1">
      <c r="A38" s="465"/>
      <c r="B38" s="674" t="str">
        <f>'3. Infrastructure'!C381</f>
        <v>Buildings by area</v>
      </c>
      <c r="C38" s="675"/>
      <c r="D38" s="676">
        <f>'3. Infrastructure'!H393</f>
        <v>0</v>
      </c>
      <c r="E38" s="664" t="s">
        <v>36</v>
      </c>
      <c r="F38" s="665">
        <f>'3. Infrastructure'!N393</f>
        <v>0</v>
      </c>
      <c r="G38" s="666">
        <f>'3. Infrastructure'!M393</f>
        <v>0</v>
      </c>
      <c r="H38" s="673">
        <f t="shared" si="1"/>
        <v>0</v>
      </c>
      <c r="I38" s="656"/>
      <c r="J38" s="657"/>
      <c r="K38" s="657"/>
      <c r="L38" s="657"/>
      <c r="M38" s="657"/>
      <c r="N38" s="657"/>
    </row>
    <row r="39" spans="1:14" s="658" customFormat="1" ht="19.899999999999999" customHeight="1">
      <c r="A39" s="465"/>
      <c r="B39" s="674" t="str">
        <f>'3. Infrastructure'!C395</f>
        <v>Buildings Portable</v>
      </c>
      <c r="C39" s="675"/>
      <c r="D39" s="677">
        <f>'3. Infrastructure'!H403</f>
        <v>0</v>
      </c>
      <c r="E39" s="664" t="s">
        <v>27</v>
      </c>
      <c r="F39" s="665">
        <f>'3. Infrastructure'!N403</f>
        <v>0</v>
      </c>
      <c r="G39" s="666">
        <f>'3. Infrastructure'!M403</f>
        <v>0</v>
      </c>
      <c r="H39" s="673">
        <f t="shared" si="1"/>
        <v>0</v>
      </c>
      <c r="I39" s="656"/>
      <c r="J39" s="657"/>
      <c r="K39" s="657"/>
      <c r="L39" s="657"/>
      <c r="M39" s="657"/>
      <c r="N39" s="657"/>
    </row>
    <row r="40" spans="1:14" s="658" customFormat="1" ht="19.899999999999999" customHeight="1">
      <c r="A40" s="465"/>
      <c r="B40" s="674" t="str">
        <f>'3. Infrastructure'!C405</f>
        <v>Lattice Structures</v>
      </c>
      <c r="C40" s="675"/>
      <c r="D40" s="677">
        <f>'3. Infrastructure'!H413</f>
        <v>0</v>
      </c>
      <c r="E40" s="664" t="s">
        <v>27</v>
      </c>
      <c r="F40" s="665">
        <f>'3. Infrastructure'!N413</f>
        <v>0</v>
      </c>
      <c r="G40" s="666">
        <f>'3. Infrastructure'!M413</f>
        <v>0</v>
      </c>
      <c r="H40" s="673">
        <f t="shared" si="1"/>
        <v>0</v>
      </c>
      <c r="I40" s="656"/>
      <c r="J40" s="657"/>
      <c r="K40" s="657"/>
      <c r="L40" s="657"/>
      <c r="M40" s="657"/>
      <c r="N40" s="657"/>
    </row>
    <row r="41" spans="1:14" s="658" customFormat="1" ht="19.899999999999999" customHeight="1">
      <c r="A41" s="465"/>
      <c r="B41" s="674" t="str">
        <f>'3. Infrastructure'!C415</f>
        <v>Power Distribution</v>
      </c>
      <c r="C41" s="675"/>
      <c r="D41" s="676">
        <f>'3. Infrastructure'!H427</f>
        <v>0</v>
      </c>
      <c r="E41" s="664" t="s">
        <v>24</v>
      </c>
      <c r="F41" s="665">
        <f>'3. Infrastructure'!N427</f>
        <v>0</v>
      </c>
      <c r="G41" s="666">
        <f>'3. Infrastructure'!M427</f>
        <v>0</v>
      </c>
      <c r="H41" s="673">
        <f t="shared" si="1"/>
        <v>0</v>
      </c>
      <c r="I41" s="656"/>
      <c r="J41" s="657"/>
      <c r="K41" s="657"/>
      <c r="L41" s="657"/>
      <c r="M41" s="657"/>
      <c r="N41" s="657"/>
    </row>
    <row r="42" spans="1:14" s="658" customFormat="1" ht="24.6" customHeight="1">
      <c r="A42" s="465"/>
      <c r="B42" s="674" t="str">
        <f>'3. Infrastructure'!C431</f>
        <v>Concrete and Bitumen Hardstand including airstrip (not associated with buildings, processing facilities)</v>
      </c>
      <c r="C42" s="675"/>
      <c r="D42" s="676">
        <f>'3. Infrastructure'!H445</f>
        <v>0</v>
      </c>
      <c r="E42" s="664" t="s">
        <v>36</v>
      </c>
      <c r="F42" s="665">
        <f>'3. Infrastructure'!N445</f>
        <v>0</v>
      </c>
      <c r="G42" s="666">
        <f>'3. Infrastructure'!M445</f>
        <v>0</v>
      </c>
      <c r="H42" s="673">
        <f t="shared" si="1"/>
        <v>0</v>
      </c>
      <c r="I42" s="656"/>
      <c r="J42" s="657"/>
      <c r="K42" s="657"/>
      <c r="L42" s="657"/>
      <c r="M42" s="657"/>
      <c r="N42" s="657"/>
    </row>
    <row r="43" spans="1:14" s="658" customFormat="1" ht="19.899999999999999" customHeight="1">
      <c r="A43" s="465"/>
      <c r="B43" s="674" t="str">
        <f>'3. Infrastructure'!C448</f>
        <v>Rail Infrastructure</v>
      </c>
      <c r="C43" s="675"/>
      <c r="D43" s="677">
        <f>'3. Infrastructure'!H459</f>
        <v>0</v>
      </c>
      <c r="E43" s="664" t="s">
        <v>1490</v>
      </c>
      <c r="F43" s="665">
        <f>'3. Infrastructure'!N459</f>
        <v>0</v>
      </c>
      <c r="G43" s="666">
        <f>'3. Infrastructure'!M459</f>
        <v>0</v>
      </c>
      <c r="H43" s="673">
        <f t="shared" si="1"/>
        <v>0</v>
      </c>
      <c r="I43" s="656"/>
      <c r="J43" s="657"/>
      <c r="K43" s="657"/>
      <c r="L43" s="657"/>
      <c r="M43" s="657"/>
      <c r="N43" s="657"/>
    </row>
    <row r="44" spans="1:14" s="658" customFormat="1" ht="19.899999999999999" customHeight="1">
      <c r="A44" s="465"/>
      <c r="B44" s="674" t="str">
        <f>'3. Infrastructure'!C461</f>
        <v>Landfills</v>
      </c>
      <c r="C44" s="675"/>
      <c r="D44" s="676">
        <f>'3. Infrastructure'!H469</f>
        <v>0</v>
      </c>
      <c r="E44" s="664" t="s">
        <v>36</v>
      </c>
      <c r="F44" s="665">
        <f>'3. Infrastructure'!N469</f>
        <v>0</v>
      </c>
      <c r="G44" s="666">
        <f>'3. Infrastructure'!M469</f>
        <v>0</v>
      </c>
      <c r="H44" s="673">
        <f t="shared" si="1"/>
        <v>0</v>
      </c>
      <c r="I44" s="656"/>
      <c r="J44" s="657"/>
      <c r="K44" s="657"/>
      <c r="L44" s="657"/>
      <c r="M44" s="657"/>
      <c r="N44" s="657"/>
    </row>
    <row r="45" spans="1:14" s="658" customFormat="1" ht="19.899999999999999" customHeight="1">
      <c r="A45" s="465"/>
      <c r="B45" s="674" t="str">
        <f>'3. Infrastructure'!C471</f>
        <v>Sewage Treatment Plants</v>
      </c>
      <c r="C45" s="675"/>
      <c r="D45" s="676">
        <f>'3. Infrastructure'!H479</f>
        <v>0</v>
      </c>
      <c r="E45" s="664" t="s">
        <v>36</v>
      </c>
      <c r="F45" s="665">
        <f>'3. Infrastructure'!N479</f>
        <v>0</v>
      </c>
      <c r="G45" s="666">
        <f>'3. Infrastructure'!M479</f>
        <v>0</v>
      </c>
      <c r="H45" s="673">
        <f t="shared" si="1"/>
        <v>0</v>
      </c>
      <c r="I45" s="656"/>
      <c r="J45" s="657"/>
      <c r="K45" s="657"/>
      <c r="L45" s="657"/>
      <c r="M45" s="657"/>
      <c r="N45" s="657"/>
    </row>
    <row r="46" spans="1:14" s="658" customFormat="1" ht="24.6" customHeight="1">
      <c r="A46" s="465"/>
      <c r="B46" s="674" t="str">
        <f>'3. Infrastructure'!C481</f>
        <v>Rehabilitation of Areas not covered above or in Process Equipment (see TOV descriptions)</v>
      </c>
      <c r="C46" s="675"/>
      <c r="D46" s="676">
        <f>'3. Infrastructure'!H489</f>
        <v>0</v>
      </c>
      <c r="E46" s="664" t="s">
        <v>36</v>
      </c>
      <c r="F46" s="665">
        <f>'3. Infrastructure'!N489</f>
        <v>0</v>
      </c>
      <c r="G46" s="666">
        <f>'3. Infrastructure'!M489</f>
        <v>0</v>
      </c>
      <c r="H46" s="673">
        <f t="shared" si="1"/>
        <v>0</v>
      </c>
      <c r="I46" s="656"/>
      <c r="J46" s="657"/>
      <c r="K46" s="657"/>
      <c r="L46" s="657"/>
      <c r="M46" s="657"/>
      <c r="N46" s="657"/>
    </row>
    <row r="47" spans="1:14" s="658" customFormat="1" ht="24.6" customHeight="1">
      <c r="A47" s="465"/>
      <c r="B47" s="674" t="str">
        <f>'3. Infrastructure'!C491</f>
        <v>Fencing</v>
      </c>
      <c r="C47" s="675"/>
      <c r="D47" s="677">
        <f>'3. Infrastructure'!H501</f>
        <v>0</v>
      </c>
      <c r="E47" s="664" t="s">
        <v>1488</v>
      </c>
      <c r="F47" s="665">
        <f>'3. Infrastructure'!N501</f>
        <v>0</v>
      </c>
      <c r="G47" s="666">
        <f>'3. Infrastructure'!M501</f>
        <v>0</v>
      </c>
      <c r="H47" s="673">
        <f t="shared" si="1"/>
        <v>0</v>
      </c>
      <c r="I47" s="656"/>
      <c r="J47" s="657"/>
      <c r="K47" s="657"/>
      <c r="L47" s="657"/>
      <c r="M47" s="657"/>
      <c r="N47" s="657"/>
    </row>
    <row r="48" spans="1:14" s="658" customFormat="1" ht="24.6" customHeight="1">
      <c r="A48" s="465"/>
      <c r="B48" s="674" t="str">
        <f>'3. Infrastructure'!C503</f>
        <v>Small Ancillary (washdown, water filling, oil/water separator)</v>
      </c>
      <c r="C48" s="675"/>
      <c r="D48" s="677">
        <f>'3. Infrastructure'!H516</f>
        <v>0</v>
      </c>
      <c r="E48" s="664" t="s">
        <v>1488</v>
      </c>
      <c r="F48" s="665">
        <f>'3. Infrastructure'!N516</f>
        <v>0</v>
      </c>
      <c r="G48" s="666">
        <f>'3. Infrastructure'!M516</f>
        <v>0</v>
      </c>
      <c r="H48" s="673">
        <f t="shared" si="1"/>
        <v>0</v>
      </c>
      <c r="I48" s="656"/>
      <c r="J48" s="657"/>
      <c r="K48" s="657"/>
      <c r="L48" s="657"/>
      <c r="M48" s="657"/>
      <c r="N48" s="657"/>
    </row>
    <row r="49" spans="1:14" s="658" customFormat="1" ht="19.899999999999999" customHeight="1">
      <c r="A49" s="465"/>
      <c r="B49" s="661" t="str">
        <f>'3. Infrastructure'!C523</f>
        <v>Tanks</v>
      </c>
      <c r="C49" s="662"/>
      <c r="D49" s="683">
        <f>'3. Infrastructure'!H568</f>
        <v>0</v>
      </c>
      <c r="E49" s="679" t="s">
        <v>1491</v>
      </c>
      <c r="F49" s="680">
        <f>'3. Infrastructure'!N568</f>
        <v>0</v>
      </c>
      <c r="G49" s="666">
        <f>'3. Infrastructure'!M568</f>
        <v>0</v>
      </c>
      <c r="H49" s="673">
        <f t="shared" si="1"/>
        <v>0</v>
      </c>
      <c r="I49" s="656"/>
      <c r="J49" s="657"/>
      <c r="K49" s="657"/>
      <c r="L49" s="657"/>
      <c r="M49" s="657"/>
      <c r="N49" s="657"/>
    </row>
    <row r="50" spans="1:14" s="658" customFormat="1" ht="19.899999999999999" customHeight="1">
      <c r="A50" s="465"/>
      <c r="B50" s="681"/>
      <c r="C50" s="681"/>
      <c r="D50" s="668"/>
      <c r="E50" s="668"/>
      <c r="F50" s="669"/>
      <c r="G50" s="682">
        <f>'3. Infrastructure'!B3</f>
        <v>0</v>
      </c>
      <c r="H50" s="673">
        <v>1</v>
      </c>
      <c r="I50" s="656"/>
      <c r="J50" s="657"/>
      <c r="K50" s="657"/>
      <c r="L50" s="657"/>
      <c r="M50" s="657"/>
      <c r="N50" s="657"/>
    </row>
    <row r="51" spans="1:14" s="658" customFormat="1" ht="19.899999999999999" customHeight="1">
      <c r="A51" s="465"/>
      <c r="B51" s="671" t="str">
        <f>_4._PROCESS_AND_HEAVY_EQUIPMENT</f>
        <v>4. Process and Heavy Equipment</v>
      </c>
      <c r="C51" s="672"/>
      <c r="D51" s="672"/>
      <c r="E51" s="672"/>
      <c r="F51" s="672"/>
      <c r="G51" s="672"/>
      <c r="H51" s="673">
        <v>1</v>
      </c>
      <c r="I51" s="656"/>
      <c r="J51" s="657"/>
      <c r="K51" s="657"/>
      <c r="L51" s="657"/>
      <c r="M51" s="657"/>
      <c r="N51" s="657"/>
    </row>
    <row r="52" spans="1:14" s="658" customFormat="1" ht="19.899999999999999" customHeight="1">
      <c r="A52" s="465"/>
      <c r="B52" s="661" t="s">
        <v>75</v>
      </c>
      <c r="C52" s="662"/>
      <c r="D52" s="684"/>
      <c r="E52" s="685"/>
      <c r="F52" s="686"/>
      <c r="G52" s="666">
        <f>'4. Process Equipment'!B3</f>
        <v>0</v>
      </c>
      <c r="H52" s="673">
        <f>IF(G52&gt;0,1,0)</f>
        <v>0</v>
      </c>
      <c r="I52" s="656"/>
      <c r="J52" s="657"/>
      <c r="K52" s="657"/>
      <c r="L52" s="657"/>
      <c r="M52" s="657"/>
      <c r="N52" s="657"/>
    </row>
    <row r="53" spans="1:14" s="658" customFormat="1" ht="19.899999999999999" customHeight="1">
      <c r="A53" s="465"/>
      <c r="B53" s="668"/>
      <c r="C53" s="668"/>
      <c r="D53" s="668"/>
      <c r="E53" s="668"/>
      <c r="F53" s="669"/>
      <c r="G53" s="682">
        <f>'4. Process Equipment'!B3</f>
        <v>0</v>
      </c>
      <c r="H53" s="673">
        <v>1</v>
      </c>
      <c r="I53" s="656"/>
      <c r="J53" s="657"/>
      <c r="K53" s="657"/>
      <c r="L53" s="657"/>
      <c r="M53" s="657"/>
      <c r="N53" s="657"/>
    </row>
    <row r="54" spans="1:14" s="658" customFormat="1" ht="19.899999999999999" customHeight="1">
      <c r="A54" s="465"/>
      <c r="B54" s="671" t="str">
        <f>_5._WATER_STORAGE</f>
        <v>5. Water Storage</v>
      </c>
      <c r="C54" s="672"/>
      <c r="D54" s="672"/>
      <c r="E54" s="672"/>
      <c r="F54" s="672"/>
      <c r="G54" s="672"/>
      <c r="H54" s="673">
        <v>1</v>
      </c>
      <c r="I54" s="656"/>
      <c r="J54" s="657"/>
      <c r="K54" s="657"/>
      <c r="L54" s="657"/>
      <c r="M54" s="657"/>
      <c r="N54" s="657"/>
    </row>
    <row r="55" spans="1:14" s="658" customFormat="1" ht="19.899999999999999" customHeight="1">
      <c r="A55" s="465"/>
      <c r="B55" s="674" t="str">
        <f>'5. Water Storage'!C7</f>
        <v>Water Storages Defaults by Category and Capacity</v>
      </c>
      <c r="C55" s="675"/>
      <c r="D55" s="663">
        <f>'5. Water Storage'!K36</f>
        <v>0</v>
      </c>
      <c r="E55" s="664" t="s">
        <v>1492</v>
      </c>
      <c r="F55" s="665">
        <f>'5. Water Storage'!Q36</f>
        <v>0</v>
      </c>
      <c r="G55" s="666">
        <f>'5. Water Storage'!P36</f>
        <v>0</v>
      </c>
      <c r="H55" s="673">
        <f>IF(G55&gt;0,1,0)</f>
        <v>0</v>
      </c>
      <c r="I55" s="656"/>
      <c r="J55" s="657"/>
      <c r="K55" s="657"/>
      <c r="L55" s="657"/>
      <c r="M55" s="657"/>
      <c r="N55" s="657"/>
    </row>
    <row r="56" spans="1:14" s="658" customFormat="1" ht="19.899999999999999" customHeight="1">
      <c r="A56" s="465"/>
      <c r="B56" s="674" t="str">
        <f>'5. Water Storage'!C38</f>
        <v>Water Storages Defaults by Area</v>
      </c>
      <c r="C56" s="675"/>
      <c r="D56" s="676">
        <f>'5. Water Storage'!H62</f>
        <v>0</v>
      </c>
      <c r="E56" s="664" t="s">
        <v>95</v>
      </c>
      <c r="F56" s="665">
        <f>'5. Water Storage'!N62</f>
        <v>0</v>
      </c>
      <c r="G56" s="666">
        <f>'5. Water Storage'!M62</f>
        <v>0</v>
      </c>
      <c r="H56" s="673">
        <f t="shared" ref="H56:H57" si="2">IF(G56&gt;0,1,0)</f>
        <v>0</v>
      </c>
      <c r="I56" s="656"/>
      <c r="J56" s="657"/>
      <c r="K56" s="657"/>
      <c r="L56" s="657"/>
      <c r="M56" s="657"/>
      <c r="N56" s="657"/>
    </row>
    <row r="57" spans="1:14" s="658" customFormat="1" ht="19.899999999999999" customHeight="1">
      <c r="A57" s="465"/>
      <c r="B57" s="661" t="str">
        <f>'5. Water Storage'!C66</f>
        <v>Water Structures User</v>
      </c>
      <c r="C57" s="662"/>
      <c r="D57" s="687">
        <f>SUM('5. Water Storage'!H100)</f>
        <v>0</v>
      </c>
      <c r="E57" s="679" t="s">
        <v>1488</v>
      </c>
      <c r="F57" s="680">
        <f>'5. Water Storage'!BT100</f>
        <v>0</v>
      </c>
      <c r="G57" s="666">
        <f>'5. Water Storage'!BS100</f>
        <v>0</v>
      </c>
      <c r="H57" s="673">
        <f t="shared" si="2"/>
        <v>0</v>
      </c>
      <c r="I57" s="656"/>
      <c r="J57" s="657"/>
      <c r="K57" s="657"/>
      <c r="L57" s="657"/>
      <c r="M57" s="657"/>
      <c r="N57" s="657"/>
    </row>
    <row r="58" spans="1:14" s="658" customFormat="1" ht="19.899999999999999" customHeight="1">
      <c r="A58" s="465"/>
      <c r="B58" s="668"/>
      <c r="C58" s="668"/>
      <c r="D58" s="668"/>
      <c r="E58" s="668"/>
      <c r="F58" s="669"/>
      <c r="G58" s="682">
        <f>'5. Water Storage'!B3</f>
        <v>0</v>
      </c>
      <c r="H58" s="673">
        <v>1</v>
      </c>
      <c r="I58" s="656"/>
      <c r="J58" s="657"/>
      <c r="K58" s="657"/>
      <c r="L58" s="657"/>
      <c r="M58" s="657"/>
      <c r="N58" s="657"/>
    </row>
    <row r="59" spans="1:14" s="658" customFormat="1" ht="19.899999999999999" customHeight="1">
      <c r="A59" s="465"/>
      <c r="B59" s="671" t="str">
        <f>_6._WATER_TREATMENT_AND_PUMPING</f>
        <v>6. Water Treatment and Pumping</v>
      </c>
      <c r="C59" s="672"/>
      <c r="D59" s="672"/>
      <c r="E59" s="672"/>
      <c r="F59" s="672"/>
      <c r="G59" s="672"/>
      <c r="H59" s="673">
        <v>1</v>
      </c>
      <c r="I59" s="656"/>
      <c r="J59" s="657"/>
      <c r="K59" s="657"/>
      <c r="L59" s="657"/>
      <c r="M59" s="657"/>
      <c r="N59" s="657"/>
    </row>
    <row r="60" spans="1:14" s="658" customFormat="1" ht="19.899999999999999" customHeight="1">
      <c r="A60" s="465"/>
      <c r="B60" s="674" t="str">
        <f>'6. Water Treatment'!B7</f>
        <v>Water Treatment and Transfer</v>
      </c>
      <c r="C60" s="675"/>
      <c r="D60" s="663">
        <f>SUM('6. Water Treatment'!E32:Q32)</f>
        <v>0</v>
      </c>
      <c r="E60" s="664" t="s">
        <v>1490</v>
      </c>
      <c r="F60" s="665">
        <f>'6. Water Treatment'!AH32</f>
        <v>0</v>
      </c>
      <c r="G60" s="666">
        <f>'6. Water Treatment'!AG32</f>
        <v>0</v>
      </c>
      <c r="H60" s="673">
        <f>IF(G60&gt;0,1,0)</f>
        <v>0</v>
      </c>
      <c r="I60" s="656"/>
      <c r="J60" s="657"/>
      <c r="K60" s="657"/>
      <c r="L60" s="657"/>
      <c r="M60" s="657"/>
      <c r="N60" s="657"/>
    </row>
    <row r="61" spans="1:14" s="658" customFormat="1" ht="19.899999999999999" customHeight="1">
      <c r="A61" s="465"/>
      <c r="B61" s="674" t="str">
        <f>'6. Water Treatment'!B38</f>
        <v>Dewatering</v>
      </c>
      <c r="C61" s="675"/>
      <c r="D61" s="663">
        <f>'6. Water Treatment'!E53</f>
        <v>0</v>
      </c>
      <c r="E61" s="664" t="s">
        <v>1493</v>
      </c>
      <c r="F61" s="665">
        <f>'6. Water Treatment'!AE53</f>
        <v>0</v>
      </c>
      <c r="G61" s="666">
        <f>'6. Water Treatment'!AD53</f>
        <v>0</v>
      </c>
      <c r="H61" s="673">
        <f>IF(G61&gt;0,1,0)</f>
        <v>0</v>
      </c>
      <c r="I61" s="656"/>
      <c r="J61" s="657"/>
      <c r="K61" s="657"/>
      <c r="L61" s="657"/>
      <c r="M61" s="657"/>
      <c r="N61" s="657"/>
    </row>
    <row r="62" spans="1:14" s="658" customFormat="1" ht="19.899999999999999" customHeight="1">
      <c r="A62" s="465"/>
      <c r="B62" s="688"/>
      <c r="C62" s="689"/>
      <c r="D62" s="690"/>
      <c r="E62" s="690"/>
      <c r="F62" s="689"/>
      <c r="G62" s="670">
        <f>'6. Water Treatment'!B3</f>
        <v>0</v>
      </c>
      <c r="H62" s="673">
        <v>1</v>
      </c>
      <c r="I62" s="656"/>
      <c r="J62" s="657"/>
      <c r="K62" s="657"/>
      <c r="L62" s="657"/>
      <c r="M62" s="657"/>
      <c r="N62" s="657"/>
    </row>
    <row r="63" spans="1:14" s="658" customFormat="1" ht="19.899999999999999" customHeight="1">
      <c r="A63" s="465"/>
      <c r="B63" s="650" t="str">
        <f>_7._WASTE_ROCK_DUMPS__OVERBURDEN_DUMPS__SPOIL_PILES_AND_STOCKPILES</f>
        <v>7. Waste Rock Dumps, Overburden Dumps, Spoil Piles and Stockpiles</v>
      </c>
      <c r="C63" s="691"/>
      <c r="D63" s="692"/>
      <c r="E63" s="693"/>
      <c r="F63" s="694"/>
      <c r="G63" s="694"/>
      <c r="H63" s="673">
        <v>1</v>
      </c>
      <c r="I63" s="656"/>
      <c r="J63" s="657"/>
      <c r="K63" s="657"/>
      <c r="L63" s="657"/>
      <c r="M63" s="657"/>
      <c r="N63" s="657"/>
    </row>
    <row r="64" spans="1:14" s="658" customFormat="1" ht="19.899999999999999" customHeight="1">
      <c r="A64" s="465"/>
      <c r="B64" s="674" t="str">
        <f>'7. Overburden Dumps Piles'!C16</f>
        <v>Waste Rock Dumps (Defaults)</v>
      </c>
      <c r="C64" s="675"/>
      <c r="D64" s="695">
        <f>'7. Overburden Dumps Piles'!E40</f>
        <v>0</v>
      </c>
      <c r="E64" s="664" t="s">
        <v>95</v>
      </c>
      <c r="F64" s="665">
        <f>'7. Overburden Dumps Piles'!K40</f>
        <v>0</v>
      </c>
      <c r="G64" s="666">
        <f>'7. Overburden Dumps Piles'!J40</f>
        <v>0</v>
      </c>
      <c r="H64" s="673">
        <f>IF(G64&gt;0,1,0)</f>
        <v>0</v>
      </c>
      <c r="I64" s="656"/>
      <c r="J64" s="657"/>
      <c r="K64" s="657"/>
      <c r="L64" s="657"/>
      <c r="M64" s="657"/>
      <c r="N64" s="657"/>
    </row>
    <row r="65" spans="1:14" s="658" customFormat="1" ht="19.899999999999999" customHeight="1">
      <c r="A65" s="465"/>
      <c r="B65" s="674" t="str">
        <f>'7. Overburden Dumps Piles'!C49</f>
        <v>Waste Rock Dumps (User)</v>
      </c>
      <c r="C65" s="675"/>
      <c r="D65" s="695">
        <f>'7. Overburden Dumps Piles'!E70</f>
        <v>0</v>
      </c>
      <c r="E65" s="664" t="s">
        <v>95</v>
      </c>
      <c r="F65" s="665">
        <f>'7. Overburden Dumps Piles'!EG70</f>
        <v>0</v>
      </c>
      <c r="G65" s="666">
        <f>'7. Overburden Dumps Piles'!EF70</f>
        <v>0</v>
      </c>
      <c r="H65" s="673">
        <f t="shared" ref="H65:H67" si="3">IF(G65&gt;0,1,0)</f>
        <v>0</v>
      </c>
      <c r="I65" s="656"/>
      <c r="J65" s="657"/>
      <c r="K65" s="657"/>
      <c r="L65" s="657"/>
      <c r="M65" s="657"/>
      <c r="N65" s="657"/>
    </row>
    <row r="66" spans="1:14" s="658" customFormat="1" ht="19.899999999999999" customHeight="1">
      <c r="A66" s="465"/>
      <c r="B66" s="674" t="str">
        <f>'7. Overburden Dumps Piles'!C78</f>
        <v>Overburden Dumps and Spoil Piles (User Defined)</v>
      </c>
      <c r="C66" s="675"/>
      <c r="D66" s="695">
        <f>'7. Overburden Dumps Piles'!E99</f>
        <v>0</v>
      </c>
      <c r="E66" s="664" t="s">
        <v>95</v>
      </c>
      <c r="F66" s="665">
        <f>'7. Overburden Dumps Piles'!CR99</f>
        <v>0</v>
      </c>
      <c r="G66" s="666">
        <f>'7. Overburden Dumps Piles'!CQ99</f>
        <v>0</v>
      </c>
      <c r="H66" s="673">
        <f t="shared" si="3"/>
        <v>0</v>
      </c>
      <c r="I66" s="656"/>
      <c r="J66" s="657"/>
      <c r="K66" s="657"/>
      <c r="L66" s="657"/>
      <c r="M66" s="657"/>
      <c r="N66" s="657"/>
    </row>
    <row r="67" spans="1:14" s="658" customFormat="1" ht="19.899999999999999" customHeight="1">
      <c r="A67" s="465"/>
      <c r="B67" s="661" t="str">
        <f>'7. Overburden Dumps Piles'!C107</f>
        <v>Growth Media Stockpiles</v>
      </c>
      <c r="C67" s="662"/>
      <c r="D67" s="696">
        <f>'7. Overburden Dumps Piles'!E121</f>
        <v>0</v>
      </c>
      <c r="E67" s="679" t="s">
        <v>95</v>
      </c>
      <c r="F67" s="680">
        <f>'7. Overburden Dumps Piles'!BA121</f>
        <v>0</v>
      </c>
      <c r="G67" s="697">
        <f>'7. Overburden Dumps Piles'!AZ121</f>
        <v>0</v>
      </c>
      <c r="H67" s="673">
        <f t="shared" si="3"/>
        <v>0</v>
      </c>
      <c r="I67" s="656"/>
      <c r="J67" s="657"/>
      <c r="K67" s="657"/>
      <c r="L67" s="657"/>
      <c r="M67" s="657"/>
      <c r="N67" s="657"/>
    </row>
    <row r="68" spans="1:14" s="658" customFormat="1" ht="19.899999999999999" customHeight="1">
      <c r="A68" s="465"/>
      <c r="B68" s="668"/>
      <c r="C68" s="668"/>
      <c r="D68" s="668"/>
      <c r="E68" s="668"/>
      <c r="F68" s="669"/>
      <c r="G68" s="682">
        <f>'7. Overburden Dumps Piles'!B3</f>
        <v>0</v>
      </c>
      <c r="H68" s="673">
        <v>1</v>
      </c>
      <c r="I68" s="656"/>
      <c r="J68" s="657"/>
      <c r="K68" s="657"/>
      <c r="L68" s="657"/>
      <c r="M68" s="657"/>
      <c r="N68" s="657"/>
    </row>
    <row r="69" spans="1:14" s="658" customFormat="1" ht="19.899999999999999" customHeight="1">
      <c r="A69" s="465"/>
      <c r="B69" s="671" t="str">
        <f>_8._HEAP_LEACH_PADS</f>
        <v>8. Heap Leach Pads</v>
      </c>
      <c r="C69" s="672"/>
      <c r="D69" s="672"/>
      <c r="E69" s="672"/>
      <c r="F69" s="672"/>
      <c r="G69" s="672"/>
      <c r="H69" s="673">
        <v>1</v>
      </c>
      <c r="J69" s="657"/>
      <c r="K69" s="657"/>
      <c r="L69" s="657"/>
      <c r="M69" s="657"/>
      <c r="N69" s="657"/>
    </row>
    <row r="70" spans="1:14" s="658" customFormat="1" ht="19.899999999999999" customHeight="1">
      <c r="A70" s="465"/>
      <c r="B70" s="674" t="str">
        <f>'8. Heap Leach Pads'!C16</f>
        <v>Heap Leach Pads (Defaults)</v>
      </c>
      <c r="C70" s="675"/>
      <c r="D70" s="676">
        <f>'8. Heap Leach Pads'!E40</f>
        <v>0</v>
      </c>
      <c r="E70" s="664" t="s">
        <v>95</v>
      </c>
      <c r="F70" s="665">
        <f>'8. Heap Leach Pads'!J41</f>
        <v>0</v>
      </c>
      <c r="G70" s="666">
        <f>'8. Heap Leach Pads'!J40</f>
        <v>0</v>
      </c>
      <c r="H70" s="673">
        <f>IF(G70&gt;0,1,0)</f>
        <v>0</v>
      </c>
      <c r="I70" s="656"/>
      <c r="J70" s="657"/>
      <c r="K70" s="657"/>
      <c r="L70" s="657"/>
      <c r="M70" s="657"/>
      <c r="N70" s="657"/>
    </row>
    <row r="71" spans="1:14" s="658" customFormat="1" ht="19.899999999999999" customHeight="1">
      <c r="A71" s="465"/>
      <c r="B71" s="661" t="str">
        <f>'8. Heap Leach Pads'!C49</f>
        <v>Heap Leach Pad (User)</v>
      </c>
      <c r="C71" s="662"/>
      <c r="D71" s="678">
        <f>'8. Heap Leach Pads'!E70</f>
        <v>0</v>
      </c>
      <c r="E71" s="679" t="s">
        <v>95</v>
      </c>
      <c r="F71" s="680">
        <f>'8. Heap Leach Pads'!EN70</f>
        <v>0</v>
      </c>
      <c r="G71" s="666">
        <f>'8. Heap Leach Pads'!EM70</f>
        <v>0</v>
      </c>
      <c r="H71" s="673">
        <f>IF(G71&gt;0,1,0)</f>
        <v>0</v>
      </c>
      <c r="I71" s="656"/>
      <c r="J71" s="657"/>
      <c r="K71" s="657"/>
      <c r="L71" s="657"/>
      <c r="M71" s="657"/>
      <c r="N71" s="657"/>
    </row>
    <row r="72" spans="1:14" s="658" customFormat="1" ht="19.899999999999999" customHeight="1">
      <c r="A72" s="465"/>
      <c r="B72" s="668"/>
      <c r="C72" s="668"/>
      <c r="D72" s="668"/>
      <c r="E72" s="668"/>
      <c r="F72" s="669"/>
      <c r="G72" s="682">
        <f>'8. Heap Leach Pads'!B3</f>
        <v>0</v>
      </c>
      <c r="H72" s="673">
        <v>1</v>
      </c>
      <c r="I72" s="656"/>
      <c r="J72" s="657"/>
      <c r="K72" s="657"/>
      <c r="L72" s="657"/>
      <c r="M72" s="657"/>
      <c r="N72" s="657"/>
    </row>
    <row r="73" spans="1:14" s="658" customFormat="1" ht="19.899999999999999" customHeight="1">
      <c r="A73" s="465"/>
      <c r="B73" s="671" t="str">
        <f>_9._TAILING_STORAGE_FACILITIES__REJECTS__SLIMES__SLIMES_STORAGE_FACILITIES</f>
        <v>9. Tailings Storage Facilities, Rejects, Slimes, Slimes Storage Facilities</v>
      </c>
      <c r="C73" s="672"/>
      <c r="D73" s="692"/>
      <c r="E73" s="693"/>
      <c r="F73" s="694"/>
      <c r="G73" s="694"/>
      <c r="H73" s="673">
        <v>1</v>
      </c>
      <c r="J73" s="657"/>
      <c r="K73" s="657"/>
      <c r="L73" s="657"/>
      <c r="M73" s="657"/>
      <c r="N73" s="657"/>
    </row>
    <row r="74" spans="1:14" s="658" customFormat="1" ht="19.899999999999999" customHeight="1">
      <c r="A74" s="465"/>
      <c r="B74" s="674" t="str">
        <f>'9. Tailings Storage Facilities'!C17</f>
        <v>Tailings Storage Facilities (Defaults)</v>
      </c>
      <c r="C74" s="675"/>
      <c r="D74" s="676">
        <f>'9. Tailings Storage Facilities'!E41</f>
        <v>0</v>
      </c>
      <c r="E74" s="664" t="s">
        <v>95</v>
      </c>
      <c r="F74" s="665">
        <f>'9. Tailings Storage Facilities'!J42</f>
        <v>0</v>
      </c>
      <c r="G74" s="666">
        <f>'9. Tailings Storage Facilities'!J41</f>
        <v>0</v>
      </c>
      <c r="H74" s="673">
        <f>IF(G74&gt;0,1,0)</f>
        <v>0</v>
      </c>
      <c r="I74" s="656"/>
      <c r="J74" s="657"/>
      <c r="K74" s="657"/>
      <c r="L74" s="657"/>
      <c r="M74" s="657"/>
      <c r="N74" s="657"/>
    </row>
    <row r="75" spans="1:14" s="658" customFormat="1" ht="19.899999999999999" customHeight="1">
      <c r="A75" s="465"/>
      <c r="B75" s="661" t="str">
        <f>'9. Tailings Storage Facilities'!C50</f>
        <v>Tailings Storage Facilities (User)</v>
      </c>
      <c r="C75" s="662"/>
      <c r="D75" s="678">
        <f>'9. Tailings Storage Facilities'!E71</f>
        <v>0</v>
      </c>
      <c r="E75" s="679" t="s">
        <v>95</v>
      </c>
      <c r="F75" s="680">
        <f>'9. Tailings Storage Facilities'!FA71</f>
        <v>0</v>
      </c>
      <c r="G75" s="666">
        <f>'9. Tailings Storage Facilities'!EZ71</f>
        <v>0</v>
      </c>
      <c r="H75" s="673">
        <f t="shared" ref="H75" si="4">IF(G75&gt;0,1,0)</f>
        <v>0</v>
      </c>
      <c r="I75" s="656"/>
      <c r="J75" s="657"/>
      <c r="K75" s="657"/>
      <c r="L75" s="657"/>
      <c r="M75" s="657"/>
      <c r="N75" s="657"/>
    </row>
    <row r="76" spans="1:14" s="658" customFormat="1" ht="19.899999999999999" customHeight="1">
      <c r="A76" s="465"/>
      <c r="B76" s="668"/>
      <c r="C76" s="668"/>
      <c r="D76" s="668"/>
      <c r="E76" s="668"/>
      <c r="F76" s="669"/>
      <c r="G76" s="682">
        <f>'9. Tailings Storage Facilities'!B3</f>
        <v>0</v>
      </c>
      <c r="H76" s="673">
        <v>1</v>
      </c>
      <c r="I76" s="656"/>
      <c r="J76" s="657"/>
      <c r="K76" s="657"/>
      <c r="L76" s="657"/>
      <c r="M76" s="657"/>
      <c r="N76" s="657"/>
    </row>
    <row r="77" spans="1:14" s="658" customFormat="1" ht="19.899999999999999" customHeight="1">
      <c r="A77" s="465"/>
      <c r="B77" s="671" t="str">
        <f>_10._PITS</f>
        <v>10. Pits</v>
      </c>
      <c r="C77" s="672"/>
      <c r="D77" s="672"/>
      <c r="E77" s="672"/>
      <c r="F77" s="672"/>
      <c r="G77" s="691"/>
      <c r="H77" s="673">
        <v>1</v>
      </c>
      <c r="J77" s="657"/>
      <c r="K77" s="657"/>
      <c r="L77" s="657"/>
      <c r="M77" s="657"/>
      <c r="N77" s="657"/>
    </row>
    <row r="78" spans="1:14" s="658" customFormat="1" ht="19.899999999999999" customHeight="1">
      <c r="A78" s="465"/>
      <c r="B78" s="674" t="s">
        <v>75</v>
      </c>
      <c r="C78" s="675"/>
      <c r="D78" s="676">
        <f>'10. Pits'!E34</f>
        <v>0</v>
      </c>
      <c r="E78" s="664" t="s">
        <v>95</v>
      </c>
      <c r="F78" s="665">
        <f>'10. Pits'!X34</f>
        <v>0</v>
      </c>
      <c r="G78" s="666">
        <f>'10. Pits'!W34</f>
        <v>0</v>
      </c>
      <c r="H78" s="673">
        <f>IF(G78&gt;0,1,0)</f>
        <v>0</v>
      </c>
      <c r="I78" s="656"/>
      <c r="J78" s="657"/>
      <c r="K78" s="657"/>
      <c r="L78" s="657"/>
      <c r="M78" s="657"/>
      <c r="N78" s="657"/>
    </row>
    <row r="79" spans="1:14" s="658" customFormat="1" ht="19.899999999999999" customHeight="1">
      <c r="A79" s="465"/>
      <c r="B79" s="465"/>
      <c r="C79" s="465"/>
      <c r="D79" s="465"/>
      <c r="E79" s="465"/>
      <c r="F79" s="698"/>
      <c r="G79" s="682">
        <f>'10. Pits'!B3</f>
        <v>0</v>
      </c>
      <c r="H79" s="673">
        <v>1</v>
      </c>
      <c r="I79" s="656"/>
      <c r="J79" s="657"/>
      <c r="K79" s="657"/>
      <c r="L79" s="657"/>
      <c r="M79" s="657"/>
      <c r="N79" s="657"/>
    </row>
    <row r="80" spans="1:14" s="658" customFormat="1" ht="19.899999999999999" customHeight="1">
      <c r="A80" s="465"/>
      <c r="B80" s="671" t="str">
        <f>_11_UNDERGROUND_MINES</f>
        <v>11. Underground Mines</v>
      </c>
      <c r="C80" s="672"/>
      <c r="D80" s="672"/>
      <c r="E80" s="672"/>
      <c r="F80" s="672"/>
      <c r="G80" s="691"/>
      <c r="H80" s="673">
        <v>1</v>
      </c>
      <c r="J80" s="657"/>
      <c r="K80" s="657"/>
      <c r="L80" s="657"/>
      <c r="M80" s="657"/>
      <c r="N80" s="657"/>
    </row>
    <row r="81" spans="1:14" s="658" customFormat="1" ht="19.899999999999999" customHeight="1">
      <c r="A81" s="465"/>
      <c r="B81" s="661" t="s">
        <v>75</v>
      </c>
      <c r="C81" s="662"/>
      <c r="G81" s="666">
        <f>'11.Underground Mines'!AN32</f>
        <v>0</v>
      </c>
      <c r="H81" s="673">
        <f>IF(G81&gt;0,1,0)</f>
        <v>0</v>
      </c>
      <c r="I81" s="656"/>
      <c r="J81" s="657"/>
      <c r="K81" s="657"/>
      <c r="L81" s="657"/>
      <c r="M81" s="657"/>
      <c r="N81" s="657"/>
    </row>
    <row r="82" spans="1:14" s="658" customFormat="1" ht="19.899999999999999" customHeight="1">
      <c r="A82" s="465"/>
      <c r="B82" s="668"/>
      <c r="C82" s="668"/>
      <c r="D82" s="668"/>
      <c r="E82" s="668"/>
      <c r="F82" s="669"/>
      <c r="G82" s="682">
        <f>'11.Underground Mines'!B3</f>
        <v>0</v>
      </c>
      <c r="H82" s="673">
        <v>1</v>
      </c>
      <c r="I82" s="656"/>
      <c r="J82" s="657"/>
      <c r="K82" s="657"/>
      <c r="L82" s="657"/>
      <c r="M82" s="657"/>
      <c r="N82" s="657"/>
    </row>
    <row r="83" spans="1:14" s="658" customFormat="1" ht="19.899999999999999" customHeight="1">
      <c r="A83" s="465"/>
      <c r="B83" s="671" t="str">
        <f>_12._PORTS</f>
        <v>12. Ports</v>
      </c>
      <c r="C83" s="672"/>
      <c r="D83" s="672"/>
      <c r="E83" s="672"/>
      <c r="F83" s="672"/>
      <c r="G83" s="672"/>
      <c r="H83" s="673"/>
      <c r="J83" s="657"/>
      <c r="K83" s="657"/>
      <c r="L83" s="657"/>
      <c r="M83" s="657"/>
      <c r="N83" s="657"/>
    </row>
    <row r="84" spans="1:14" s="658" customFormat="1" ht="19.899999999999999" customHeight="1">
      <c r="A84" s="465"/>
      <c r="B84" s="674" t="str">
        <f>'12. Ports'!C7</f>
        <v>Ports (and other Marine Facilities) - Defaults</v>
      </c>
      <c r="C84" s="675"/>
      <c r="G84" s="666">
        <f>'12. Ports'!K31</f>
        <v>0</v>
      </c>
      <c r="H84" s="673">
        <f>IF(G84&gt;0,1,0)</f>
        <v>0</v>
      </c>
      <c r="I84" s="656"/>
      <c r="J84" s="657"/>
      <c r="K84" s="657"/>
      <c r="L84" s="657"/>
      <c r="M84" s="657"/>
      <c r="N84" s="657"/>
    </row>
    <row r="85" spans="1:14" s="658" customFormat="1" ht="19.899999999999999" customHeight="1">
      <c r="A85" s="465"/>
      <c r="B85" s="661" t="str">
        <f>'12. Ports'!C39</f>
        <v>Ports (and other Marine Facilities) - User Build</v>
      </c>
      <c r="C85" s="662"/>
      <c r="D85" s="678">
        <f>'12. Ports'!E53</f>
        <v>0</v>
      </c>
      <c r="E85" s="679" t="str">
        <f>'12. Ports'!E41</f>
        <v>ha</v>
      </c>
      <c r="F85" s="680">
        <f>'12. Ports'!DQ53</f>
        <v>0</v>
      </c>
      <c r="G85" s="666">
        <f>'12. Ports'!DP53</f>
        <v>0</v>
      </c>
      <c r="H85" s="673">
        <f t="shared" ref="H85" si="5">IF(G85&gt;0,1,0)</f>
        <v>0</v>
      </c>
      <c r="I85" s="656"/>
      <c r="J85" s="657"/>
      <c r="K85" s="657"/>
      <c r="L85" s="657"/>
      <c r="M85" s="657"/>
      <c r="N85" s="657"/>
    </row>
    <row r="86" spans="1:14" s="658" customFormat="1" ht="19.899999999999999" customHeight="1">
      <c r="A86" s="465"/>
      <c r="B86" s="668"/>
      <c r="C86" s="668"/>
      <c r="D86" s="668"/>
      <c r="E86" s="668"/>
      <c r="F86" s="669"/>
      <c r="G86" s="682">
        <f>'12. Ports'!B3</f>
        <v>0</v>
      </c>
      <c r="H86" s="673">
        <v>1</v>
      </c>
      <c r="I86" s="656"/>
      <c r="J86" s="657"/>
      <c r="K86" s="657"/>
      <c r="L86" s="657"/>
      <c r="M86" s="657"/>
      <c r="N86" s="657"/>
    </row>
    <row r="87" spans="1:14" s="658" customFormat="1" ht="19.899999999999999" customHeight="1">
      <c r="A87" s="465"/>
      <c r="B87" s="671" t="str">
        <f>_13._INVESTIGATION_CONTAMINATION_SCRAP_LEVY</f>
        <v>13. Investigation, Contamination, Scrap, Waste Levy</v>
      </c>
      <c r="C87" s="672"/>
      <c r="D87" s="672"/>
      <c r="E87" s="672"/>
      <c r="F87" s="672"/>
      <c r="G87" s="672"/>
      <c r="H87" s="673">
        <v>1</v>
      </c>
      <c r="I87" s="656"/>
      <c r="J87" s="657"/>
      <c r="K87" s="657"/>
      <c r="L87" s="657"/>
      <c r="M87" s="657"/>
      <c r="N87" s="657"/>
    </row>
    <row r="88" spans="1:14" s="658" customFormat="1" ht="19.899999999999999" customHeight="1">
      <c r="A88" s="465"/>
      <c r="B88" s="674" t="str">
        <f>'13. Investigation Contamination'!C10</f>
        <v>Land Investigation</v>
      </c>
      <c r="C88" s="675"/>
      <c r="D88" s="676">
        <f>'13. Investigation Contamination'!M24</f>
        <v>0</v>
      </c>
      <c r="E88" s="664" t="s">
        <v>95</v>
      </c>
      <c r="F88" s="665">
        <f>'13. Investigation Contamination'!V24</f>
        <v>0</v>
      </c>
      <c r="G88" s="666">
        <f>'13. Investigation Contamination'!U24</f>
        <v>0</v>
      </c>
      <c r="H88" s="673">
        <f>IF(G88&gt;0,1,0)</f>
        <v>0</v>
      </c>
      <c r="I88" s="656"/>
      <c r="J88" s="657"/>
      <c r="K88" s="657"/>
      <c r="L88" s="657"/>
      <c r="M88" s="657"/>
      <c r="N88" s="657"/>
    </row>
    <row r="89" spans="1:14" s="658" customFormat="1" ht="19.5" customHeight="1">
      <c r="A89" s="465"/>
      <c r="B89" s="674" t="str">
        <f>'13. Investigation Contamination'!C27</f>
        <v>Remove material from footprint of process facility / stockpile area / roads and dump in void on-site from footprint of the process facility (leach pads) / stockpile area (ROM product) / roads and dump in a void on-site or to tailings (e.g. sludge)</v>
      </c>
      <c r="C89" s="675"/>
      <c r="D89" s="676">
        <f>'13. Investigation Contamination'!F41</f>
        <v>0</v>
      </c>
      <c r="E89" s="664" t="s">
        <v>15</v>
      </c>
      <c r="F89" s="665">
        <f>'13. Investigation Contamination'!N41</f>
        <v>0</v>
      </c>
      <c r="G89" s="666">
        <f>'13. Investigation Contamination'!M41</f>
        <v>0</v>
      </c>
      <c r="H89" s="673">
        <f t="shared" ref="H89:H93" si="6">IF(G89&gt;0,1,0)</f>
        <v>0</v>
      </c>
      <c r="I89" s="656"/>
      <c r="J89" s="657"/>
      <c r="K89" s="657"/>
      <c r="L89" s="657"/>
      <c r="M89" s="657"/>
      <c r="N89" s="657"/>
    </row>
    <row r="90" spans="1:14" s="658" customFormat="1" ht="23.65" customHeight="1">
      <c r="A90" s="465"/>
      <c r="B90" s="674" t="str">
        <f>'13. Investigation Contamination'!C45</f>
        <v>Remove scrap (only where a source separate to process equipment and other activities generating waste)</v>
      </c>
      <c r="C90" s="675"/>
      <c r="D90" s="676">
        <f>'13. Investigation Contamination'!F59</f>
        <v>0</v>
      </c>
      <c r="E90" s="664" t="s">
        <v>33</v>
      </c>
      <c r="F90" s="665">
        <f>'13. Investigation Contamination'!L59</f>
        <v>0</v>
      </c>
      <c r="G90" s="666">
        <f>'13. Investigation Contamination'!K59</f>
        <v>0</v>
      </c>
      <c r="H90" s="673">
        <f t="shared" si="6"/>
        <v>0</v>
      </c>
      <c r="I90" s="656"/>
      <c r="J90" s="657"/>
      <c r="K90" s="657"/>
      <c r="L90" s="657"/>
      <c r="M90" s="657"/>
      <c r="N90" s="657"/>
    </row>
    <row r="91" spans="1:14" s="658" customFormat="1" ht="19.899999999999999" customHeight="1">
      <c r="A91" s="465"/>
      <c r="B91" s="674" t="str">
        <f>'13. Investigation Contamination'!C61</f>
        <v>Disposal to Off-site Facility</v>
      </c>
      <c r="C91" s="675"/>
      <c r="D91" s="676">
        <f>'13. Investigation Contamination'!F75</f>
        <v>0</v>
      </c>
      <c r="E91" s="664" t="s">
        <v>33</v>
      </c>
      <c r="F91" s="665">
        <f>'13. Investigation Contamination'!L75</f>
        <v>0</v>
      </c>
      <c r="G91" s="666">
        <f>'13. Investigation Contamination'!K75</f>
        <v>0</v>
      </c>
      <c r="H91" s="673">
        <f t="shared" si="6"/>
        <v>0</v>
      </c>
      <c r="I91" s="656"/>
      <c r="J91" s="657"/>
      <c r="K91" s="657"/>
      <c r="L91" s="657"/>
      <c r="M91" s="657"/>
      <c r="N91" s="657"/>
    </row>
    <row r="92" spans="1:14" s="658" customFormat="1" ht="19.899999999999999" customHeight="1">
      <c r="A92" s="465"/>
      <c r="B92" s="699" t="str">
        <f>'13. Investigation Contamination'!C77</f>
        <v>Disposal to Off-site Facility - Waste Levy</v>
      </c>
      <c r="C92" s="700"/>
      <c r="D92" s="676">
        <f>'13. Investigation Contamination'!I89</f>
        <v>0</v>
      </c>
      <c r="E92" s="664" t="s">
        <v>33</v>
      </c>
      <c r="F92" s="665">
        <f>'13. Investigation Contamination'!K89</f>
        <v>0</v>
      </c>
      <c r="G92" s="666">
        <f>'13. Investigation Contamination'!J89</f>
        <v>0</v>
      </c>
      <c r="H92" s="673">
        <f t="shared" si="6"/>
        <v>0</v>
      </c>
      <c r="I92" s="656"/>
      <c r="J92" s="657"/>
      <c r="K92" s="657"/>
      <c r="L92" s="657"/>
      <c r="M92" s="657"/>
      <c r="N92" s="657"/>
    </row>
    <row r="93" spans="1:14" s="658" customFormat="1" ht="19.899999999999999" customHeight="1">
      <c r="A93" s="465"/>
      <c r="B93" s="661" t="str">
        <f>'13. Investigation Contamination'!C93</f>
        <v>Soil Bioremediation</v>
      </c>
      <c r="C93" s="662"/>
      <c r="D93" s="678">
        <f>'13. Investigation Contamination'!F115</f>
        <v>0</v>
      </c>
      <c r="E93" s="679" t="s">
        <v>33</v>
      </c>
      <c r="F93" s="680">
        <f>'13. Investigation Contamination'!L115</f>
        <v>0</v>
      </c>
      <c r="G93" s="666">
        <f>'13. Investigation Contamination'!K115</f>
        <v>0</v>
      </c>
      <c r="H93" s="673">
        <f t="shared" si="6"/>
        <v>0</v>
      </c>
      <c r="I93" s="656"/>
      <c r="J93" s="657"/>
      <c r="K93" s="657"/>
      <c r="L93" s="657"/>
      <c r="M93" s="657"/>
      <c r="N93" s="657"/>
    </row>
    <row r="94" spans="1:14" s="658" customFormat="1" ht="19.899999999999999" customHeight="1">
      <c r="A94" s="465"/>
      <c r="B94" s="668"/>
      <c r="C94" s="668"/>
      <c r="D94" s="668"/>
      <c r="E94" s="668"/>
      <c r="F94" s="669"/>
      <c r="G94" s="682">
        <f>'13. Investigation Contamination'!B3</f>
        <v>0</v>
      </c>
      <c r="H94" s="673">
        <v>1</v>
      </c>
      <c r="I94" s="656"/>
      <c r="J94" s="657"/>
      <c r="K94" s="657"/>
      <c r="L94" s="657"/>
      <c r="M94" s="657"/>
      <c r="N94" s="657"/>
    </row>
    <row r="95" spans="1:14" s="658" customFormat="1" ht="19.899999999999999" customHeight="1">
      <c r="A95" s="465"/>
      <c r="B95" s="671" t="str">
        <f>_14._GENERAL_LAND_REHABILITATION</f>
        <v>14. General Land Rehabilitation</v>
      </c>
      <c r="C95" s="701"/>
      <c r="D95" s="701"/>
      <c r="E95" s="701"/>
      <c r="F95" s="701"/>
      <c r="G95" s="691"/>
      <c r="H95" s="673">
        <v>1</v>
      </c>
      <c r="J95" s="657"/>
      <c r="K95" s="657"/>
      <c r="L95" s="657"/>
      <c r="M95" s="657"/>
      <c r="N95" s="657"/>
    </row>
    <row r="96" spans="1:14" s="658" customFormat="1" ht="19.899999999999999" customHeight="1">
      <c r="A96" s="465"/>
      <c r="B96" s="674" t="str">
        <f>'14. General Land Rehabilitation'!C9</f>
        <v>Land Rehabilitation and Repair of Subsidence and Land Management</v>
      </c>
      <c r="C96" s="675"/>
      <c r="D96" s="702">
        <f>SUM('14. General Land Rehabilitation'!E23:M23)</f>
        <v>0</v>
      </c>
      <c r="E96" s="703" t="s">
        <v>1494</v>
      </c>
      <c r="F96" s="704">
        <f>'14. General Land Rehabilitation'!AF23</f>
        <v>0</v>
      </c>
      <c r="G96" s="666">
        <f>'14. General Land Rehabilitation'!AE23</f>
        <v>0</v>
      </c>
      <c r="H96" s="673">
        <f>IF(G96&gt;0,1,0)</f>
        <v>0</v>
      </c>
      <c r="I96" s="656"/>
      <c r="J96" s="657"/>
      <c r="K96" s="657"/>
      <c r="L96" s="657"/>
      <c r="M96" s="657"/>
      <c r="N96" s="657"/>
    </row>
    <row r="97" spans="1:14" s="658" customFormat="1" ht="19.899999999999999" customHeight="1">
      <c r="A97" s="465"/>
      <c r="B97" s="674" t="str">
        <f>'14. General Land Rehabilitation'!C29</f>
        <v>Natural Drainage and Diversions</v>
      </c>
      <c r="C97" s="675"/>
      <c r="D97" s="677">
        <f>SUM('14. General Land Rehabilitation'!E43:L43)</f>
        <v>0</v>
      </c>
      <c r="E97" s="664" t="s">
        <v>1494</v>
      </c>
      <c r="F97" s="665">
        <f>'14. General Land Rehabilitation'!Y43</f>
        <v>0</v>
      </c>
      <c r="G97" s="666">
        <f>'14. General Land Rehabilitation'!X43</f>
        <v>0</v>
      </c>
      <c r="H97" s="673">
        <f t="shared" ref="H97:H104" si="7">IF(G97&gt;0,1,0)</f>
        <v>0</v>
      </c>
      <c r="I97" s="656"/>
      <c r="J97" s="657"/>
      <c r="K97" s="657"/>
      <c r="L97" s="657"/>
      <c r="M97" s="657"/>
      <c r="N97" s="657"/>
    </row>
    <row r="98" spans="1:14" s="658" customFormat="1" ht="19.899999999999999" customHeight="1">
      <c r="A98" s="465"/>
      <c r="B98" s="674" t="str">
        <f>'14. General Land Rehabilitation'!C49</f>
        <v>General Grade and Rip</v>
      </c>
      <c r="C98" s="675"/>
      <c r="D98" s="677">
        <f>SUM('14. General Land Rehabilitation'!E63:M63)</f>
        <v>0</v>
      </c>
      <c r="E98" s="664" t="s">
        <v>1495</v>
      </c>
      <c r="F98" s="665">
        <f>'14. General Land Rehabilitation'!Z63</f>
        <v>0</v>
      </c>
      <c r="G98" s="666">
        <f>'14. General Land Rehabilitation'!Y63</f>
        <v>0</v>
      </c>
      <c r="H98" s="673">
        <f>IF(G98&gt;0,1,0)</f>
        <v>0</v>
      </c>
      <c r="I98" s="656"/>
      <c r="J98" s="657"/>
      <c r="K98" s="657"/>
      <c r="L98" s="657"/>
      <c r="M98" s="657"/>
      <c r="N98" s="657"/>
    </row>
    <row r="99" spans="1:14" s="658" customFormat="1" ht="19.899999999999999" customHeight="1">
      <c r="A99" s="465"/>
      <c r="B99" s="674" t="str">
        <f>'14. General Land Rehabilitation'!C69</f>
        <v>General Doze and Rip</v>
      </c>
      <c r="C99" s="675"/>
      <c r="D99" s="676">
        <f>SUM('14. General Land Rehabilitation'!E83:P83)</f>
        <v>0</v>
      </c>
      <c r="E99" s="664" t="s">
        <v>95</v>
      </c>
      <c r="F99" s="665">
        <f>'14. General Land Rehabilitation'!AF83</f>
        <v>0</v>
      </c>
      <c r="G99" s="666">
        <f>'14. General Land Rehabilitation'!AE83</f>
        <v>0</v>
      </c>
      <c r="H99" s="673">
        <f t="shared" si="7"/>
        <v>0</v>
      </c>
      <c r="I99" s="656"/>
      <c r="J99" s="657"/>
      <c r="K99" s="657"/>
      <c r="L99" s="657"/>
      <c r="M99" s="657"/>
      <c r="N99" s="657"/>
    </row>
    <row r="100" spans="1:14" s="658" customFormat="1" ht="19.899999999999999" customHeight="1">
      <c r="A100" s="465"/>
      <c r="B100" s="674" t="str">
        <f>'14. General Land Rehabilitation'!C90</f>
        <v>Miscellaneous Soil Amelioration and Seeding</v>
      </c>
      <c r="C100" s="675"/>
      <c r="D100" s="677">
        <f>SUM('14. General Land Rehabilitation'!E104:Q104)</f>
        <v>0</v>
      </c>
      <c r="E100" s="664" t="s">
        <v>1495</v>
      </c>
      <c r="F100" s="665">
        <f>'14. General Land Rehabilitation'!AH104</f>
        <v>0</v>
      </c>
      <c r="G100" s="666">
        <f>'14. General Land Rehabilitation'!AG104</f>
        <v>0</v>
      </c>
      <c r="H100" s="673">
        <f t="shared" si="7"/>
        <v>0</v>
      </c>
      <c r="I100" s="656"/>
      <c r="J100" s="657"/>
      <c r="K100" s="657"/>
      <c r="L100" s="657"/>
      <c r="M100" s="657"/>
      <c r="N100" s="657"/>
    </row>
    <row r="101" spans="1:14" s="658" customFormat="1" ht="19.899999999999999" customHeight="1">
      <c r="A101" s="465"/>
      <c r="B101" s="674" t="str">
        <f>'14. General Land Rehabilitation'!C110</f>
        <v>Bores</v>
      </c>
      <c r="C101" s="675"/>
      <c r="D101" s="677">
        <f>SUM('14. General Land Rehabilitation'!E124:M124)</f>
        <v>0</v>
      </c>
      <c r="E101" s="664" t="s">
        <v>1496</v>
      </c>
      <c r="F101" s="665">
        <f>'14. General Land Rehabilitation'!Z124</f>
        <v>0</v>
      </c>
      <c r="G101" s="666">
        <f>'14. General Land Rehabilitation'!Y124</f>
        <v>0</v>
      </c>
      <c r="H101" s="673">
        <f t="shared" si="7"/>
        <v>0</v>
      </c>
      <c r="I101" s="656"/>
      <c r="J101" s="657"/>
      <c r="K101" s="657"/>
      <c r="L101" s="657"/>
      <c r="M101" s="657"/>
      <c r="N101" s="657"/>
    </row>
    <row r="102" spans="1:14" s="658" customFormat="1" ht="19.899999999999999" customHeight="1">
      <c r="A102" s="465"/>
      <c r="B102" s="674" t="str">
        <f>'14. General Land Rehabilitation'!C129</f>
        <v>Long Distance Carting of Amendments</v>
      </c>
      <c r="C102" s="675"/>
      <c r="D102" s="676">
        <f>SUM('14. General Land Rehabilitation'!E143)</f>
        <v>0</v>
      </c>
      <c r="E102" s="664" t="s">
        <v>95</v>
      </c>
      <c r="F102" s="665">
        <f>'14. General Land Rehabilitation'!S143</f>
        <v>0</v>
      </c>
      <c r="G102" s="666">
        <f>'14. General Land Rehabilitation'!R143</f>
        <v>0</v>
      </c>
      <c r="H102" s="673">
        <f t="shared" si="7"/>
        <v>0</v>
      </c>
      <c r="I102" s="656"/>
      <c r="J102" s="657"/>
      <c r="K102" s="657"/>
      <c r="L102" s="657"/>
      <c r="M102" s="657"/>
      <c r="N102" s="657"/>
    </row>
    <row r="103" spans="1:14" s="658" customFormat="1" ht="19.899999999999999" customHeight="1">
      <c r="A103" s="465"/>
      <c r="B103" s="674" t="str">
        <f>'14. General Land Rehabilitation'!C146</f>
        <v>Purchase, Load, Haul, Place Growth Media</v>
      </c>
      <c r="C103" s="675"/>
      <c r="D103" s="676">
        <f>'14. General Land Rehabilitation'!E160</f>
        <v>0</v>
      </c>
      <c r="E103" s="664" t="s">
        <v>15</v>
      </c>
      <c r="F103" s="665">
        <f>'14. General Land Rehabilitation'!T160</f>
        <v>0</v>
      </c>
      <c r="G103" s="666">
        <f>'14. General Land Rehabilitation'!S160</f>
        <v>0</v>
      </c>
      <c r="H103" s="673">
        <f>IF(G103&gt;0,1,0)</f>
        <v>0</v>
      </c>
      <c r="I103" s="656"/>
      <c r="J103" s="657"/>
      <c r="K103" s="657"/>
      <c r="L103" s="657"/>
      <c r="M103" s="657"/>
      <c r="N103" s="657"/>
    </row>
    <row r="104" spans="1:14" s="658" customFormat="1" ht="19.899999999999999" customHeight="1">
      <c r="A104" s="465"/>
      <c r="B104" s="661" t="str">
        <f>'14. General Land Rehabilitation'!C162</f>
        <v>Long Distance Carting of Clay</v>
      </c>
      <c r="C104" s="662"/>
      <c r="D104" s="678">
        <f>'14. General Land Rehabilitation'!E176</f>
        <v>0</v>
      </c>
      <c r="E104" s="679" t="s">
        <v>95</v>
      </c>
      <c r="F104" s="680">
        <f>'14. General Land Rehabilitation'!R177</f>
        <v>0</v>
      </c>
      <c r="G104" s="666">
        <f>'14. General Land Rehabilitation'!Q176</f>
        <v>0</v>
      </c>
      <c r="H104" s="673">
        <f t="shared" si="7"/>
        <v>0</v>
      </c>
      <c r="I104" s="656"/>
      <c r="J104" s="657"/>
      <c r="K104" s="657"/>
      <c r="L104" s="657"/>
      <c r="M104" s="657"/>
      <c r="N104" s="657"/>
    </row>
    <row r="105" spans="1:14" s="658" customFormat="1" ht="19.899999999999999" customHeight="1">
      <c r="A105" s="465"/>
      <c r="B105" s="668"/>
      <c r="C105" s="668"/>
      <c r="D105" s="668"/>
      <c r="E105" s="668"/>
      <c r="F105" s="668"/>
      <c r="G105" s="670">
        <f>'14. General Land Rehabilitation'!B3</f>
        <v>0</v>
      </c>
      <c r="H105" s="673">
        <v>1</v>
      </c>
      <c r="I105" s="656"/>
      <c r="J105" s="657"/>
      <c r="K105" s="657"/>
      <c r="L105" s="657"/>
      <c r="M105" s="657"/>
      <c r="N105" s="657"/>
    </row>
    <row r="106" spans="1:14" s="658" customFormat="1" ht="19.899999999999999" customHeight="1">
      <c r="A106" s="465"/>
      <c r="B106" s="671" t="str">
        <f>_15._MOBILISATION___DEMOBILISATION_AND_ADDITIONAL_USER_ITEMS</f>
        <v>15. Mobilisation / Demobilisation and Additional User Items</v>
      </c>
      <c r="C106" s="672"/>
      <c r="D106" s="692"/>
      <c r="E106" s="693"/>
      <c r="F106" s="693"/>
      <c r="G106" s="693"/>
      <c r="H106" s="673">
        <v>1</v>
      </c>
      <c r="I106" s="656"/>
      <c r="J106" s="657"/>
      <c r="K106" s="657"/>
      <c r="L106" s="657"/>
      <c r="M106" s="657"/>
      <c r="N106" s="657"/>
    </row>
    <row r="107" spans="1:14" s="658" customFormat="1" ht="19.899999999999999" customHeight="1">
      <c r="A107" s="465"/>
      <c r="B107" s="674" t="s">
        <v>1497</v>
      </c>
      <c r="C107" s="675"/>
      <c r="D107" s="677">
        <f>SUM('15. Mobilisation and User'!E10:E13)</f>
        <v>0</v>
      </c>
      <c r="E107" s="664" t="s">
        <v>1498</v>
      </c>
      <c r="F107" s="665">
        <f>IF(SUM('15. Mobilisation and User'!E10:E13)=0,0,SUM('15. Mobilisation and User'!H10:H13)/SUM('15. Mobilisation and User'!E10:E13))</f>
        <v>0</v>
      </c>
      <c r="G107" s="666">
        <f>SUM('15. Mobilisation and User'!H10:H13)</f>
        <v>0</v>
      </c>
      <c r="H107" s="673">
        <f>IF(G107&gt;0,1,0)</f>
        <v>0</v>
      </c>
      <c r="I107" s="656"/>
      <c r="J107" s="657"/>
      <c r="K107" s="657"/>
      <c r="L107" s="657"/>
      <c r="M107" s="657"/>
      <c r="N107" s="657"/>
    </row>
    <row r="108" spans="1:14" s="658" customFormat="1" ht="19.899999999999999" customHeight="1">
      <c r="A108" s="465"/>
      <c r="B108" s="674" t="s">
        <v>1499</v>
      </c>
      <c r="C108" s="675"/>
      <c r="D108" s="677">
        <f>SUM('15. Mobilisation and User'!E14:E17)</f>
        <v>0</v>
      </c>
      <c r="E108" s="664" t="s">
        <v>1498</v>
      </c>
      <c r="F108" s="665">
        <f>IF(SUM('15. Mobilisation and User'!E14:E17)=0,0,SUM('15. Mobilisation and User'!H14:H17)/SUM('15. Mobilisation and User'!E14:E17))</f>
        <v>0</v>
      </c>
      <c r="G108" s="666">
        <f>SUM('15. Mobilisation and User'!H14:H17)</f>
        <v>0</v>
      </c>
      <c r="H108" s="673">
        <f t="shared" ref="H108:H111" si="8">IF(G108&gt;0,1,0)</f>
        <v>0</v>
      </c>
      <c r="I108" s="656"/>
      <c r="J108" s="657"/>
      <c r="K108" s="657"/>
      <c r="L108" s="657"/>
      <c r="M108" s="657"/>
      <c r="N108" s="657"/>
    </row>
    <row r="109" spans="1:14" s="658" customFormat="1" ht="19.899999999999999" customHeight="1">
      <c r="A109" s="465"/>
      <c r="B109" s="674" t="s">
        <v>1500</v>
      </c>
      <c r="C109" s="675"/>
      <c r="D109" s="677">
        <f>SUM('15. Mobilisation and User'!E18:E21)</f>
        <v>0</v>
      </c>
      <c r="E109" s="664" t="s">
        <v>1498</v>
      </c>
      <c r="F109" s="665">
        <f>IF(SUM('15. Mobilisation and User'!E18:E21)=0,0,SUM('15. Mobilisation and User'!H18:H21)/SUM('15. Mobilisation and User'!E18:E21))</f>
        <v>0</v>
      </c>
      <c r="G109" s="666">
        <f>SUM('15. Mobilisation and User'!H18:H21)</f>
        <v>0</v>
      </c>
      <c r="H109" s="673">
        <f t="shared" si="8"/>
        <v>0</v>
      </c>
      <c r="I109" s="656"/>
      <c r="J109" s="657"/>
      <c r="K109" s="657"/>
      <c r="L109" s="657"/>
      <c r="M109" s="657"/>
      <c r="N109" s="657"/>
    </row>
    <row r="110" spans="1:14" s="658" customFormat="1" ht="19.899999999999999" customHeight="1">
      <c r="A110" s="465"/>
      <c r="B110" s="674" t="s">
        <v>1501</v>
      </c>
      <c r="C110" s="675"/>
      <c r="D110" s="677">
        <f>SUM('15. Mobilisation and User'!E22:E25)</f>
        <v>0</v>
      </c>
      <c r="E110" s="664" t="s">
        <v>1498</v>
      </c>
      <c r="F110" s="665">
        <f>IF(SUM('15. Mobilisation and User'!E22:E25)=0,0,SUM('15. Mobilisation and User'!H22:H25)/SUM('15. Mobilisation and User'!E22:E25))</f>
        <v>0</v>
      </c>
      <c r="G110" s="666">
        <f>SUM('15. Mobilisation and User'!H22:H25)</f>
        <v>0</v>
      </c>
      <c r="H110" s="673">
        <f t="shared" si="8"/>
        <v>0</v>
      </c>
      <c r="I110" s="656"/>
      <c r="J110" s="657"/>
      <c r="K110" s="657"/>
      <c r="L110" s="657"/>
      <c r="M110" s="657"/>
      <c r="N110" s="657"/>
    </row>
    <row r="111" spans="1:14" s="658" customFormat="1" ht="19.899999999999999" customHeight="1">
      <c r="A111" s="465"/>
      <c r="B111" s="674" t="str">
        <f>IF((G10+G19+G50+G58+G53+G62+G68+G72+G76+G79+G82+G86+G94+G105)&gt;=1000000,"Mobilisation &amp; Demobilisation - Small Projects - Rate not applicable","Mobilisation &amp; Demobilisation - Small Projects")</f>
        <v>Mobilisation &amp; Demobilisation - Small Projects</v>
      </c>
      <c r="C111" s="675"/>
      <c r="D111" s="729"/>
      <c r="E111" s="664" t="s">
        <v>1498</v>
      </c>
      <c r="F111" s="665">
        <f>IF(G125&gt;1000000,"Rate Not Applicable",IF(D111&gt;0,G125*10%,0))</f>
        <v>0</v>
      </c>
      <c r="G111" s="666">
        <f>IFERROR(D111*F111,0)</f>
        <v>0</v>
      </c>
      <c r="H111" s="673">
        <f t="shared" si="8"/>
        <v>0</v>
      </c>
      <c r="I111" s="656"/>
      <c r="J111" s="657"/>
      <c r="K111" s="657"/>
      <c r="L111" s="657"/>
      <c r="M111" s="657"/>
      <c r="N111" s="657"/>
    </row>
    <row r="112" spans="1:14" s="658" customFormat="1" ht="19.899999999999999" customHeight="1">
      <c r="A112" s="465"/>
      <c r="B112" s="543" t="str">
        <f>IF((G10+G19+G50+G58+G53+G62+G68+G72+G76+G79+G82+G86+G94+G105)&gt;=1000000,"","If total ERC is &lt; A$1M before PM, M&amp;M, contingency and mobe, user can elect to select items (10% applied as mobe)")</f>
        <v>If total ERC is &lt; A$1M before PM, M&amp;M, contingency and mobe, user can elect to select items (10% applied as mobe)</v>
      </c>
      <c r="C112" s="668"/>
      <c r="D112" s="668"/>
      <c r="E112" s="668"/>
      <c r="F112" s="669"/>
      <c r="G112" s="670">
        <f>'15. Mobilisation and User'!H27+G111</f>
        <v>0</v>
      </c>
      <c r="H112" s="673">
        <v>1</v>
      </c>
      <c r="I112" s="656"/>
      <c r="J112" s="657"/>
      <c r="K112" s="657"/>
      <c r="L112" s="657"/>
      <c r="M112" s="657"/>
      <c r="N112" s="657"/>
    </row>
    <row r="113" spans="1:14" s="658" customFormat="1" ht="19.899999999999999" customHeight="1">
      <c r="A113" s="465"/>
      <c r="B113" s="650" t="str">
        <f>'15. Mobilisation and User'!C30</f>
        <v>Additional Items</v>
      </c>
      <c r="C113" s="705"/>
      <c r="D113" s="706"/>
      <c r="E113" s="706"/>
      <c r="F113" s="707"/>
      <c r="G113" s="708"/>
      <c r="H113" s="673">
        <v>1</v>
      </c>
      <c r="I113" s="656"/>
      <c r="J113" s="657"/>
      <c r="K113" s="657"/>
      <c r="L113" s="657"/>
      <c r="M113" s="657"/>
      <c r="N113" s="657"/>
    </row>
    <row r="114" spans="1:14" s="658" customFormat="1" ht="19.899999999999999" customHeight="1">
      <c r="A114" s="465"/>
      <c r="B114" s="674" t="s">
        <v>1502</v>
      </c>
      <c r="C114" s="675"/>
      <c r="D114" s="676">
        <f>'15. Mobilisation and User'!E64</f>
        <v>0</v>
      </c>
      <c r="E114" s="664" t="s">
        <v>1495</v>
      </c>
      <c r="F114" s="665">
        <f>'15. Mobilisation and User'!H65</f>
        <v>0</v>
      </c>
      <c r="G114" s="666">
        <f>'15. Mobilisation and User'!H64</f>
        <v>0</v>
      </c>
      <c r="H114" s="673">
        <f>IF(G114&gt;0,1,0)</f>
        <v>0</v>
      </c>
      <c r="I114" s="656"/>
      <c r="J114" s="657"/>
      <c r="K114" s="657"/>
      <c r="L114" s="657"/>
      <c r="M114" s="657"/>
      <c r="N114" s="657"/>
    </row>
    <row r="115" spans="1:14" s="658" customFormat="1" ht="19.899999999999999" customHeight="1">
      <c r="A115" s="465"/>
      <c r="B115" s="465"/>
      <c r="C115" s="465"/>
      <c r="D115" s="465"/>
      <c r="E115" s="465"/>
      <c r="F115" s="465"/>
      <c r="G115" s="670">
        <f>'15. Mobilisation and User'!H64</f>
        <v>0</v>
      </c>
      <c r="H115" s="673">
        <v>1</v>
      </c>
      <c r="I115" s="656"/>
      <c r="J115" s="657"/>
      <c r="K115" s="657"/>
      <c r="L115" s="657"/>
      <c r="M115" s="657"/>
      <c r="N115" s="657"/>
    </row>
    <row r="116" spans="1:14" s="658" customFormat="1" ht="19.899999999999999" customHeight="1">
      <c r="A116" s="465"/>
      <c r="B116" s="650" t="s">
        <v>1503</v>
      </c>
      <c r="C116" s="705"/>
      <c r="D116" s="706"/>
      <c r="E116" s="706"/>
      <c r="F116" s="707"/>
      <c r="G116" s="709">
        <f>SUM(G10,G19,G50,G58,G62,G53,G68,G72,G76,G79,G82,G86,G105,G94,G112,G115)</f>
        <v>0</v>
      </c>
      <c r="H116" s="673">
        <v>1</v>
      </c>
      <c r="I116" s="656"/>
      <c r="J116" s="657"/>
      <c r="K116" s="657"/>
      <c r="L116" s="657"/>
      <c r="M116" s="657"/>
      <c r="N116" s="657"/>
    </row>
    <row r="117" spans="1:14" s="658" customFormat="1" ht="19.899999999999999" customHeight="1">
      <c r="A117" s="465"/>
      <c r="B117" s="465"/>
      <c r="C117" s="465"/>
      <c r="D117" s="465"/>
      <c r="E117" s="465"/>
      <c r="F117" s="465"/>
      <c r="G117" s="710"/>
      <c r="H117" s="673"/>
      <c r="I117" s="656"/>
      <c r="J117" s="657"/>
      <c r="K117" s="657"/>
      <c r="L117" s="657"/>
      <c r="M117" s="657"/>
      <c r="N117" s="657"/>
    </row>
    <row r="118" spans="1:14" s="658" customFormat="1" ht="19.899999999999999" customHeight="1">
      <c r="A118" s="465"/>
      <c r="B118" s="650" t="s">
        <v>1504</v>
      </c>
      <c r="C118" s="705"/>
      <c r="D118" s="706"/>
      <c r="E118" s="706"/>
      <c r="F118" s="707"/>
      <c r="G118" s="708"/>
      <c r="H118" s="673"/>
      <c r="I118" s="656"/>
      <c r="J118" s="657"/>
      <c r="K118" s="657"/>
      <c r="L118" s="657"/>
      <c r="M118" s="657"/>
      <c r="N118" s="657"/>
    </row>
    <row r="119" spans="1:14" s="658" customFormat="1" ht="19.899999999999999" customHeight="1">
      <c r="A119" s="465"/>
      <c r="B119" s="674" t="s">
        <v>1505</v>
      </c>
      <c r="C119" s="675"/>
      <c r="D119" s="702"/>
      <c r="E119" s="730"/>
      <c r="F119" s="711">
        <v>0.1</v>
      </c>
      <c r="G119" s="712">
        <f>IF(E119="",F119,E119)*$G$116</f>
        <v>0</v>
      </c>
      <c r="H119" s="673"/>
      <c r="I119" s="713"/>
      <c r="J119" s="657"/>
      <c r="K119" s="657"/>
      <c r="L119" s="657"/>
      <c r="M119" s="657"/>
      <c r="N119" s="657"/>
    </row>
    <row r="120" spans="1:14" s="658" customFormat="1" ht="19.899999999999999" customHeight="1">
      <c r="A120" s="465"/>
      <c r="B120" s="674" t="s">
        <v>1506</v>
      </c>
      <c r="C120" s="675"/>
      <c r="D120" s="677"/>
      <c r="E120" s="731"/>
      <c r="F120" s="714">
        <v>0.05</v>
      </c>
      <c r="G120" s="666">
        <f>IF(E120="",F120,E120)*$G$116</f>
        <v>0</v>
      </c>
      <c r="H120" s="673"/>
      <c r="I120" s="713"/>
      <c r="J120" s="657"/>
      <c r="K120" s="657"/>
      <c r="L120" s="657"/>
      <c r="M120" s="657"/>
      <c r="N120" s="657"/>
    </row>
    <row r="121" spans="1:14" s="658" customFormat="1" ht="19.899999999999999" customHeight="1">
      <c r="A121" s="465"/>
      <c r="B121" s="674" t="s">
        <v>1507</v>
      </c>
      <c r="C121" s="675"/>
      <c r="D121" s="675"/>
      <c r="E121" s="675"/>
      <c r="F121" s="715">
        <v>0.1</v>
      </c>
      <c r="G121" s="716">
        <f>F121*$G$116</f>
        <v>0</v>
      </c>
      <c r="H121" s="673"/>
      <c r="I121" s="713"/>
      <c r="J121" s="657"/>
      <c r="K121" s="657"/>
      <c r="L121" s="657"/>
      <c r="M121" s="657"/>
      <c r="N121" s="657"/>
    </row>
    <row r="122" spans="1:14" s="658" customFormat="1" ht="19.899999999999999" customHeight="1">
      <c r="A122" s="465"/>
      <c r="B122" s="650" t="s">
        <v>1508</v>
      </c>
      <c r="C122" s="705"/>
      <c r="D122" s="706"/>
      <c r="E122" s="706"/>
      <c r="F122" s="707"/>
      <c r="G122" s="717">
        <f>SUM(G116,G119:G121)</f>
        <v>0</v>
      </c>
      <c r="H122" s="673"/>
      <c r="I122" s="656"/>
      <c r="J122" s="657"/>
      <c r="K122" s="657"/>
      <c r="L122" s="657"/>
      <c r="M122" s="657"/>
      <c r="N122" s="657"/>
    </row>
    <row r="123" spans="1:14" s="658" customFormat="1" ht="19.899999999999999" customHeight="1">
      <c r="A123" s="465"/>
      <c r="B123" s="543" t="s">
        <v>1509</v>
      </c>
      <c r="C123" s="718"/>
      <c r="D123" s="465"/>
      <c r="E123" s="465"/>
      <c r="F123" s="465"/>
      <c r="G123" s="719"/>
      <c r="H123" s="673"/>
      <c r="I123" s="656"/>
      <c r="J123" s="657"/>
      <c r="K123" s="657"/>
      <c r="L123" s="657"/>
      <c r="M123" s="657"/>
      <c r="N123" s="657"/>
    </row>
    <row r="124" spans="1:14" s="658" customFormat="1" ht="19.899999999999999" customHeight="1">
      <c r="A124" s="465"/>
      <c r="B124" s="720" t="s">
        <v>1510</v>
      </c>
      <c r="C124" s="720"/>
      <c r="D124" s="721"/>
      <c r="E124" s="721"/>
      <c r="F124" s="722"/>
      <c r="G124" s="723">
        <f>G122-Registration!E10</f>
        <v>0</v>
      </c>
      <c r="H124" s="673"/>
      <c r="I124" s="656"/>
      <c r="J124" s="657"/>
      <c r="K124" s="657"/>
      <c r="L124" s="657"/>
      <c r="M124" s="657"/>
      <c r="N124" s="657"/>
    </row>
    <row r="125" spans="1:14">
      <c r="A125" s="724"/>
      <c r="B125" s="724"/>
      <c r="C125" s="724"/>
      <c r="D125" s="724"/>
      <c r="E125" s="724"/>
      <c r="F125" s="725" t="s">
        <v>1511</v>
      </c>
      <c r="G125" s="726">
        <f>G10+G19+G50+G58+G53+G62+G68+G72+G76+G79+G82+G86+G94+G105+G114</f>
        <v>0</v>
      </c>
      <c r="I125" s="552"/>
    </row>
    <row r="127" spans="1:14">
      <c r="C127" s="728" t="s">
        <v>1512</v>
      </c>
    </row>
    <row r="128" spans="1:14" ht="66.75" customHeight="1">
      <c r="H128" s="434"/>
    </row>
    <row r="129" spans="2:8" ht="33.75">
      <c r="B129" s="641"/>
      <c r="C129" s="732" t="s">
        <v>1513</v>
      </c>
      <c r="D129" s="641"/>
      <c r="E129" s="641"/>
      <c r="F129" s="641"/>
      <c r="G129" s="641"/>
      <c r="H129" s="434"/>
    </row>
    <row r="130" spans="2:8">
      <c r="B130" s="641"/>
      <c r="C130" s="641"/>
      <c r="D130" s="641"/>
      <c r="E130" s="641"/>
      <c r="F130" s="641"/>
      <c r="G130" s="641"/>
      <c r="H130" s="434"/>
    </row>
    <row r="131" spans="2:8">
      <c r="C131" s="728" t="s">
        <v>1514</v>
      </c>
    </row>
    <row r="132" spans="2:8" ht="146.25" customHeight="1">
      <c r="H132" s="434"/>
    </row>
    <row r="133" spans="2:8" ht="33.75">
      <c r="C133" s="732" t="s">
        <v>1513</v>
      </c>
    </row>
    <row r="134" spans="2:8" ht="12.75" customHeight="1"/>
    <row r="135" spans="2:8" ht="12.75" customHeight="1"/>
  </sheetData>
  <sheetProtection algorithmName="SHA-512" hashValue="gE8DaKz9Quldfdln2wZ9+T1zQNKzwOugUwhah6iHKYrQkIsAuaHpMfvQPcxE23meG1KyFNZR9qqq/Ci8MF9QVg==" saltValue="qEBZOohL8rtZ/1Cn+YBQlg==" spinCount="100000" sheet="1" objects="1" scenarios="1" autoFilter="0"/>
  <autoFilter ref="H1:H125" xr:uid="{00000000-0001-0000-0200-000000000000}"/>
  <conditionalFormatting sqref="D5">
    <cfRule type="expression" dxfId="487" priority="507" stopIfTrue="1">
      <formula>#REF!="N"</formula>
    </cfRule>
    <cfRule type="expression" dxfId="486" priority="508" stopIfTrue="1">
      <formula>#REF!="Y"</formula>
    </cfRule>
  </conditionalFormatting>
  <conditionalFormatting sqref="D7">
    <cfRule type="expression" dxfId="485" priority="53" stopIfTrue="1">
      <formula>#REF!="N"</formula>
    </cfRule>
    <cfRule type="expression" dxfId="484" priority="54" stopIfTrue="1">
      <formula>#REF!="Y"</formula>
    </cfRule>
  </conditionalFormatting>
  <conditionalFormatting sqref="E119">
    <cfRule type="cellIs" dxfId="483" priority="19" operator="notEqual">
      <formula>$F$119</formula>
    </cfRule>
  </conditionalFormatting>
  <conditionalFormatting sqref="E120">
    <cfRule type="cellIs" dxfId="482" priority="18" operator="notEqual">
      <formula>$F$120</formula>
    </cfRule>
  </conditionalFormatting>
  <conditionalFormatting sqref="H8 H11 H20:H21 H54">
    <cfRule type="containsText" dxfId="481" priority="43" operator="containsText" text="No Alert">
      <formula>NOT(ISERROR(SEARCH("No Alert",H8)))</formula>
    </cfRule>
    <cfRule type="containsText" dxfId="480" priority="44" operator="containsText" text="Error">
      <formula>NOT(ISERROR(SEARCH("Error",H8)))</formula>
    </cfRule>
  </conditionalFormatting>
  <conditionalFormatting sqref="I3">
    <cfRule type="containsText" dxfId="479" priority="6" operator="containsText" text="No Alert">
      <formula>NOT(ISERROR(SEARCH("No Alert",I3)))</formula>
    </cfRule>
    <cfRule type="containsText" dxfId="478" priority="7" operator="containsText" text="Error">
      <formula>NOT(ISERROR(SEARCH("Error",I3)))</formula>
    </cfRule>
  </conditionalFormatting>
  <conditionalFormatting sqref="I119:I121">
    <cfRule type="containsText" dxfId="477" priority="28" operator="containsText" text="Enter">
      <formula>NOT(ISERROR(SEARCH("Enter",I119)))</formula>
    </cfRule>
  </conditionalFormatting>
  <dataValidations count="5">
    <dataValidation type="list" allowBlank="1" showInputMessage="1" showErrorMessage="1" sqref="FC65628 OY65628 YU65628 AIQ65628 ASM65628 BCI65628 BME65628 BWA65628 CFW65628 CPS65628 CZO65628 DJK65628 DTG65628 EDC65628 EMY65628 EWU65628 FGQ65628 FQM65628 GAI65628 GKE65628 GUA65628 HDW65628 HNS65628 HXO65628 IHK65628 IRG65628 JBC65628 JKY65628 JUU65628 KEQ65628 KOM65628 KYI65628 LIE65628 LSA65628 MBW65628 MLS65628 MVO65628 NFK65628 NPG65628 NZC65628 OIY65628 OSU65628 PCQ65628 PMM65628 PWI65628 QGE65628 QQA65628 QZW65628 RJS65628 RTO65628 SDK65628 SNG65628 SXC65628 TGY65628 TQU65628 UAQ65628 UKM65628 UUI65628 VEE65628 VOA65628 VXW65628 WHS65628 WRO65628 FC131164 OY131164 YU131164 AIQ131164 ASM131164 BCI131164 BME131164 BWA131164 CFW131164 CPS131164 CZO131164 DJK131164 DTG131164 EDC131164 EMY131164 EWU131164 FGQ131164 FQM131164 GAI131164 GKE131164 GUA131164 HDW131164 HNS131164 HXO131164 IHK131164 IRG131164 JBC131164 JKY131164 JUU131164 KEQ131164 KOM131164 KYI131164 LIE131164 LSA131164 MBW131164 MLS131164 MVO131164 NFK131164 NPG131164 NZC131164 OIY131164 OSU131164 PCQ131164 PMM131164 PWI131164 QGE131164 QQA131164 QZW131164 RJS131164 RTO131164 SDK131164 SNG131164 SXC131164 TGY131164 TQU131164 UAQ131164 UKM131164 UUI131164 VEE131164 VOA131164 VXW131164 WHS131164 WRO131164 FC196700 OY196700 YU196700 AIQ196700 ASM196700 BCI196700 BME196700 BWA196700 CFW196700 CPS196700 CZO196700 DJK196700 DTG196700 EDC196700 EMY196700 EWU196700 FGQ196700 FQM196700 GAI196700 GKE196700 GUA196700 HDW196700 HNS196700 HXO196700 IHK196700 IRG196700 JBC196700 JKY196700 JUU196700 KEQ196700 KOM196700 KYI196700 LIE196700 LSA196700 MBW196700 MLS196700 MVO196700 NFK196700 NPG196700 NZC196700 OIY196700 OSU196700 PCQ196700 PMM196700 PWI196700 QGE196700 QQA196700 QZW196700 RJS196700 RTO196700 SDK196700 SNG196700 SXC196700 TGY196700 TQU196700 UAQ196700 UKM196700 UUI196700 VEE196700 VOA196700 VXW196700 WHS196700 WRO196700 FC262236 OY262236 YU262236 AIQ262236 ASM262236 BCI262236 BME262236 BWA262236 CFW262236 CPS262236 CZO262236 DJK262236 DTG262236 EDC262236 EMY262236 EWU262236 FGQ262236 FQM262236 GAI262236 GKE262236 GUA262236 HDW262236 HNS262236 HXO262236 IHK262236 IRG262236 JBC262236 JKY262236 JUU262236 KEQ262236 KOM262236 KYI262236 LIE262236 LSA262236 MBW262236 MLS262236 MVO262236 NFK262236 NPG262236 NZC262236 OIY262236 OSU262236 PCQ262236 PMM262236 PWI262236 QGE262236 QQA262236 QZW262236 RJS262236 RTO262236 SDK262236 SNG262236 SXC262236 TGY262236 TQU262236 UAQ262236 UKM262236 UUI262236 VEE262236 VOA262236 VXW262236 WHS262236 WRO262236 FC327772 OY327772 YU327772 AIQ327772 ASM327772 BCI327772 BME327772 BWA327772 CFW327772 CPS327772 CZO327772 DJK327772 DTG327772 EDC327772 EMY327772 EWU327772 FGQ327772 FQM327772 GAI327772 GKE327772 GUA327772 HDW327772 HNS327772 HXO327772 IHK327772 IRG327772 JBC327772 JKY327772 JUU327772 KEQ327772 KOM327772 KYI327772 LIE327772 LSA327772 MBW327772 MLS327772 MVO327772 NFK327772 NPG327772 NZC327772 OIY327772 OSU327772 PCQ327772 PMM327772 PWI327772 QGE327772 QQA327772 QZW327772 RJS327772 RTO327772 SDK327772 SNG327772 SXC327772 TGY327772 TQU327772 UAQ327772 UKM327772 UUI327772 VEE327772 VOA327772 VXW327772 WHS327772 WRO327772 FC393308 OY393308 YU393308 AIQ393308 ASM393308 BCI393308 BME393308 BWA393308 CFW393308 CPS393308 CZO393308 DJK393308 DTG393308 EDC393308 EMY393308 EWU393308 FGQ393308 FQM393308 GAI393308 GKE393308 GUA393308 HDW393308 HNS393308 HXO393308 IHK393308 IRG393308 JBC393308 JKY393308 JUU393308 KEQ393308 KOM393308 KYI393308 LIE393308 LSA393308 MBW393308 MLS393308 MVO393308 NFK393308 NPG393308 NZC393308 OIY393308 OSU393308 PCQ393308 PMM393308 PWI393308 QGE393308 QQA393308 QZW393308 RJS393308 RTO393308 SDK393308 SNG393308 SXC393308 TGY393308 TQU393308 UAQ393308 UKM393308 UUI393308 VEE393308 VOA393308 VXW393308 WHS393308 WRO393308 FC458844 OY458844 YU458844 AIQ458844 ASM458844 BCI458844 BME458844 BWA458844 CFW458844 CPS458844 CZO458844 DJK458844 DTG458844 EDC458844 EMY458844 EWU458844 FGQ458844 FQM458844 GAI458844 GKE458844 GUA458844 HDW458844 HNS458844 HXO458844 IHK458844 IRG458844 JBC458844 JKY458844 JUU458844 KEQ458844 KOM458844 KYI458844 LIE458844 LSA458844 MBW458844 MLS458844 MVO458844 NFK458844 NPG458844 NZC458844 OIY458844 OSU458844 PCQ458844 PMM458844 PWI458844 QGE458844 QQA458844 QZW458844 RJS458844 RTO458844 SDK458844 SNG458844 SXC458844 TGY458844 TQU458844 UAQ458844 UKM458844 UUI458844 VEE458844 VOA458844 VXW458844 WHS458844 WRO458844 FC524380 OY524380 YU524380 AIQ524380 ASM524380 BCI524380 BME524380 BWA524380 CFW524380 CPS524380 CZO524380 DJK524380 DTG524380 EDC524380 EMY524380 EWU524380 FGQ524380 FQM524380 GAI524380 GKE524380 GUA524380 HDW524380 HNS524380 HXO524380 IHK524380 IRG524380 JBC524380 JKY524380 JUU524380 KEQ524380 KOM524380 KYI524380 LIE524380 LSA524380 MBW524380 MLS524380 MVO524380 NFK524380 NPG524380 NZC524380 OIY524380 OSU524380 PCQ524380 PMM524380 PWI524380 QGE524380 QQA524380 QZW524380 RJS524380 RTO524380 SDK524380 SNG524380 SXC524380 TGY524380 TQU524380 UAQ524380 UKM524380 UUI524380 VEE524380 VOA524380 VXW524380 WHS524380 WRO524380 FC589916 OY589916 YU589916 AIQ589916 ASM589916 BCI589916 BME589916 BWA589916 CFW589916 CPS589916 CZO589916 DJK589916 DTG589916 EDC589916 EMY589916 EWU589916 FGQ589916 FQM589916 GAI589916 GKE589916 GUA589916 HDW589916 HNS589916 HXO589916 IHK589916 IRG589916 JBC589916 JKY589916 JUU589916 KEQ589916 KOM589916 KYI589916 LIE589916 LSA589916 MBW589916 MLS589916 MVO589916 NFK589916 NPG589916 NZC589916 OIY589916 OSU589916 PCQ589916 PMM589916 PWI589916 QGE589916 QQA589916 QZW589916 RJS589916 RTO589916 SDK589916 SNG589916 SXC589916 TGY589916 TQU589916 UAQ589916 UKM589916 UUI589916 VEE589916 VOA589916 VXW589916 WHS589916 WRO589916 FC655452 OY655452 YU655452 AIQ655452 ASM655452 BCI655452 BME655452 BWA655452 CFW655452 CPS655452 CZO655452 DJK655452 DTG655452 EDC655452 EMY655452 EWU655452 FGQ655452 FQM655452 GAI655452 GKE655452 GUA655452 HDW655452 HNS655452 HXO655452 IHK655452 IRG655452 JBC655452 JKY655452 JUU655452 KEQ655452 KOM655452 KYI655452 LIE655452 LSA655452 MBW655452 MLS655452 MVO655452 NFK655452 NPG655452 NZC655452 OIY655452 OSU655452 PCQ655452 PMM655452 PWI655452 QGE655452 QQA655452 QZW655452 RJS655452 RTO655452 SDK655452 SNG655452 SXC655452 TGY655452 TQU655452 UAQ655452 UKM655452 UUI655452 VEE655452 VOA655452 VXW655452 WHS655452 WRO655452 FC720988 OY720988 YU720988 AIQ720988 ASM720988 BCI720988 BME720988 BWA720988 CFW720988 CPS720988 CZO720988 DJK720988 DTG720988 EDC720988 EMY720988 EWU720988 FGQ720988 FQM720988 GAI720988 GKE720988 GUA720988 HDW720988 HNS720988 HXO720988 IHK720988 IRG720988 JBC720988 JKY720988 JUU720988 KEQ720988 KOM720988 KYI720988 LIE720988 LSA720988 MBW720988 MLS720988 MVO720988 NFK720988 NPG720988 NZC720988 OIY720988 OSU720988 PCQ720988 PMM720988 PWI720988 QGE720988 QQA720988 QZW720988 RJS720988 RTO720988 SDK720988 SNG720988 SXC720988 TGY720988 TQU720988 UAQ720988 UKM720988 UUI720988 VEE720988 VOA720988 VXW720988 WHS720988 WRO720988 FC786524 OY786524 YU786524 AIQ786524 ASM786524 BCI786524 BME786524 BWA786524 CFW786524 CPS786524 CZO786524 DJK786524 DTG786524 EDC786524 EMY786524 EWU786524 FGQ786524 FQM786524 GAI786524 GKE786524 GUA786524 HDW786524 HNS786524 HXO786524 IHK786524 IRG786524 JBC786524 JKY786524 JUU786524 KEQ786524 KOM786524 KYI786524 LIE786524 LSA786524 MBW786524 MLS786524 MVO786524 NFK786524 NPG786524 NZC786524 OIY786524 OSU786524 PCQ786524 PMM786524 PWI786524 QGE786524 QQA786524 QZW786524 RJS786524 RTO786524 SDK786524 SNG786524 SXC786524 TGY786524 TQU786524 UAQ786524 UKM786524 UUI786524 VEE786524 VOA786524 VXW786524 WHS786524 WRO786524 FC852060 OY852060 YU852060 AIQ852060 ASM852060 BCI852060 BME852060 BWA852060 CFW852060 CPS852060 CZO852060 DJK852060 DTG852060 EDC852060 EMY852060 EWU852060 FGQ852060 FQM852060 GAI852060 GKE852060 GUA852060 HDW852060 HNS852060 HXO852060 IHK852060 IRG852060 JBC852060 JKY852060 JUU852060 KEQ852060 KOM852060 KYI852060 LIE852060 LSA852060 MBW852060 MLS852060 MVO852060 NFK852060 NPG852060 NZC852060 OIY852060 OSU852060 PCQ852060 PMM852060 PWI852060 QGE852060 QQA852060 QZW852060 RJS852060 RTO852060 SDK852060 SNG852060 SXC852060 TGY852060 TQU852060 UAQ852060 UKM852060 UUI852060 VEE852060 VOA852060 VXW852060 WHS852060 WRO852060 FC917596 OY917596 YU917596 AIQ917596 ASM917596 BCI917596 BME917596 BWA917596 CFW917596 CPS917596 CZO917596 DJK917596 DTG917596 EDC917596 EMY917596 EWU917596 FGQ917596 FQM917596 GAI917596 GKE917596 GUA917596 HDW917596 HNS917596 HXO917596 IHK917596 IRG917596 JBC917596 JKY917596 JUU917596 KEQ917596 KOM917596 KYI917596 LIE917596 LSA917596 MBW917596 MLS917596 MVO917596 NFK917596 NPG917596 NZC917596 OIY917596 OSU917596 PCQ917596 PMM917596 PWI917596 QGE917596 QQA917596 QZW917596 RJS917596 RTO917596 SDK917596 SNG917596 SXC917596 TGY917596 TQU917596 UAQ917596 UKM917596 UUI917596 VEE917596 VOA917596 VXW917596 WHS917596 WRO917596 FC983132 OY983132 YU983132 AIQ983132 ASM983132 BCI983132 BME983132 BWA983132 CFW983132 CPS983132 CZO983132 DJK983132 DTG983132 EDC983132 EMY983132 EWU983132 FGQ983132 FQM983132 GAI983132 GKE983132 GUA983132 HDW983132 HNS983132 HXO983132 IHK983132 IRG983132 JBC983132 JKY983132 JUU983132 KEQ983132 KOM983132 KYI983132 LIE983132 LSA983132 MBW983132 MLS983132 MVO983132 NFK983132 NPG983132 NZC983132 OIY983132 OSU983132 PCQ983132 PMM983132 PWI983132 QGE983132 QQA983132 QZW983132 RJS983132 RTO983132 SDK983132 SNG983132 SXC983132 TGY983132 TQU983132 UAQ983132 UKM983132 UUI983132 VEE983132 VOA983132 VXW983132 WHS983132 WRO983132 FC65579 OY65579 YU65579 AIQ65579 ASM65579 BCI65579 BME65579 BWA65579 CFW65579 CPS65579 CZO65579 DJK65579 DTG65579 EDC65579 EMY65579 EWU65579 FGQ65579 FQM65579 GAI65579 GKE65579 GUA65579 HDW65579 HNS65579 HXO65579 IHK65579 IRG65579 JBC65579 JKY65579 JUU65579 KEQ65579 KOM65579 KYI65579 LIE65579 LSA65579 MBW65579 MLS65579 MVO65579 NFK65579 NPG65579 NZC65579 OIY65579 OSU65579 PCQ65579 PMM65579 PWI65579 QGE65579 QQA65579 QZW65579 RJS65579 RTO65579 SDK65579 SNG65579 SXC65579 TGY65579 TQU65579 UAQ65579 UKM65579 UUI65579 VEE65579 VOA65579 VXW65579 WHS65579 WRO65579 FC131115 OY131115 YU131115 AIQ131115 ASM131115 BCI131115 BME131115 BWA131115 CFW131115 CPS131115 CZO131115 DJK131115 DTG131115 EDC131115 EMY131115 EWU131115 FGQ131115 FQM131115 GAI131115 GKE131115 GUA131115 HDW131115 HNS131115 HXO131115 IHK131115 IRG131115 JBC131115 JKY131115 JUU131115 KEQ131115 KOM131115 KYI131115 LIE131115 LSA131115 MBW131115 MLS131115 MVO131115 NFK131115 NPG131115 NZC131115 OIY131115 OSU131115 PCQ131115 PMM131115 PWI131115 QGE131115 QQA131115 QZW131115 RJS131115 RTO131115 SDK131115 SNG131115 SXC131115 TGY131115 TQU131115 UAQ131115 UKM131115 UUI131115 VEE131115 VOA131115 VXW131115 WHS131115 WRO131115 FC196651 OY196651 YU196651 AIQ196651 ASM196651 BCI196651 BME196651 BWA196651 CFW196651 CPS196651 CZO196651 DJK196651 DTG196651 EDC196651 EMY196651 EWU196651 FGQ196651 FQM196651 GAI196651 GKE196651 GUA196651 HDW196651 HNS196651 HXO196651 IHK196651 IRG196651 JBC196651 JKY196651 JUU196651 KEQ196651 KOM196651 KYI196651 LIE196651 LSA196651 MBW196651 MLS196651 MVO196651 NFK196651 NPG196651 NZC196651 OIY196651 OSU196651 PCQ196651 PMM196651 PWI196651 QGE196651 QQA196651 QZW196651 RJS196651 RTO196651 SDK196651 SNG196651 SXC196651 TGY196651 TQU196651 UAQ196651 UKM196651 UUI196651 VEE196651 VOA196651 VXW196651 WHS196651 WRO196651 FC262187 OY262187 YU262187 AIQ262187 ASM262187 BCI262187 BME262187 BWA262187 CFW262187 CPS262187 CZO262187 DJK262187 DTG262187 EDC262187 EMY262187 EWU262187 FGQ262187 FQM262187 GAI262187 GKE262187 GUA262187 HDW262187 HNS262187 HXO262187 IHK262187 IRG262187 JBC262187 JKY262187 JUU262187 KEQ262187 KOM262187 KYI262187 LIE262187 LSA262187 MBW262187 MLS262187 MVO262187 NFK262187 NPG262187 NZC262187 OIY262187 OSU262187 PCQ262187 PMM262187 PWI262187 QGE262187 QQA262187 QZW262187 RJS262187 RTO262187 SDK262187 SNG262187 SXC262187 TGY262187 TQU262187 UAQ262187 UKM262187 UUI262187 VEE262187 VOA262187 VXW262187 WHS262187 WRO262187 FC327723 OY327723 YU327723 AIQ327723 ASM327723 BCI327723 BME327723 BWA327723 CFW327723 CPS327723 CZO327723 DJK327723 DTG327723 EDC327723 EMY327723 EWU327723 FGQ327723 FQM327723 GAI327723 GKE327723 GUA327723 HDW327723 HNS327723 HXO327723 IHK327723 IRG327723 JBC327723 JKY327723 JUU327723 KEQ327723 KOM327723 KYI327723 LIE327723 LSA327723 MBW327723 MLS327723 MVO327723 NFK327723 NPG327723 NZC327723 OIY327723 OSU327723 PCQ327723 PMM327723 PWI327723 QGE327723 QQA327723 QZW327723 RJS327723 RTO327723 SDK327723 SNG327723 SXC327723 TGY327723 TQU327723 UAQ327723 UKM327723 UUI327723 VEE327723 VOA327723 VXW327723 WHS327723 WRO327723 FC393259 OY393259 YU393259 AIQ393259 ASM393259 BCI393259 BME393259 BWA393259 CFW393259 CPS393259 CZO393259 DJK393259 DTG393259 EDC393259 EMY393259 EWU393259 FGQ393259 FQM393259 GAI393259 GKE393259 GUA393259 HDW393259 HNS393259 HXO393259 IHK393259 IRG393259 JBC393259 JKY393259 JUU393259 KEQ393259 KOM393259 KYI393259 LIE393259 LSA393259 MBW393259 MLS393259 MVO393259 NFK393259 NPG393259 NZC393259 OIY393259 OSU393259 PCQ393259 PMM393259 PWI393259 QGE393259 QQA393259 QZW393259 RJS393259 RTO393259 SDK393259 SNG393259 SXC393259 TGY393259 TQU393259 UAQ393259 UKM393259 UUI393259 VEE393259 VOA393259 VXW393259 WHS393259 WRO393259 FC458795 OY458795 YU458795 AIQ458795 ASM458795 BCI458795 BME458795 BWA458795 CFW458795 CPS458795 CZO458795 DJK458795 DTG458795 EDC458795 EMY458795 EWU458795 FGQ458795 FQM458795 GAI458795 GKE458795 GUA458795 HDW458795 HNS458795 HXO458795 IHK458795 IRG458795 JBC458795 JKY458795 JUU458795 KEQ458795 KOM458795 KYI458795 LIE458795 LSA458795 MBW458795 MLS458795 MVO458795 NFK458795 NPG458795 NZC458795 OIY458795 OSU458795 PCQ458795 PMM458795 PWI458795 QGE458795 QQA458795 QZW458795 RJS458795 RTO458795 SDK458795 SNG458795 SXC458795 TGY458795 TQU458795 UAQ458795 UKM458795 UUI458795 VEE458795 VOA458795 VXW458795 WHS458795 WRO458795 FC524331 OY524331 YU524331 AIQ524331 ASM524331 BCI524331 BME524331 BWA524331 CFW524331 CPS524331 CZO524331 DJK524331 DTG524331 EDC524331 EMY524331 EWU524331 FGQ524331 FQM524331 GAI524331 GKE524331 GUA524331 HDW524331 HNS524331 HXO524331 IHK524331 IRG524331 JBC524331 JKY524331 JUU524331 KEQ524331 KOM524331 KYI524331 LIE524331 LSA524331 MBW524331 MLS524331 MVO524331 NFK524331 NPG524331 NZC524331 OIY524331 OSU524331 PCQ524331 PMM524331 PWI524331 QGE524331 QQA524331 QZW524331 RJS524331 RTO524331 SDK524331 SNG524331 SXC524331 TGY524331 TQU524331 UAQ524331 UKM524331 UUI524331 VEE524331 VOA524331 VXW524331 WHS524331 WRO524331 FC589867 OY589867 YU589867 AIQ589867 ASM589867 BCI589867 BME589867 BWA589867 CFW589867 CPS589867 CZO589867 DJK589867 DTG589867 EDC589867 EMY589867 EWU589867 FGQ589867 FQM589867 GAI589867 GKE589867 GUA589867 HDW589867 HNS589867 HXO589867 IHK589867 IRG589867 JBC589867 JKY589867 JUU589867 KEQ589867 KOM589867 KYI589867 LIE589867 LSA589867 MBW589867 MLS589867 MVO589867 NFK589867 NPG589867 NZC589867 OIY589867 OSU589867 PCQ589867 PMM589867 PWI589867 QGE589867 QQA589867 QZW589867 RJS589867 RTO589867 SDK589867 SNG589867 SXC589867 TGY589867 TQU589867 UAQ589867 UKM589867 UUI589867 VEE589867 VOA589867 VXW589867 WHS589867 WRO589867 FC655403 OY655403 YU655403 AIQ655403 ASM655403 BCI655403 BME655403 BWA655403 CFW655403 CPS655403 CZO655403 DJK655403 DTG655403 EDC655403 EMY655403 EWU655403 FGQ655403 FQM655403 GAI655403 GKE655403 GUA655403 HDW655403 HNS655403 HXO655403 IHK655403 IRG655403 JBC655403 JKY655403 JUU655403 KEQ655403 KOM655403 KYI655403 LIE655403 LSA655403 MBW655403 MLS655403 MVO655403 NFK655403 NPG655403 NZC655403 OIY655403 OSU655403 PCQ655403 PMM655403 PWI655403 QGE655403 QQA655403 QZW655403 RJS655403 RTO655403 SDK655403 SNG655403 SXC655403 TGY655403 TQU655403 UAQ655403 UKM655403 UUI655403 VEE655403 VOA655403 VXW655403 WHS655403 WRO655403 FC720939 OY720939 YU720939 AIQ720939 ASM720939 BCI720939 BME720939 BWA720939 CFW720939 CPS720939 CZO720939 DJK720939 DTG720939 EDC720939 EMY720939 EWU720939 FGQ720939 FQM720939 GAI720939 GKE720939 GUA720939 HDW720939 HNS720939 HXO720939 IHK720939 IRG720939 JBC720939 JKY720939 JUU720939 KEQ720939 KOM720939 KYI720939 LIE720939 LSA720939 MBW720939 MLS720939 MVO720939 NFK720939 NPG720939 NZC720939 OIY720939 OSU720939 PCQ720939 PMM720939 PWI720939 QGE720939 QQA720939 QZW720939 RJS720939 RTO720939 SDK720939 SNG720939 SXC720939 TGY720939 TQU720939 UAQ720939 UKM720939 UUI720939 VEE720939 VOA720939 VXW720939 WHS720939 WRO720939 FC786475 OY786475 YU786475 AIQ786475 ASM786475 BCI786475 BME786475 BWA786475 CFW786475 CPS786475 CZO786475 DJK786475 DTG786475 EDC786475 EMY786475 EWU786475 FGQ786475 FQM786475 GAI786475 GKE786475 GUA786475 HDW786475 HNS786475 HXO786475 IHK786475 IRG786475 JBC786475 JKY786475 JUU786475 KEQ786475 KOM786475 KYI786475 LIE786475 LSA786475 MBW786475 MLS786475 MVO786475 NFK786475 NPG786475 NZC786475 OIY786475 OSU786475 PCQ786475 PMM786475 PWI786475 QGE786475 QQA786475 QZW786475 RJS786475 RTO786475 SDK786475 SNG786475 SXC786475 TGY786475 TQU786475 UAQ786475 UKM786475 UUI786475 VEE786475 VOA786475 VXW786475 WHS786475 WRO786475 FC852011 OY852011 YU852011 AIQ852011 ASM852011 BCI852011 BME852011 BWA852011 CFW852011 CPS852011 CZO852011 DJK852011 DTG852011 EDC852011 EMY852011 EWU852011 FGQ852011 FQM852011 GAI852011 GKE852011 GUA852011 HDW852011 HNS852011 HXO852011 IHK852011 IRG852011 JBC852011 JKY852011 JUU852011 KEQ852011 KOM852011 KYI852011 LIE852011 LSA852011 MBW852011 MLS852011 MVO852011 NFK852011 NPG852011 NZC852011 OIY852011 OSU852011 PCQ852011 PMM852011 PWI852011 QGE852011 QQA852011 QZW852011 RJS852011 RTO852011 SDK852011 SNG852011 SXC852011 TGY852011 TQU852011 UAQ852011 UKM852011 UUI852011 VEE852011 VOA852011 VXW852011 WHS852011 WRO852011 FC917547 OY917547 YU917547 AIQ917547 ASM917547 BCI917547 BME917547 BWA917547 CFW917547 CPS917547 CZO917547 DJK917547 DTG917547 EDC917547 EMY917547 EWU917547 FGQ917547 FQM917547 GAI917547 GKE917547 GUA917547 HDW917547 HNS917547 HXO917547 IHK917547 IRG917547 JBC917547 JKY917547 JUU917547 KEQ917547 KOM917547 KYI917547 LIE917547 LSA917547 MBW917547 MLS917547 MVO917547 NFK917547 NPG917547 NZC917547 OIY917547 OSU917547 PCQ917547 PMM917547 PWI917547 QGE917547 QQA917547 QZW917547 RJS917547 RTO917547 SDK917547 SNG917547 SXC917547 TGY917547 TQU917547 UAQ917547 UKM917547 UUI917547 VEE917547 VOA917547 VXW917547 WHS917547 WRO917547 FC983083 OY983083 YU983083 AIQ983083 ASM983083 BCI983083 BME983083 BWA983083 CFW983083 CPS983083 CZO983083 DJK983083 DTG983083 EDC983083 EMY983083 EWU983083 FGQ983083 FQM983083 GAI983083 GKE983083 GUA983083 HDW983083 HNS983083 HXO983083 IHK983083 IRG983083 JBC983083 JKY983083 JUU983083 KEQ983083 KOM983083 KYI983083 LIE983083 LSA983083 MBW983083 MLS983083 MVO983083 NFK983083 NPG983083 NZC983083 OIY983083 OSU983083 PCQ983083 PMM983083 PWI983083 QGE983083 QQA983083 QZW983083 RJS983083 RTO983083 SDK983083 SNG983083 SXC983083 TGY983083 TQU983083 UAQ983083 UKM983083 UUI983083 VEE983083 VOA983083 VXW983083 WHS983083 WRO983083 FC65618 OY65618 YU65618 AIQ65618 ASM65618 BCI65618 BME65618 BWA65618 CFW65618 CPS65618 CZO65618 DJK65618 DTG65618 EDC65618 EMY65618 EWU65618 FGQ65618 FQM65618 GAI65618 GKE65618 GUA65618 HDW65618 HNS65618 HXO65618 IHK65618 IRG65618 JBC65618 JKY65618 JUU65618 KEQ65618 KOM65618 KYI65618 LIE65618 LSA65618 MBW65618 MLS65618 MVO65618 NFK65618 NPG65618 NZC65618 OIY65618 OSU65618 PCQ65618 PMM65618 PWI65618 QGE65618 QQA65618 QZW65618 RJS65618 RTO65618 SDK65618 SNG65618 SXC65618 TGY65618 TQU65618 UAQ65618 UKM65618 UUI65618 VEE65618 VOA65618 VXW65618 WHS65618 WRO65618 FC131154 OY131154 YU131154 AIQ131154 ASM131154 BCI131154 BME131154 BWA131154 CFW131154 CPS131154 CZO131154 DJK131154 DTG131154 EDC131154 EMY131154 EWU131154 FGQ131154 FQM131154 GAI131154 GKE131154 GUA131154 HDW131154 HNS131154 HXO131154 IHK131154 IRG131154 JBC131154 JKY131154 JUU131154 KEQ131154 KOM131154 KYI131154 LIE131154 LSA131154 MBW131154 MLS131154 MVO131154 NFK131154 NPG131154 NZC131154 OIY131154 OSU131154 PCQ131154 PMM131154 PWI131154 QGE131154 QQA131154 QZW131154 RJS131154 RTO131154 SDK131154 SNG131154 SXC131154 TGY131154 TQU131154 UAQ131154 UKM131154 UUI131154 VEE131154 VOA131154 VXW131154 WHS131154 WRO131154 FC196690 OY196690 YU196690 AIQ196690 ASM196690 BCI196690 BME196690 BWA196690 CFW196690 CPS196690 CZO196690 DJK196690 DTG196690 EDC196690 EMY196690 EWU196690 FGQ196690 FQM196690 GAI196690 GKE196690 GUA196690 HDW196690 HNS196690 HXO196690 IHK196690 IRG196690 JBC196690 JKY196690 JUU196690 KEQ196690 KOM196690 KYI196690 LIE196690 LSA196690 MBW196690 MLS196690 MVO196690 NFK196690 NPG196690 NZC196690 OIY196690 OSU196690 PCQ196690 PMM196690 PWI196690 QGE196690 QQA196690 QZW196690 RJS196690 RTO196690 SDK196690 SNG196690 SXC196690 TGY196690 TQU196690 UAQ196690 UKM196690 UUI196690 VEE196690 VOA196690 VXW196690 WHS196690 WRO196690 FC262226 OY262226 YU262226 AIQ262226 ASM262226 BCI262226 BME262226 BWA262226 CFW262226 CPS262226 CZO262226 DJK262226 DTG262226 EDC262226 EMY262226 EWU262226 FGQ262226 FQM262226 GAI262226 GKE262226 GUA262226 HDW262226 HNS262226 HXO262226 IHK262226 IRG262226 JBC262226 JKY262226 JUU262226 KEQ262226 KOM262226 KYI262226 LIE262226 LSA262226 MBW262226 MLS262226 MVO262226 NFK262226 NPG262226 NZC262226 OIY262226 OSU262226 PCQ262226 PMM262226 PWI262226 QGE262226 QQA262226 QZW262226 RJS262226 RTO262226 SDK262226 SNG262226 SXC262226 TGY262226 TQU262226 UAQ262226 UKM262226 UUI262226 VEE262226 VOA262226 VXW262226 WHS262226 WRO262226 FC327762 OY327762 YU327762 AIQ327762 ASM327762 BCI327762 BME327762 BWA327762 CFW327762 CPS327762 CZO327762 DJK327762 DTG327762 EDC327762 EMY327762 EWU327762 FGQ327762 FQM327762 GAI327762 GKE327762 GUA327762 HDW327762 HNS327762 HXO327762 IHK327762 IRG327762 JBC327762 JKY327762 JUU327762 KEQ327762 KOM327762 KYI327762 LIE327762 LSA327762 MBW327762 MLS327762 MVO327762 NFK327762 NPG327762 NZC327762 OIY327762 OSU327762 PCQ327762 PMM327762 PWI327762 QGE327762 QQA327762 QZW327762 RJS327762 RTO327762 SDK327762 SNG327762 SXC327762 TGY327762 TQU327762 UAQ327762 UKM327762 UUI327762 VEE327762 VOA327762 VXW327762 WHS327762 WRO327762 FC393298 OY393298 YU393298 AIQ393298 ASM393298 BCI393298 BME393298 BWA393298 CFW393298 CPS393298 CZO393298 DJK393298 DTG393298 EDC393298 EMY393298 EWU393298 FGQ393298 FQM393298 GAI393298 GKE393298 GUA393298 HDW393298 HNS393298 HXO393298 IHK393298 IRG393298 JBC393298 JKY393298 JUU393298 KEQ393298 KOM393298 KYI393298 LIE393298 LSA393298 MBW393298 MLS393298 MVO393298 NFK393298 NPG393298 NZC393298 OIY393298 OSU393298 PCQ393298 PMM393298 PWI393298 QGE393298 QQA393298 QZW393298 RJS393298 RTO393298 SDK393298 SNG393298 SXC393298 TGY393298 TQU393298 UAQ393298 UKM393298 UUI393298 VEE393298 VOA393298 VXW393298 WHS393298 WRO393298 FC458834 OY458834 YU458834 AIQ458834 ASM458834 BCI458834 BME458834 BWA458834 CFW458834 CPS458834 CZO458834 DJK458834 DTG458834 EDC458834 EMY458834 EWU458834 FGQ458834 FQM458834 GAI458834 GKE458834 GUA458834 HDW458834 HNS458834 HXO458834 IHK458834 IRG458834 JBC458834 JKY458834 JUU458834 KEQ458834 KOM458834 KYI458834 LIE458834 LSA458834 MBW458834 MLS458834 MVO458834 NFK458834 NPG458834 NZC458834 OIY458834 OSU458834 PCQ458834 PMM458834 PWI458834 QGE458834 QQA458834 QZW458834 RJS458834 RTO458834 SDK458834 SNG458834 SXC458834 TGY458834 TQU458834 UAQ458834 UKM458834 UUI458834 VEE458834 VOA458834 VXW458834 WHS458834 WRO458834 FC524370 OY524370 YU524370 AIQ524370 ASM524370 BCI524370 BME524370 BWA524370 CFW524370 CPS524370 CZO524370 DJK524370 DTG524370 EDC524370 EMY524370 EWU524370 FGQ524370 FQM524370 GAI524370 GKE524370 GUA524370 HDW524370 HNS524370 HXO524370 IHK524370 IRG524370 JBC524370 JKY524370 JUU524370 KEQ524370 KOM524370 KYI524370 LIE524370 LSA524370 MBW524370 MLS524370 MVO524370 NFK524370 NPG524370 NZC524370 OIY524370 OSU524370 PCQ524370 PMM524370 PWI524370 QGE524370 QQA524370 QZW524370 RJS524370 RTO524370 SDK524370 SNG524370 SXC524370 TGY524370 TQU524370 UAQ524370 UKM524370 UUI524370 VEE524370 VOA524370 VXW524370 WHS524370 WRO524370 FC589906 OY589906 YU589906 AIQ589906 ASM589906 BCI589906 BME589906 BWA589906 CFW589906 CPS589906 CZO589906 DJK589906 DTG589906 EDC589906 EMY589906 EWU589906 FGQ589906 FQM589906 GAI589906 GKE589906 GUA589906 HDW589906 HNS589906 HXO589906 IHK589906 IRG589906 JBC589906 JKY589906 JUU589906 KEQ589906 KOM589906 KYI589906 LIE589906 LSA589906 MBW589906 MLS589906 MVO589906 NFK589906 NPG589906 NZC589906 OIY589906 OSU589906 PCQ589906 PMM589906 PWI589906 QGE589906 QQA589906 QZW589906 RJS589906 RTO589906 SDK589906 SNG589906 SXC589906 TGY589906 TQU589906 UAQ589906 UKM589906 UUI589906 VEE589906 VOA589906 VXW589906 WHS589906 WRO589906 FC655442 OY655442 YU655442 AIQ655442 ASM655442 BCI655442 BME655442 BWA655442 CFW655442 CPS655442 CZO655442 DJK655442 DTG655442 EDC655442 EMY655442 EWU655442 FGQ655442 FQM655442 GAI655442 GKE655442 GUA655442 HDW655442 HNS655442 HXO655442 IHK655442 IRG655442 JBC655442 JKY655442 JUU655442 KEQ655442 KOM655442 KYI655442 LIE655442 LSA655442 MBW655442 MLS655442 MVO655442 NFK655442 NPG655442 NZC655442 OIY655442 OSU655442 PCQ655442 PMM655442 PWI655442 QGE655442 QQA655442 QZW655442 RJS655442 RTO655442 SDK655442 SNG655442 SXC655442 TGY655442 TQU655442 UAQ655442 UKM655442 UUI655442 VEE655442 VOA655442 VXW655442 WHS655442 WRO655442 FC720978 OY720978 YU720978 AIQ720978 ASM720978 BCI720978 BME720978 BWA720978 CFW720978 CPS720978 CZO720978 DJK720978 DTG720978 EDC720978 EMY720978 EWU720978 FGQ720978 FQM720978 GAI720978 GKE720978 GUA720978 HDW720978 HNS720978 HXO720978 IHK720978 IRG720978 JBC720978 JKY720978 JUU720978 KEQ720978 KOM720978 KYI720978 LIE720978 LSA720978 MBW720978 MLS720978 MVO720978 NFK720978 NPG720978 NZC720978 OIY720978 OSU720978 PCQ720978 PMM720978 PWI720978 QGE720978 QQA720978 QZW720978 RJS720978 RTO720978 SDK720978 SNG720978 SXC720978 TGY720978 TQU720978 UAQ720978 UKM720978 UUI720978 VEE720978 VOA720978 VXW720978 WHS720978 WRO720978 FC786514 OY786514 YU786514 AIQ786514 ASM786514 BCI786514 BME786514 BWA786514 CFW786514 CPS786514 CZO786514 DJK786514 DTG786514 EDC786514 EMY786514 EWU786514 FGQ786514 FQM786514 GAI786514 GKE786514 GUA786514 HDW786514 HNS786514 HXO786514 IHK786514 IRG786514 JBC786514 JKY786514 JUU786514 KEQ786514 KOM786514 KYI786514 LIE786514 LSA786514 MBW786514 MLS786514 MVO786514 NFK786514 NPG786514 NZC786514 OIY786514 OSU786514 PCQ786514 PMM786514 PWI786514 QGE786514 QQA786514 QZW786514 RJS786514 RTO786514 SDK786514 SNG786514 SXC786514 TGY786514 TQU786514 UAQ786514 UKM786514 UUI786514 VEE786514 VOA786514 VXW786514 WHS786514 WRO786514 FC852050 OY852050 YU852050 AIQ852050 ASM852050 BCI852050 BME852050 BWA852050 CFW852050 CPS852050 CZO852050 DJK852050 DTG852050 EDC852050 EMY852050 EWU852050 FGQ852050 FQM852050 GAI852050 GKE852050 GUA852050 HDW852050 HNS852050 HXO852050 IHK852050 IRG852050 JBC852050 JKY852050 JUU852050 KEQ852050 KOM852050 KYI852050 LIE852050 LSA852050 MBW852050 MLS852050 MVO852050 NFK852050 NPG852050 NZC852050 OIY852050 OSU852050 PCQ852050 PMM852050 PWI852050 QGE852050 QQA852050 QZW852050 RJS852050 RTO852050 SDK852050 SNG852050 SXC852050 TGY852050 TQU852050 UAQ852050 UKM852050 UUI852050 VEE852050 VOA852050 VXW852050 WHS852050 WRO852050 FC917586 OY917586 YU917586 AIQ917586 ASM917586 BCI917586 BME917586 BWA917586 CFW917586 CPS917586 CZO917586 DJK917586 DTG917586 EDC917586 EMY917586 EWU917586 FGQ917586 FQM917586 GAI917586 GKE917586 GUA917586 HDW917586 HNS917586 HXO917586 IHK917586 IRG917586 JBC917586 JKY917586 JUU917586 KEQ917586 KOM917586 KYI917586 LIE917586 LSA917586 MBW917586 MLS917586 MVO917586 NFK917586 NPG917586 NZC917586 OIY917586 OSU917586 PCQ917586 PMM917586 PWI917586 QGE917586 QQA917586 QZW917586 RJS917586 RTO917586 SDK917586 SNG917586 SXC917586 TGY917586 TQU917586 UAQ917586 UKM917586 UUI917586 VEE917586 VOA917586 VXW917586 WHS917586 WRO917586 FC983122 OY983122 YU983122 AIQ983122 ASM983122 BCI983122 BME983122 BWA983122 CFW983122 CPS983122 CZO983122 DJK983122 DTG983122 EDC983122 EMY983122 EWU983122 FGQ983122 FQM983122 GAI983122 GKE983122 GUA983122 HDW983122 HNS983122 HXO983122 IHK983122 IRG983122 JBC983122 JKY983122 JUU983122 KEQ983122 KOM983122 KYI983122 LIE983122 LSA983122 MBW983122 MLS983122 MVO983122 NFK983122 NPG983122 NZC983122 OIY983122 OSU983122 PCQ983122 PMM983122 PWI983122 QGE983122 QQA983122 QZW983122 RJS983122 RTO983122 SDK983122 SNG983122 SXC983122 TGY983122 TQU983122 UAQ983122 UKM983122 UUI983122 VEE983122 VOA983122 VXW983122 WHS983122 WRO983122 FC65606 OY65606 YU65606 AIQ65606 ASM65606 BCI65606 BME65606 BWA65606 CFW65606 CPS65606 CZO65606 DJK65606 DTG65606 EDC65606 EMY65606 EWU65606 FGQ65606 FQM65606 GAI65606 GKE65606 GUA65606 HDW65606 HNS65606 HXO65606 IHK65606 IRG65606 JBC65606 JKY65606 JUU65606 KEQ65606 KOM65606 KYI65606 LIE65606 LSA65606 MBW65606 MLS65606 MVO65606 NFK65606 NPG65606 NZC65606 OIY65606 OSU65606 PCQ65606 PMM65606 PWI65606 QGE65606 QQA65606 QZW65606 RJS65606 RTO65606 SDK65606 SNG65606 SXC65606 TGY65606 TQU65606 UAQ65606 UKM65606 UUI65606 VEE65606 VOA65606 VXW65606 WHS65606 WRO65606 FC131142 OY131142 YU131142 AIQ131142 ASM131142 BCI131142 BME131142 BWA131142 CFW131142 CPS131142 CZO131142 DJK131142 DTG131142 EDC131142 EMY131142 EWU131142 FGQ131142 FQM131142 GAI131142 GKE131142 GUA131142 HDW131142 HNS131142 HXO131142 IHK131142 IRG131142 JBC131142 JKY131142 JUU131142 KEQ131142 KOM131142 KYI131142 LIE131142 LSA131142 MBW131142 MLS131142 MVO131142 NFK131142 NPG131142 NZC131142 OIY131142 OSU131142 PCQ131142 PMM131142 PWI131142 QGE131142 QQA131142 QZW131142 RJS131142 RTO131142 SDK131142 SNG131142 SXC131142 TGY131142 TQU131142 UAQ131142 UKM131142 UUI131142 VEE131142 VOA131142 VXW131142 WHS131142 WRO131142 FC196678 OY196678 YU196678 AIQ196678 ASM196678 BCI196678 BME196678 BWA196678 CFW196678 CPS196678 CZO196678 DJK196678 DTG196678 EDC196678 EMY196678 EWU196678 FGQ196678 FQM196678 GAI196678 GKE196678 GUA196678 HDW196678 HNS196678 HXO196678 IHK196678 IRG196678 JBC196678 JKY196678 JUU196678 KEQ196678 KOM196678 KYI196678 LIE196678 LSA196678 MBW196678 MLS196678 MVO196678 NFK196678 NPG196678 NZC196678 OIY196678 OSU196678 PCQ196678 PMM196678 PWI196678 QGE196678 QQA196678 QZW196678 RJS196678 RTO196678 SDK196678 SNG196678 SXC196678 TGY196678 TQU196678 UAQ196678 UKM196678 UUI196678 VEE196678 VOA196678 VXW196678 WHS196678 WRO196678 FC262214 OY262214 YU262214 AIQ262214 ASM262214 BCI262214 BME262214 BWA262214 CFW262214 CPS262214 CZO262214 DJK262214 DTG262214 EDC262214 EMY262214 EWU262214 FGQ262214 FQM262214 GAI262214 GKE262214 GUA262214 HDW262214 HNS262214 HXO262214 IHK262214 IRG262214 JBC262214 JKY262214 JUU262214 KEQ262214 KOM262214 KYI262214 LIE262214 LSA262214 MBW262214 MLS262214 MVO262214 NFK262214 NPG262214 NZC262214 OIY262214 OSU262214 PCQ262214 PMM262214 PWI262214 QGE262214 QQA262214 QZW262214 RJS262214 RTO262214 SDK262214 SNG262214 SXC262214 TGY262214 TQU262214 UAQ262214 UKM262214 UUI262214 VEE262214 VOA262214 VXW262214 WHS262214 WRO262214 FC327750 OY327750 YU327750 AIQ327750 ASM327750 BCI327750 BME327750 BWA327750 CFW327750 CPS327750 CZO327750 DJK327750 DTG327750 EDC327750 EMY327750 EWU327750 FGQ327750 FQM327750 GAI327750 GKE327750 GUA327750 HDW327750 HNS327750 HXO327750 IHK327750 IRG327750 JBC327750 JKY327750 JUU327750 KEQ327750 KOM327750 KYI327750 LIE327750 LSA327750 MBW327750 MLS327750 MVO327750 NFK327750 NPG327750 NZC327750 OIY327750 OSU327750 PCQ327750 PMM327750 PWI327750 QGE327750 QQA327750 QZW327750 RJS327750 RTO327750 SDK327750 SNG327750 SXC327750 TGY327750 TQU327750 UAQ327750 UKM327750 UUI327750 VEE327750 VOA327750 VXW327750 WHS327750 WRO327750 FC393286 OY393286 YU393286 AIQ393286 ASM393286 BCI393286 BME393286 BWA393286 CFW393286 CPS393286 CZO393286 DJK393286 DTG393286 EDC393286 EMY393286 EWU393286 FGQ393286 FQM393286 GAI393286 GKE393286 GUA393286 HDW393286 HNS393286 HXO393286 IHK393286 IRG393286 JBC393286 JKY393286 JUU393286 KEQ393286 KOM393286 KYI393286 LIE393286 LSA393286 MBW393286 MLS393286 MVO393286 NFK393286 NPG393286 NZC393286 OIY393286 OSU393286 PCQ393286 PMM393286 PWI393286 QGE393286 QQA393286 QZW393286 RJS393286 RTO393286 SDK393286 SNG393286 SXC393286 TGY393286 TQU393286 UAQ393286 UKM393286 UUI393286 VEE393286 VOA393286 VXW393286 WHS393286 WRO393286 FC458822 OY458822 YU458822 AIQ458822 ASM458822 BCI458822 BME458822 BWA458822 CFW458822 CPS458822 CZO458822 DJK458822 DTG458822 EDC458822 EMY458822 EWU458822 FGQ458822 FQM458822 GAI458822 GKE458822 GUA458822 HDW458822 HNS458822 HXO458822 IHK458822 IRG458822 JBC458822 JKY458822 JUU458822 KEQ458822 KOM458822 KYI458822 LIE458822 LSA458822 MBW458822 MLS458822 MVO458822 NFK458822 NPG458822 NZC458822 OIY458822 OSU458822 PCQ458822 PMM458822 PWI458822 QGE458822 QQA458822 QZW458822 RJS458822 RTO458822 SDK458822 SNG458822 SXC458822 TGY458822 TQU458822 UAQ458822 UKM458822 UUI458822 VEE458822 VOA458822 VXW458822 WHS458822 WRO458822 FC524358 OY524358 YU524358 AIQ524358 ASM524358 BCI524358 BME524358 BWA524358 CFW524358 CPS524358 CZO524358 DJK524358 DTG524358 EDC524358 EMY524358 EWU524358 FGQ524358 FQM524358 GAI524358 GKE524358 GUA524358 HDW524358 HNS524358 HXO524358 IHK524358 IRG524358 JBC524358 JKY524358 JUU524358 KEQ524358 KOM524358 KYI524358 LIE524358 LSA524358 MBW524358 MLS524358 MVO524358 NFK524358 NPG524358 NZC524358 OIY524358 OSU524358 PCQ524358 PMM524358 PWI524358 QGE524358 QQA524358 QZW524358 RJS524358 RTO524358 SDK524358 SNG524358 SXC524358 TGY524358 TQU524358 UAQ524358 UKM524358 UUI524358 VEE524358 VOA524358 VXW524358 WHS524358 WRO524358 FC589894 OY589894 YU589894 AIQ589894 ASM589894 BCI589894 BME589894 BWA589894 CFW589894 CPS589894 CZO589894 DJK589894 DTG589894 EDC589894 EMY589894 EWU589894 FGQ589894 FQM589894 GAI589894 GKE589894 GUA589894 HDW589894 HNS589894 HXO589894 IHK589894 IRG589894 JBC589894 JKY589894 JUU589894 KEQ589894 KOM589894 KYI589894 LIE589894 LSA589894 MBW589894 MLS589894 MVO589894 NFK589894 NPG589894 NZC589894 OIY589894 OSU589894 PCQ589894 PMM589894 PWI589894 QGE589894 QQA589894 QZW589894 RJS589894 RTO589894 SDK589894 SNG589894 SXC589894 TGY589894 TQU589894 UAQ589894 UKM589894 UUI589894 VEE589894 VOA589894 VXW589894 WHS589894 WRO589894 FC655430 OY655430 YU655430 AIQ655430 ASM655430 BCI655430 BME655430 BWA655430 CFW655430 CPS655430 CZO655430 DJK655430 DTG655430 EDC655430 EMY655430 EWU655430 FGQ655430 FQM655430 GAI655430 GKE655430 GUA655430 HDW655430 HNS655430 HXO655430 IHK655430 IRG655430 JBC655430 JKY655430 JUU655430 KEQ655430 KOM655430 KYI655430 LIE655430 LSA655430 MBW655430 MLS655430 MVO655430 NFK655430 NPG655430 NZC655430 OIY655430 OSU655430 PCQ655430 PMM655430 PWI655430 QGE655430 QQA655430 QZW655430 RJS655430 RTO655430 SDK655430 SNG655430 SXC655430 TGY655430 TQU655430 UAQ655430 UKM655430 UUI655430 VEE655430 VOA655430 VXW655430 WHS655430 WRO655430 FC720966 OY720966 YU720966 AIQ720966 ASM720966 BCI720966 BME720966 BWA720966 CFW720966 CPS720966 CZO720966 DJK720966 DTG720966 EDC720966 EMY720966 EWU720966 FGQ720966 FQM720966 GAI720966 GKE720966 GUA720966 HDW720966 HNS720966 HXO720966 IHK720966 IRG720966 JBC720966 JKY720966 JUU720966 KEQ720966 KOM720966 KYI720966 LIE720966 LSA720966 MBW720966 MLS720966 MVO720966 NFK720966 NPG720966 NZC720966 OIY720966 OSU720966 PCQ720966 PMM720966 PWI720966 QGE720966 QQA720966 QZW720966 RJS720966 RTO720966 SDK720966 SNG720966 SXC720966 TGY720966 TQU720966 UAQ720966 UKM720966 UUI720966 VEE720966 VOA720966 VXW720966 WHS720966 WRO720966 FC786502 OY786502 YU786502 AIQ786502 ASM786502 BCI786502 BME786502 BWA786502 CFW786502 CPS786502 CZO786502 DJK786502 DTG786502 EDC786502 EMY786502 EWU786502 FGQ786502 FQM786502 GAI786502 GKE786502 GUA786502 HDW786502 HNS786502 HXO786502 IHK786502 IRG786502 JBC786502 JKY786502 JUU786502 KEQ786502 KOM786502 KYI786502 LIE786502 LSA786502 MBW786502 MLS786502 MVO786502 NFK786502 NPG786502 NZC786502 OIY786502 OSU786502 PCQ786502 PMM786502 PWI786502 QGE786502 QQA786502 QZW786502 RJS786502 RTO786502 SDK786502 SNG786502 SXC786502 TGY786502 TQU786502 UAQ786502 UKM786502 UUI786502 VEE786502 VOA786502 VXW786502 WHS786502 WRO786502 FC852038 OY852038 YU852038 AIQ852038 ASM852038 BCI852038 BME852038 BWA852038 CFW852038 CPS852038 CZO852038 DJK852038 DTG852038 EDC852038 EMY852038 EWU852038 FGQ852038 FQM852038 GAI852038 GKE852038 GUA852038 HDW852038 HNS852038 HXO852038 IHK852038 IRG852038 JBC852038 JKY852038 JUU852038 KEQ852038 KOM852038 KYI852038 LIE852038 LSA852038 MBW852038 MLS852038 MVO852038 NFK852038 NPG852038 NZC852038 OIY852038 OSU852038 PCQ852038 PMM852038 PWI852038 QGE852038 QQA852038 QZW852038 RJS852038 RTO852038 SDK852038 SNG852038 SXC852038 TGY852038 TQU852038 UAQ852038 UKM852038 UUI852038 VEE852038 VOA852038 VXW852038 WHS852038 WRO852038 FC917574 OY917574 YU917574 AIQ917574 ASM917574 BCI917574 BME917574 BWA917574 CFW917574 CPS917574 CZO917574 DJK917574 DTG917574 EDC917574 EMY917574 EWU917574 FGQ917574 FQM917574 GAI917574 GKE917574 GUA917574 HDW917574 HNS917574 HXO917574 IHK917574 IRG917574 JBC917574 JKY917574 JUU917574 KEQ917574 KOM917574 KYI917574 LIE917574 LSA917574 MBW917574 MLS917574 MVO917574 NFK917574 NPG917574 NZC917574 OIY917574 OSU917574 PCQ917574 PMM917574 PWI917574 QGE917574 QQA917574 QZW917574 RJS917574 RTO917574 SDK917574 SNG917574 SXC917574 TGY917574 TQU917574 UAQ917574 UKM917574 UUI917574 VEE917574 VOA917574 VXW917574 WHS917574 WRO917574 FC983110 OY983110 YU983110 AIQ983110 ASM983110 BCI983110 BME983110 BWA983110 CFW983110 CPS983110 CZO983110 DJK983110 DTG983110 EDC983110 EMY983110 EWU983110 FGQ983110 FQM983110 GAI983110 GKE983110 GUA983110 HDW983110 HNS983110 HXO983110 IHK983110 IRG983110 JBC983110 JKY983110 JUU983110 KEQ983110 KOM983110 KYI983110 LIE983110 LSA983110 MBW983110 MLS983110 MVO983110 NFK983110 NPG983110 NZC983110 OIY983110 OSU983110 PCQ983110 PMM983110 PWI983110 QGE983110 QQA983110 QZW983110 RJS983110 RTO983110 SDK983110 SNG983110 SXC983110 TGY983110 TQU983110 UAQ983110 UKM983110 UUI983110 VEE983110 VOA983110 VXW983110 WHS983110 WRO983110 FC65637 OY65637 YU65637 AIQ65637 ASM65637 BCI65637 BME65637 BWA65637 CFW65637 CPS65637 CZO65637 DJK65637 DTG65637 EDC65637 EMY65637 EWU65637 FGQ65637 FQM65637 GAI65637 GKE65637 GUA65637 HDW65637 HNS65637 HXO65637 IHK65637 IRG65637 JBC65637 JKY65637 JUU65637 KEQ65637 KOM65637 KYI65637 LIE65637 LSA65637 MBW65637 MLS65637 MVO65637 NFK65637 NPG65637 NZC65637 OIY65637 OSU65637 PCQ65637 PMM65637 PWI65637 QGE65637 QQA65637 QZW65637 RJS65637 RTO65637 SDK65637 SNG65637 SXC65637 TGY65637 TQU65637 UAQ65637 UKM65637 UUI65637 VEE65637 VOA65637 VXW65637 WHS65637 WRO65637 FC131173 OY131173 YU131173 AIQ131173 ASM131173 BCI131173 BME131173 BWA131173 CFW131173 CPS131173 CZO131173 DJK131173 DTG131173 EDC131173 EMY131173 EWU131173 FGQ131173 FQM131173 GAI131173 GKE131173 GUA131173 HDW131173 HNS131173 HXO131173 IHK131173 IRG131173 JBC131173 JKY131173 JUU131173 KEQ131173 KOM131173 KYI131173 LIE131173 LSA131173 MBW131173 MLS131173 MVO131173 NFK131173 NPG131173 NZC131173 OIY131173 OSU131173 PCQ131173 PMM131173 PWI131173 QGE131173 QQA131173 QZW131173 RJS131173 RTO131173 SDK131173 SNG131173 SXC131173 TGY131173 TQU131173 UAQ131173 UKM131173 UUI131173 VEE131173 VOA131173 VXW131173 WHS131173 WRO131173 FC196709 OY196709 YU196709 AIQ196709 ASM196709 BCI196709 BME196709 BWA196709 CFW196709 CPS196709 CZO196709 DJK196709 DTG196709 EDC196709 EMY196709 EWU196709 FGQ196709 FQM196709 GAI196709 GKE196709 GUA196709 HDW196709 HNS196709 HXO196709 IHK196709 IRG196709 JBC196709 JKY196709 JUU196709 KEQ196709 KOM196709 KYI196709 LIE196709 LSA196709 MBW196709 MLS196709 MVO196709 NFK196709 NPG196709 NZC196709 OIY196709 OSU196709 PCQ196709 PMM196709 PWI196709 QGE196709 QQA196709 QZW196709 RJS196709 RTO196709 SDK196709 SNG196709 SXC196709 TGY196709 TQU196709 UAQ196709 UKM196709 UUI196709 VEE196709 VOA196709 VXW196709 WHS196709 WRO196709 FC262245 OY262245 YU262245 AIQ262245 ASM262245 BCI262245 BME262245 BWA262245 CFW262245 CPS262245 CZO262245 DJK262245 DTG262245 EDC262245 EMY262245 EWU262245 FGQ262245 FQM262245 GAI262245 GKE262245 GUA262245 HDW262245 HNS262245 HXO262245 IHK262245 IRG262245 JBC262245 JKY262245 JUU262245 KEQ262245 KOM262245 KYI262245 LIE262245 LSA262245 MBW262245 MLS262245 MVO262245 NFK262245 NPG262245 NZC262245 OIY262245 OSU262245 PCQ262245 PMM262245 PWI262245 QGE262245 QQA262245 QZW262245 RJS262245 RTO262245 SDK262245 SNG262245 SXC262245 TGY262245 TQU262245 UAQ262245 UKM262245 UUI262245 VEE262245 VOA262245 VXW262245 WHS262245 WRO262245 FC327781 OY327781 YU327781 AIQ327781 ASM327781 BCI327781 BME327781 BWA327781 CFW327781 CPS327781 CZO327781 DJK327781 DTG327781 EDC327781 EMY327781 EWU327781 FGQ327781 FQM327781 GAI327781 GKE327781 GUA327781 HDW327781 HNS327781 HXO327781 IHK327781 IRG327781 JBC327781 JKY327781 JUU327781 KEQ327781 KOM327781 KYI327781 LIE327781 LSA327781 MBW327781 MLS327781 MVO327781 NFK327781 NPG327781 NZC327781 OIY327781 OSU327781 PCQ327781 PMM327781 PWI327781 QGE327781 QQA327781 QZW327781 RJS327781 RTO327781 SDK327781 SNG327781 SXC327781 TGY327781 TQU327781 UAQ327781 UKM327781 UUI327781 VEE327781 VOA327781 VXW327781 WHS327781 WRO327781 FC393317 OY393317 YU393317 AIQ393317 ASM393317 BCI393317 BME393317 BWA393317 CFW393317 CPS393317 CZO393317 DJK393317 DTG393317 EDC393317 EMY393317 EWU393317 FGQ393317 FQM393317 GAI393317 GKE393317 GUA393317 HDW393317 HNS393317 HXO393317 IHK393317 IRG393317 JBC393317 JKY393317 JUU393317 KEQ393317 KOM393317 KYI393317 LIE393317 LSA393317 MBW393317 MLS393317 MVO393317 NFK393317 NPG393317 NZC393317 OIY393317 OSU393317 PCQ393317 PMM393317 PWI393317 QGE393317 QQA393317 QZW393317 RJS393317 RTO393317 SDK393317 SNG393317 SXC393317 TGY393317 TQU393317 UAQ393317 UKM393317 UUI393317 VEE393317 VOA393317 VXW393317 WHS393317 WRO393317 FC458853 OY458853 YU458853 AIQ458853 ASM458853 BCI458853 BME458853 BWA458853 CFW458853 CPS458853 CZO458853 DJK458853 DTG458853 EDC458853 EMY458853 EWU458853 FGQ458853 FQM458853 GAI458853 GKE458853 GUA458853 HDW458853 HNS458853 HXO458853 IHK458853 IRG458853 JBC458853 JKY458853 JUU458853 KEQ458853 KOM458853 KYI458853 LIE458853 LSA458853 MBW458853 MLS458853 MVO458853 NFK458853 NPG458853 NZC458853 OIY458853 OSU458853 PCQ458853 PMM458853 PWI458853 QGE458853 QQA458853 QZW458853 RJS458853 RTO458853 SDK458853 SNG458853 SXC458853 TGY458853 TQU458853 UAQ458853 UKM458853 UUI458853 VEE458853 VOA458853 VXW458853 WHS458853 WRO458853 FC524389 OY524389 YU524389 AIQ524389 ASM524389 BCI524389 BME524389 BWA524389 CFW524389 CPS524389 CZO524389 DJK524389 DTG524389 EDC524389 EMY524389 EWU524389 FGQ524389 FQM524389 GAI524389 GKE524389 GUA524389 HDW524389 HNS524389 HXO524389 IHK524389 IRG524389 JBC524389 JKY524389 JUU524389 KEQ524389 KOM524389 KYI524389 LIE524389 LSA524389 MBW524389 MLS524389 MVO524389 NFK524389 NPG524389 NZC524389 OIY524389 OSU524389 PCQ524389 PMM524389 PWI524389 QGE524389 QQA524389 QZW524389 RJS524389 RTO524389 SDK524389 SNG524389 SXC524389 TGY524389 TQU524389 UAQ524389 UKM524389 UUI524389 VEE524389 VOA524389 VXW524389 WHS524389 WRO524389 FC589925 OY589925 YU589925 AIQ589925 ASM589925 BCI589925 BME589925 BWA589925 CFW589925 CPS589925 CZO589925 DJK589925 DTG589925 EDC589925 EMY589925 EWU589925 FGQ589925 FQM589925 GAI589925 GKE589925 GUA589925 HDW589925 HNS589925 HXO589925 IHK589925 IRG589925 JBC589925 JKY589925 JUU589925 KEQ589925 KOM589925 KYI589925 LIE589925 LSA589925 MBW589925 MLS589925 MVO589925 NFK589925 NPG589925 NZC589925 OIY589925 OSU589925 PCQ589925 PMM589925 PWI589925 QGE589925 QQA589925 QZW589925 RJS589925 RTO589925 SDK589925 SNG589925 SXC589925 TGY589925 TQU589925 UAQ589925 UKM589925 UUI589925 VEE589925 VOA589925 VXW589925 WHS589925 WRO589925 FC655461 OY655461 YU655461 AIQ655461 ASM655461 BCI655461 BME655461 BWA655461 CFW655461 CPS655461 CZO655461 DJK655461 DTG655461 EDC655461 EMY655461 EWU655461 FGQ655461 FQM655461 GAI655461 GKE655461 GUA655461 HDW655461 HNS655461 HXO655461 IHK655461 IRG655461 JBC655461 JKY655461 JUU655461 KEQ655461 KOM655461 KYI655461 LIE655461 LSA655461 MBW655461 MLS655461 MVO655461 NFK655461 NPG655461 NZC655461 OIY655461 OSU655461 PCQ655461 PMM655461 PWI655461 QGE655461 QQA655461 QZW655461 RJS655461 RTO655461 SDK655461 SNG655461 SXC655461 TGY655461 TQU655461 UAQ655461 UKM655461 UUI655461 VEE655461 VOA655461 VXW655461 WHS655461 WRO655461 FC720997 OY720997 YU720997 AIQ720997 ASM720997 BCI720997 BME720997 BWA720997 CFW720997 CPS720997 CZO720997 DJK720997 DTG720997 EDC720997 EMY720997 EWU720997 FGQ720997 FQM720997 GAI720997 GKE720997 GUA720997 HDW720997 HNS720997 HXO720997 IHK720997 IRG720997 JBC720997 JKY720997 JUU720997 KEQ720997 KOM720997 KYI720997 LIE720997 LSA720997 MBW720997 MLS720997 MVO720997 NFK720997 NPG720997 NZC720997 OIY720997 OSU720997 PCQ720997 PMM720997 PWI720997 QGE720997 QQA720997 QZW720997 RJS720997 RTO720997 SDK720997 SNG720997 SXC720997 TGY720997 TQU720997 UAQ720997 UKM720997 UUI720997 VEE720997 VOA720997 VXW720997 WHS720997 WRO720997 FC786533 OY786533 YU786533 AIQ786533 ASM786533 BCI786533 BME786533 BWA786533 CFW786533 CPS786533 CZO786533 DJK786533 DTG786533 EDC786533 EMY786533 EWU786533 FGQ786533 FQM786533 GAI786533 GKE786533 GUA786533 HDW786533 HNS786533 HXO786533 IHK786533 IRG786533 JBC786533 JKY786533 JUU786533 KEQ786533 KOM786533 KYI786533 LIE786533 LSA786533 MBW786533 MLS786533 MVO786533 NFK786533 NPG786533 NZC786533 OIY786533 OSU786533 PCQ786533 PMM786533 PWI786533 QGE786533 QQA786533 QZW786533 RJS786533 RTO786533 SDK786533 SNG786533 SXC786533 TGY786533 TQU786533 UAQ786533 UKM786533 UUI786533 VEE786533 VOA786533 VXW786533 WHS786533 WRO786533 FC852069 OY852069 YU852069 AIQ852069 ASM852069 BCI852069 BME852069 BWA852069 CFW852069 CPS852069 CZO852069 DJK852069 DTG852069 EDC852069 EMY852069 EWU852069 FGQ852069 FQM852069 GAI852069 GKE852069 GUA852069 HDW852069 HNS852069 HXO852069 IHK852069 IRG852069 JBC852069 JKY852069 JUU852069 KEQ852069 KOM852069 KYI852069 LIE852069 LSA852069 MBW852069 MLS852069 MVO852069 NFK852069 NPG852069 NZC852069 OIY852069 OSU852069 PCQ852069 PMM852069 PWI852069 QGE852069 QQA852069 QZW852069 RJS852069 RTO852069 SDK852069 SNG852069 SXC852069 TGY852069 TQU852069 UAQ852069 UKM852069 UUI852069 VEE852069 VOA852069 VXW852069 WHS852069 WRO852069 FC917605 OY917605 YU917605 AIQ917605 ASM917605 BCI917605 BME917605 BWA917605 CFW917605 CPS917605 CZO917605 DJK917605 DTG917605 EDC917605 EMY917605 EWU917605 FGQ917605 FQM917605 GAI917605 GKE917605 GUA917605 HDW917605 HNS917605 HXO917605 IHK917605 IRG917605 JBC917605 JKY917605 JUU917605 KEQ917605 KOM917605 KYI917605 LIE917605 LSA917605 MBW917605 MLS917605 MVO917605 NFK917605 NPG917605 NZC917605 OIY917605 OSU917605 PCQ917605 PMM917605 PWI917605 QGE917605 QQA917605 QZW917605 RJS917605 RTO917605 SDK917605 SNG917605 SXC917605 TGY917605 TQU917605 UAQ917605 UKM917605 UUI917605 VEE917605 VOA917605 VXW917605 WHS917605 WRO917605 FC983141 OY983141 YU983141 AIQ983141 ASM983141 BCI983141 BME983141 BWA983141 CFW983141 CPS983141 CZO983141 DJK983141 DTG983141 EDC983141 EMY983141 EWU983141 FGQ983141 FQM983141 GAI983141 GKE983141 GUA983141 HDW983141 HNS983141 HXO983141 IHK983141 IRG983141 JBC983141 JKY983141 JUU983141 KEQ983141 KOM983141 KYI983141 LIE983141 LSA983141 MBW983141 MLS983141 MVO983141 NFK983141 NPG983141 NZC983141 OIY983141 OSU983141 PCQ983141 PMM983141 PWI983141 QGE983141 QQA983141 QZW983141 RJS983141 RTO983141 SDK983141 SNG983141 SXC983141 TGY983141 TQU983141 UAQ983141 UKM983141 UUI983141 VEE983141 VOA983141 VXW983141 WHS983141 WRO983141 FC65575 OY65575 YU65575 AIQ65575 ASM65575 BCI65575 BME65575 BWA65575 CFW65575 CPS65575 CZO65575 DJK65575 DTG65575 EDC65575 EMY65575 EWU65575 FGQ65575 FQM65575 GAI65575 GKE65575 GUA65575 HDW65575 HNS65575 HXO65575 IHK65575 IRG65575 JBC65575 JKY65575 JUU65575 KEQ65575 KOM65575 KYI65575 LIE65575 LSA65575 MBW65575 MLS65575 MVO65575 NFK65575 NPG65575 NZC65575 OIY65575 OSU65575 PCQ65575 PMM65575 PWI65575 QGE65575 QQA65575 QZW65575 RJS65575 RTO65575 SDK65575 SNG65575 SXC65575 TGY65575 TQU65575 UAQ65575 UKM65575 UUI65575 VEE65575 VOA65575 VXW65575 WHS65575 WRO65575 FC131111 OY131111 YU131111 AIQ131111 ASM131111 BCI131111 BME131111 BWA131111 CFW131111 CPS131111 CZO131111 DJK131111 DTG131111 EDC131111 EMY131111 EWU131111 FGQ131111 FQM131111 GAI131111 GKE131111 GUA131111 HDW131111 HNS131111 HXO131111 IHK131111 IRG131111 JBC131111 JKY131111 JUU131111 KEQ131111 KOM131111 KYI131111 LIE131111 LSA131111 MBW131111 MLS131111 MVO131111 NFK131111 NPG131111 NZC131111 OIY131111 OSU131111 PCQ131111 PMM131111 PWI131111 QGE131111 QQA131111 QZW131111 RJS131111 RTO131111 SDK131111 SNG131111 SXC131111 TGY131111 TQU131111 UAQ131111 UKM131111 UUI131111 VEE131111 VOA131111 VXW131111 WHS131111 WRO131111 FC196647 OY196647 YU196647 AIQ196647 ASM196647 BCI196647 BME196647 BWA196647 CFW196647 CPS196647 CZO196647 DJK196647 DTG196647 EDC196647 EMY196647 EWU196647 FGQ196647 FQM196647 GAI196647 GKE196647 GUA196647 HDW196647 HNS196647 HXO196647 IHK196647 IRG196647 JBC196647 JKY196647 JUU196647 KEQ196647 KOM196647 KYI196647 LIE196647 LSA196647 MBW196647 MLS196647 MVO196647 NFK196647 NPG196647 NZC196647 OIY196647 OSU196647 PCQ196647 PMM196647 PWI196647 QGE196647 QQA196647 QZW196647 RJS196647 RTO196647 SDK196647 SNG196647 SXC196647 TGY196647 TQU196647 UAQ196647 UKM196647 UUI196647 VEE196647 VOA196647 VXW196647 WHS196647 WRO196647 FC262183 OY262183 YU262183 AIQ262183 ASM262183 BCI262183 BME262183 BWA262183 CFW262183 CPS262183 CZO262183 DJK262183 DTG262183 EDC262183 EMY262183 EWU262183 FGQ262183 FQM262183 GAI262183 GKE262183 GUA262183 HDW262183 HNS262183 HXO262183 IHK262183 IRG262183 JBC262183 JKY262183 JUU262183 KEQ262183 KOM262183 KYI262183 LIE262183 LSA262183 MBW262183 MLS262183 MVO262183 NFK262183 NPG262183 NZC262183 OIY262183 OSU262183 PCQ262183 PMM262183 PWI262183 QGE262183 QQA262183 QZW262183 RJS262183 RTO262183 SDK262183 SNG262183 SXC262183 TGY262183 TQU262183 UAQ262183 UKM262183 UUI262183 VEE262183 VOA262183 VXW262183 WHS262183 WRO262183 FC327719 OY327719 YU327719 AIQ327719 ASM327719 BCI327719 BME327719 BWA327719 CFW327719 CPS327719 CZO327719 DJK327719 DTG327719 EDC327719 EMY327719 EWU327719 FGQ327719 FQM327719 GAI327719 GKE327719 GUA327719 HDW327719 HNS327719 HXO327719 IHK327719 IRG327719 JBC327719 JKY327719 JUU327719 KEQ327719 KOM327719 KYI327719 LIE327719 LSA327719 MBW327719 MLS327719 MVO327719 NFK327719 NPG327719 NZC327719 OIY327719 OSU327719 PCQ327719 PMM327719 PWI327719 QGE327719 QQA327719 QZW327719 RJS327719 RTO327719 SDK327719 SNG327719 SXC327719 TGY327719 TQU327719 UAQ327719 UKM327719 UUI327719 VEE327719 VOA327719 VXW327719 WHS327719 WRO327719 FC393255 OY393255 YU393255 AIQ393255 ASM393255 BCI393255 BME393255 BWA393255 CFW393255 CPS393255 CZO393255 DJK393255 DTG393255 EDC393255 EMY393255 EWU393255 FGQ393255 FQM393255 GAI393255 GKE393255 GUA393255 HDW393255 HNS393255 HXO393255 IHK393255 IRG393255 JBC393255 JKY393255 JUU393255 KEQ393255 KOM393255 KYI393255 LIE393255 LSA393255 MBW393255 MLS393255 MVO393255 NFK393255 NPG393255 NZC393255 OIY393255 OSU393255 PCQ393255 PMM393255 PWI393255 QGE393255 QQA393255 QZW393255 RJS393255 RTO393255 SDK393255 SNG393255 SXC393255 TGY393255 TQU393255 UAQ393255 UKM393255 UUI393255 VEE393255 VOA393255 VXW393255 WHS393255 WRO393255 FC458791 OY458791 YU458791 AIQ458791 ASM458791 BCI458791 BME458791 BWA458791 CFW458791 CPS458791 CZO458791 DJK458791 DTG458791 EDC458791 EMY458791 EWU458791 FGQ458791 FQM458791 GAI458791 GKE458791 GUA458791 HDW458791 HNS458791 HXO458791 IHK458791 IRG458791 JBC458791 JKY458791 JUU458791 KEQ458791 KOM458791 KYI458791 LIE458791 LSA458791 MBW458791 MLS458791 MVO458791 NFK458791 NPG458791 NZC458791 OIY458791 OSU458791 PCQ458791 PMM458791 PWI458791 QGE458791 QQA458791 QZW458791 RJS458791 RTO458791 SDK458791 SNG458791 SXC458791 TGY458791 TQU458791 UAQ458791 UKM458791 UUI458791 VEE458791 VOA458791 VXW458791 WHS458791 WRO458791 FC524327 OY524327 YU524327 AIQ524327 ASM524327 BCI524327 BME524327 BWA524327 CFW524327 CPS524327 CZO524327 DJK524327 DTG524327 EDC524327 EMY524327 EWU524327 FGQ524327 FQM524327 GAI524327 GKE524327 GUA524327 HDW524327 HNS524327 HXO524327 IHK524327 IRG524327 JBC524327 JKY524327 JUU524327 KEQ524327 KOM524327 KYI524327 LIE524327 LSA524327 MBW524327 MLS524327 MVO524327 NFK524327 NPG524327 NZC524327 OIY524327 OSU524327 PCQ524327 PMM524327 PWI524327 QGE524327 QQA524327 QZW524327 RJS524327 RTO524327 SDK524327 SNG524327 SXC524327 TGY524327 TQU524327 UAQ524327 UKM524327 UUI524327 VEE524327 VOA524327 VXW524327 WHS524327 WRO524327 FC589863 OY589863 YU589863 AIQ589863 ASM589863 BCI589863 BME589863 BWA589863 CFW589863 CPS589863 CZO589863 DJK589863 DTG589863 EDC589863 EMY589863 EWU589863 FGQ589863 FQM589863 GAI589863 GKE589863 GUA589863 HDW589863 HNS589863 HXO589863 IHK589863 IRG589863 JBC589863 JKY589863 JUU589863 KEQ589863 KOM589863 KYI589863 LIE589863 LSA589863 MBW589863 MLS589863 MVO589863 NFK589863 NPG589863 NZC589863 OIY589863 OSU589863 PCQ589863 PMM589863 PWI589863 QGE589863 QQA589863 QZW589863 RJS589863 RTO589863 SDK589863 SNG589863 SXC589863 TGY589863 TQU589863 UAQ589863 UKM589863 UUI589863 VEE589863 VOA589863 VXW589863 WHS589863 WRO589863 FC655399 OY655399 YU655399 AIQ655399 ASM655399 BCI655399 BME655399 BWA655399 CFW655399 CPS655399 CZO655399 DJK655399 DTG655399 EDC655399 EMY655399 EWU655399 FGQ655399 FQM655399 GAI655399 GKE655399 GUA655399 HDW655399 HNS655399 HXO655399 IHK655399 IRG655399 JBC655399 JKY655399 JUU655399 KEQ655399 KOM655399 KYI655399 LIE655399 LSA655399 MBW655399 MLS655399 MVO655399 NFK655399 NPG655399 NZC655399 OIY655399 OSU655399 PCQ655399 PMM655399 PWI655399 QGE655399 QQA655399 QZW655399 RJS655399 RTO655399 SDK655399 SNG655399 SXC655399 TGY655399 TQU655399 UAQ655399 UKM655399 UUI655399 VEE655399 VOA655399 VXW655399 WHS655399 WRO655399 FC720935 OY720935 YU720935 AIQ720935 ASM720935 BCI720935 BME720935 BWA720935 CFW720935 CPS720935 CZO720935 DJK720935 DTG720935 EDC720935 EMY720935 EWU720935 FGQ720935 FQM720935 GAI720935 GKE720935 GUA720935 HDW720935 HNS720935 HXO720935 IHK720935 IRG720935 JBC720935 JKY720935 JUU720935 KEQ720935 KOM720935 KYI720935 LIE720935 LSA720935 MBW720935 MLS720935 MVO720935 NFK720935 NPG720935 NZC720935 OIY720935 OSU720935 PCQ720935 PMM720935 PWI720935 QGE720935 QQA720935 QZW720935 RJS720935 RTO720935 SDK720935 SNG720935 SXC720935 TGY720935 TQU720935 UAQ720935 UKM720935 UUI720935 VEE720935 VOA720935 VXW720935 WHS720935 WRO720935 FC786471 OY786471 YU786471 AIQ786471 ASM786471 BCI786471 BME786471 BWA786471 CFW786471 CPS786471 CZO786471 DJK786471 DTG786471 EDC786471 EMY786471 EWU786471 FGQ786471 FQM786471 GAI786471 GKE786471 GUA786471 HDW786471 HNS786471 HXO786471 IHK786471 IRG786471 JBC786471 JKY786471 JUU786471 KEQ786471 KOM786471 KYI786471 LIE786471 LSA786471 MBW786471 MLS786471 MVO786471 NFK786471 NPG786471 NZC786471 OIY786471 OSU786471 PCQ786471 PMM786471 PWI786471 QGE786471 QQA786471 QZW786471 RJS786471 RTO786471 SDK786471 SNG786471 SXC786471 TGY786471 TQU786471 UAQ786471 UKM786471 UUI786471 VEE786471 VOA786471 VXW786471 WHS786471 WRO786471 FC852007 OY852007 YU852007 AIQ852007 ASM852007 BCI852007 BME852007 BWA852007 CFW852007 CPS852007 CZO852007 DJK852007 DTG852007 EDC852007 EMY852007 EWU852007 FGQ852007 FQM852007 GAI852007 GKE852007 GUA852007 HDW852007 HNS852007 HXO852007 IHK852007 IRG852007 JBC852007 JKY852007 JUU852007 KEQ852007 KOM852007 KYI852007 LIE852007 LSA852007 MBW852007 MLS852007 MVO852007 NFK852007 NPG852007 NZC852007 OIY852007 OSU852007 PCQ852007 PMM852007 PWI852007 QGE852007 QQA852007 QZW852007 RJS852007 RTO852007 SDK852007 SNG852007 SXC852007 TGY852007 TQU852007 UAQ852007 UKM852007 UUI852007 VEE852007 VOA852007 VXW852007 WHS852007 WRO852007 FC917543 OY917543 YU917543 AIQ917543 ASM917543 BCI917543 BME917543 BWA917543 CFW917543 CPS917543 CZO917543 DJK917543 DTG917543 EDC917543 EMY917543 EWU917543 FGQ917543 FQM917543 GAI917543 GKE917543 GUA917543 HDW917543 HNS917543 HXO917543 IHK917543 IRG917543 JBC917543 JKY917543 JUU917543 KEQ917543 KOM917543 KYI917543 LIE917543 LSA917543 MBW917543 MLS917543 MVO917543 NFK917543 NPG917543 NZC917543 OIY917543 OSU917543 PCQ917543 PMM917543 PWI917543 QGE917543 QQA917543 QZW917543 RJS917543 RTO917543 SDK917543 SNG917543 SXC917543 TGY917543 TQU917543 UAQ917543 UKM917543 UUI917543 VEE917543 VOA917543 VXW917543 WHS917543 WRO917543 FC983079 OY983079 YU983079 AIQ983079 ASM983079 BCI983079 BME983079 BWA983079 CFW983079 CPS983079 CZO983079 DJK983079 DTG983079 EDC983079 EMY983079 EWU983079 FGQ983079 FQM983079 GAI983079 GKE983079 GUA983079 HDW983079 HNS983079 HXO983079 IHK983079 IRG983079 JBC983079 JKY983079 JUU983079 KEQ983079 KOM983079 KYI983079 LIE983079 LSA983079 MBW983079 MLS983079 MVO983079 NFK983079 NPG983079 NZC983079 OIY983079 OSU983079 PCQ983079 PMM983079 PWI983079 QGE983079 QQA983079 QZW983079 RJS983079 RTO983079 SDK983079 SNG983079 SXC983079 TGY983079 TQU983079 UAQ983079 UKM983079 UUI983079 VEE983079 VOA983079 VXW983079 WHS983079 WRO983079" xr:uid="{00000000-0002-0000-0200-000000000000}">
      <formula1>Select_Haul_Distance</formula1>
    </dataValidation>
    <dataValidation type="list" allowBlank="1" showInputMessage="1" showErrorMessage="1" sqref="FC65649 OY65649 YU65649 AIQ65649 ASM65649 BCI65649 BME65649 BWA65649 CFW65649 CPS65649 CZO65649 DJK65649 DTG65649 EDC65649 EMY65649 EWU65649 FGQ65649 FQM65649 GAI65649 GKE65649 GUA65649 HDW65649 HNS65649 HXO65649 IHK65649 IRG65649 JBC65649 JKY65649 JUU65649 KEQ65649 KOM65649 KYI65649 LIE65649 LSA65649 MBW65649 MLS65649 MVO65649 NFK65649 NPG65649 NZC65649 OIY65649 OSU65649 PCQ65649 PMM65649 PWI65649 QGE65649 QQA65649 QZW65649 RJS65649 RTO65649 SDK65649 SNG65649 SXC65649 TGY65649 TQU65649 UAQ65649 UKM65649 UUI65649 VEE65649 VOA65649 VXW65649 WHS65649 WRO65649 FC131185 OY131185 YU131185 AIQ131185 ASM131185 BCI131185 BME131185 BWA131185 CFW131185 CPS131185 CZO131185 DJK131185 DTG131185 EDC131185 EMY131185 EWU131185 FGQ131185 FQM131185 GAI131185 GKE131185 GUA131185 HDW131185 HNS131185 HXO131185 IHK131185 IRG131185 JBC131185 JKY131185 JUU131185 KEQ131185 KOM131185 KYI131185 LIE131185 LSA131185 MBW131185 MLS131185 MVO131185 NFK131185 NPG131185 NZC131185 OIY131185 OSU131185 PCQ131185 PMM131185 PWI131185 QGE131185 QQA131185 QZW131185 RJS131185 RTO131185 SDK131185 SNG131185 SXC131185 TGY131185 TQU131185 UAQ131185 UKM131185 UUI131185 VEE131185 VOA131185 VXW131185 WHS131185 WRO131185 FC196721 OY196721 YU196721 AIQ196721 ASM196721 BCI196721 BME196721 BWA196721 CFW196721 CPS196721 CZO196721 DJK196721 DTG196721 EDC196721 EMY196721 EWU196721 FGQ196721 FQM196721 GAI196721 GKE196721 GUA196721 HDW196721 HNS196721 HXO196721 IHK196721 IRG196721 JBC196721 JKY196721 JUU196721 KEQ196721 KOM196721 KYI196721 LIE196721 LSA196721 MBW196721 MLS196721 MVO196721 NFK196721 NPG196721 NZC196721 OIY196721 OSU196721 PCQ196721 PMM196721 PWI196721 QGE196721 QQA196721 QZW196721 RJS196721 RTO196721 SDK196721 SNG196721 SXC196721 TGY196721 TQU196721 UAQ196721 UKM196721 UUI196721 VEE196721 VOA196721 VXW196721 WHS196721 WRO196721 FC262257 OY262257 YU262257 AIQ262257 ASM262257 BCI262257 BME262257 BWA262257 CFW262257 CPS262257 CZO262257 DJK262257 DTG262257 EDC262257 EMY262257 EWU262257 FGQ262257 FQM262257 GAI262257 GKE262257 GUA262257 HDW262257 HNS262257 HXO262257 IHK262257 IRG262257 JBC262257 JKY262257 JUU262257 KEQ262257 KOM262257 KYI262257 LIE262257 LSA262257 MBW262257 MLS262257 MVO262257 NFK262257 NPG262257 NZC262257 OIY262257 OSU262257 PCQ262257 PMM262257 PWI262257 QGE262257 QQA262257 QZW262257 RJS262257 RTO262257 SDK262257 SNG262257 SXC262257 TGY262257 TQU262257 UAQ262257 UKM262257 UUI262257 VEE262257 VOA262257 VXW262257 WHS262257 WRO262257 FC327793 OY327793 YU327793 AIQ327793 ASM327793 BCI327793 BME327793 BWA327793 CFW327793 CPS327793 CZO327793 DJK327793 DTG327793 EDC327793 EMY327793 EWU327793 FGQ327793 FQM327793 GAI327793 GKE327793 GUA327793 HDW327793 HNS327793 HXO327793 IHK327793 IRG327793 JBC327793 JKY327793 JUU327793 KEQ327793 KOM327793 KYI327793 LIE327793 LSA327793 MBW327793 MLS327793 MVO327793 NFK327793 NPG327793 NZC327793 OIY327793 OSU327793 PCQ327793 PMM327793 PWI327793 QGE327793 QQA327793 QZW327793 RJS327793 RTO327793 SDK327793 SNG327793 SXC327793 TGY327793 TQU327793 UAQ327793 UKM327793 UUI327793 VEE327793 VOA327793 VXW327793 WHS327793 WRO327793 FC393329 OY393329 YU393329 AIQ393329 ASM393329 BCI393329 BME393329 BWA393329 CFW393329 CPS393329 CZO393329 DJK393329 DTG393329 EDC393329 EMY393329 EWU393329 FGQ393329 FQM393329 GAI393329 GKE393329 GUA393329 HDW393329 HNS393329 HXO393329 IHK393329 IRG393329 JBC393329 JKY393329 JUU393329 KEQ393329 KOM393329 KYI393329 LIE393329 LSA393329 MBW393329 MLS393329 MVO393329 NFK393329 NPG393329 NZC393329 OIY393329 OSU393329 PCQ393329 PMM393329 PWI393329 QGE393329 QQA393329 QZW393329 RJS393329 RTO393329 SDK393329 SNG393329 SXC393329 TGY393329 TQU393329 UAQ393329 UKM393329 UUI393329 VEE393329 VOA393329 VXW393329 WHS393329 WRO393329 FC458865 OY458865 YU458865 AIQ458865 ASM458865 BCI458865 BME458865 BWA458865 CFW458865 CPS458865 CZO458865 DJK458865 DTG458865 EDC458865 EMY458865 EWU458865 FGQ458865 FQM458865 GAI458865 GKE458865 GUA458865 HDW458865 HNS458865 HXO458865 IHK458865 IRG458865 JBC458865 JKY458865 JUU458865 KEQ458865 KOM458865 KYI458865 LIE458865 LSA458865 MBW458865 MLS458865 MVO458865 NFK458865 NPG458865 NZC458865 OIY458865 OSU458865 PCQ458865 PMM458865 PWI458865 QGE458865 QQA458865 QZW458865 RJS458865 RTO458865 SDK458865 SNG458865 SXC458865 TGY458865 TQU458865 UAQ458865 UKM458865 UUI458865 VEE458865 VOA458865 VXW458865 WHS458865 WRO458865 FC524401 OY524401 YU524401 AIQ524401 ASM524401 BCI524401 BME524401 BWA524401 CFW524401 CPS524401 CZO524401 DJK524401 DTG524401 EDC524401 EMY524401 EWU524401 FGQ524401 FQM524401 GAI524401 GKE524401 GUA524401 HDW524401 HNS524401 HXO524401 IHK524401 IRG524401 JBC524401 JKY524401 JUU524401 KEQ524401 KOM524401 KYI524401 LIE524401 LSA524401 MBW524401 MLS524401 MVO524401 NFK524401 NPG524401 NZC524401 OIY524401 OSU524401 PCQ524401 PMM524401 PWI524401 QGE524401 QQA524401 QZW524401 RJS524401 RTO524401 SDK524401 SNG524401 SXC524401 TGY524401 TQU524401 UAQ524401 UKM524401 UUI524401 VEE524401 VOA524401 VXW524401 WHS524401 WRO524401 FC589937 OY589937 YU589937 AIQ589937 ASM589937 BCI589937 BME589937 BWA589937 CFW589937 CPS589937 CZO589937 DJK589937 DTG589937 EDC589937 EMY589937 EWU589937 FGQ589937 FQM589937 GAI589937 GKE589937 GUA589937 HDW589937 HNS589937 HXO589937 IHK589937 IRG589937 JBC589937 JKY589937 JUU589937 KEQ589937 KOM589937 KYI589937 LIE589937 LSA589937 MBW589937 MLS589937 MVO589937 NFK589937 NPG589937 NZC589937 OIY589937 OSU589937 PCQ589937 PMM589937 PWI589937 QGE589937 QQA589937 QZW589937 RJS589937 RTO589937 SDK589937 SNG589937 SXC589937 TGY589937 TQU589937 UAQ589937 UKM589937 UUI589937 VEE589937 VOA589937 VXW589937 WHS589937 WRO589937 FC655473 OY655473 YU655473 AIQ655473 ASM655473 BCI655473 BME655473 BWA655473 CFW655473 CPS655473 CZO655473 DJK655473 DTG655473 EDC655473 EMY655473 EWU655473 FGQ655473 FQM655473 GAI655473 GKE655473 GUA655473 HDW655473 HNS655473 HXO655473 IHK655473 IRG655473 JBC655473 JKY655473 JUU655473 KEQ655473 KOM655473 KYI655473 LIE655473 LSA655473 MBW655473 MLS655473 MVO655473 NFK655473 NPG655473 NZC655473 OIY655473 OSU655473 PCQ655473 PMM655473 PWI655473 QGE655473 QQA655473 QZW655473 RJS655473 RTO655473 SDK655473 SNG655473 SXC655473 TGY655473 TQU655473 UAQ655473 UKM655473 UUI655473 VEE655473 VOA655473 VXW655473 WHS655473 WRO655473 FC721009 OY721009 YU721009 AIQ721009 ASM721009 BCI721009 BME721009 BWA721009 CFW721009 CPS721009 CZO721009 DJK721009 DTG721009 EDC721009 EMY721009 EWU721009 FGQ721009 FQM721009 GAI721009 GKE721009 GUA721009 HDW721009 HNS721009 HXO721009 IHK721009 IRG721009 JBC721009 JKY721009 JUU721009 KEQ721009 KOM721009 KYI721009 LIE721009 LSA721009 MBW721009 MLS721009 MVO721009 NFK721009 NPG721009 NZC721009 OIY721009 OSU721009 PCQ721009 PMM721009 PWI721009 QGE721009 QQA721009 QZW721009 RJS721009 RTO721009 SDK721009 SNG721009 SXC721009 TGY721009 TQU721009 UAQ721009 UKM721009 UUI721009 VEE721009 VOA721009 VXW721009 WHS721009 WRO721009 FC786545 OY786545 YU786545 AIQ786545 ASM786545 BCI786545 BME786545 BWA786545 CFW786545 CPS786545 CZO786545 DJK786545 DTG786545 EDC786545 EMY786545 EWU786545 FGQ786545 FQM786545 GAI786545 GKE786545 GUA786545 HDW786545 HNS786545 HXO786545 IHK786545 IRG786545 JBC786545 JKY786545 JUU786545 KEQ786545 KOM786545 KYI786545 LIE786545 LSA786545 MBW786545 MLS786545 MVO786545 NFK786545 NPG786545 NZC786545 OIY786545 OSU786545 PCQ786545 PMM786545 PWI786545 QGE786545 QQA786545 QZW786545 RJS786545 RTO786545 SDK786545 SNG786545 SXC786545 TGY786545 TQU786545 UAQ786545 UKM786545 UUI786545 VEE786545 VOA786545 VXW786545 WHS786545 WRO786545 FC852081 OY852081 YU852081 AIQ852081 ASM852081 BCI852081 BME852081 BWA852081 CFW852081 CPS852081 CZO852081 DJK852081 DTG852081 EDC852081 EMY852081 EWU852081 FGQ852081 FQM852081 GAI852081 GKE852081 GUA852081 HDW852081 HNS852081 HXO852081 IHK852081 IRG852081 JBC852081 JKY852081 JUU852081 KEQ852081 KOM852081 KYI852081 LIE852081 LSA852081 MBW852081 MLS852081 MVO852081 NFK852081 NPG852081 NZC852081 OIY852081 OSU852081 PCQ852081 PMM852081 PWI852081 QGE852081 QQA852081 QZW852081 RJS852081 RTO852081 SDK852081 SNG852081 SXC852081 TGY852081 TQU852081 UAQ852081 UKM852081 UUI852081 VEE852081 VOA852081 VXW852081 WHS852081 WRO852081 FC917617 OY917617 YU917617 AIQ917617 ASM917617 BCI917617 BME917617 BWA917617 CFW917617 CPS917617 CZO917617 DJK917617 DTG917617 EDC917617 EMY917617 EWU917617 FGQ917617 FQM917617 GAI917617 GKE917617 GUA917617 HDW917617 HNS917617 HXO917617 IHK917617 IRG917617 JBC917617 JKY917617 JUU917617 KEQ917617 KOM917617 KYI917617 LIE917617 LSA917617 MBW917617 MLS917617 MVO917617 NFK917617 NPG917617 NZC917617 OIY917617 OSU917617 PCQ917617 PMM917617 PWI917617 QGE917617 QQA917617 QZW917617 RJS917617 RTO917617 SDK917617 SNG917617 SXC917617 TGY917617 TQU917617 UAQ917617 UKM917617 UUI917617 VEE917617 VOA917617 VXW917617 WHS917617 WRO917617 FC983153 OY983153 YU983153 AIQ983153 ASM983153 BCI983153 BME983153 BWA983153 CFW983153 CPS983153 CZO983153 DJK983153 DTG983153 EDC983153 EMY983153 EWU983153 FGQ983153 FQM983153 GAI983153 GKE983153 GUA983153 HDW983153 HNS983153 HXO983153 IHK983153 IRG983153 JBC983153 JKY983153 JUU983153 KEQ983153 KOM983153 KYI983153 LIE983153 LSA983153 MBW983153 MLS983153 MVO983153 NFK983153 NPG983153 NZC983153 OIY983153 OSU983153 PCQ983153 PMM983153 PWI983153 QGE983153 QQA983153 QZW983153 RJS983153 RTO983153 SDK983153 SNG983153 SXC983153 TGY983153 TQU983153 UAQ983153 UKM983153 UUI983153 VEE983153 VOA983153 VXW983153 WHS983153 WRO983153" xr:uid="{00000000-0002-0000-0200-000001000000}">
      <formula1>Distance_to_Site</formula1>
    </dataValidation>
    <dataValidation allowBlank="1" showInputMessage="1" showErrorMessage="1" prompt="Add justification on below if User entered" sqref="E120" xr:uid="{00000000-0002-0000-0200-000002000000}"/>
    <dataValidation allowBlank="1" showInputMessage="1" showErrorMessage="1" prompt="Add justification below if User entered" sqref="E119" xr:uid="{F1383FC5-C3E2-4B03-B55A-396D9758981F}"/>
    <dataValidation type="whole" operator="equal" allowBlank="1" showInputMessage="1" showErrorMessage="1" error="If using the Small Projects rate, only enter a value of 1 into this cell." prompt="If using the Small Projects rate, only enter a value of 1 into this cell." sqref="D111" xr:uid="{A8D26B93-7BF3-42A2-AA73-7049037D32E0}">
      <formula1>1</formula1>
    </dataValidation>
  </dataValidations>
  <hyperlinks>
    <hyperlink ref="B2" location="CONTENTS!A1" display="Contents" xr:uid="{AB0277B1-E524-4267-BCEC-EA16F1AFA88F}"/>
  </hyperlinks>
  <printOptions horizontalCentered="1"/>
  <pageMargins left="0.59055118110236227" right="0.59055118110236227" top="0.59055118110236227" bottom="0.59055118110236227" header="0.39370078740157483" footer="0.39370078740157483"/>
  <pageSetup paperSize="8" fitToHeight="0" orientation="portrait" r:id="rId1"/>
  <headerFooter alignWithMargins="0"/>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Y_N</xm:f>
          </x14:formula1>
          <xm:sqref>EW65653:EW65662 OS65653:OS65662 YO65653:YO65662 AIK65653:AIK65662 ASG65653:ASG65662 BCC65653:BCC65662 BLY65653:BLY65662 BVU65653:BVU65662 CFQ65653:CFQ65662 CPM65653:CPM65662 CZI65653:CZI65662 DJE65653:DJE65662 DTA65653:DTA65662 ECW65653:ECW65662 EMS65653:EMS65662 EWO65653:EWO65662 FGK65653:FGK65662 FQG65653:FQG65662 GAC65653:GAC65662 GJY65653:GJY65662 GTU65653:GTU65662 HDQ65653:HDQ65662 HNM65653:HNM65662 HXI65653:HXI65662 IHE65653:IHE65662 IRA65653:IRA65662 JAW65653:JAW65662 JKS65653:JKS65662 JUO65653:JUO65662 KEK65653:KEK65662 KOG65653:KOG65662 KYC65653:KYC65662 LHY65653:LHY65662 LRU65653:LRU65662 MBQ65653:MBQ65662 MLM65653:MLM65662 MVI65653:MVI65662 NFE65653:NFE65662 NPA65653:NPA65662 NYW65653:NYW65662 OIS65653:OIS65662 OSO65653:OSO65662 PCK65653:PCK65662 PMG65653:PMG65662 PWC65653:PWC65662 QFY65653:QFY65662 QPU65653:QPU65662 QZQ65653:QZQ65662 RJM65653:RJM65662 RTI65653:RTI65662 SDE65653:SDE65662 SNA65653:SNA65662 SWW65653:SWW65662 TGS65653:TGS65662 TQO65653:TQO65662 UAK65653:UAK65662 UKG65653:UKG65662 UUC65653:UUC65662 VDY65653:VDY65662 VNU65653:VNU65662 VXQ65653:VXQ65662 WHM65653:WHM65662 WRI65653:WRI65662 EW131189:EW131198 OS131189:OS131198 YO131189:YO131198 AIK131189:AIK131198 ASG131189:ASG131198 BCC131189:BCC131198 BLY131189:BLY131198 BVU131189:BVU131198 CFQ131189:CFQ131198 CPM131189:CPM131198 CZI131189:CZI131198 DJE131189:DJE131198 DTA131189:DTA131198 ECW131189:ECW131198 EMS131189:EMS131198 EWO131189:EWO131198 FGK131189:FGK131198 FQG131189:FQG131198 GAC131189:GAC131198 GJY131189:GJY131198 GTU131189:GTU131198 HDQ131189:HDQ131198 HNM131189:HNM131198 HXI131189:HXI131198 IHE131189:IHE131198 IRA131189:IRA131198 JAW131189:JAW131198 JKS131189:JKS131198 JUO131189:JUO131198 KEK131189:KEK131198 KOG131189:KOG131198 KYC131189:KYC131198 LHY131189:LHY131198 LRU131189:LRU131198 MBQ131189:MBQ131198 MLM131189:MLM131198 MVI131189:MVI131198 NFE131189:NFE131198 NPA131189:NPA131198 NYW131189:NYW131198 OIS131189:OIS131198 OSO131189:OSO131198 PCK131189:PCK131198 PMG131189:PMG131198 PWC131189:PWC131198 QFY131189:QFY131198 QPU131189:QPU131198 QZQ131189:QZQ131198 RJM131189:RJM131198 RTI131189:RTI131198 SDE131189:SDE131198 SNA131189:SNA131198 SWW131189:SWW131198 TGS131189:TGS131198 TQO131189:TQO131198 UAK131189:UAK131198 UKG131189:UKG131198 UUC131189:UUC131198 VDY131189:VDY131198 VNU131189:VNU131198 VXQ131189:VXQ131198 WHM131189:WHM131198 WRI131189:WRI131198 EW196725:EW196734 OS196725:OS196734 YO196725:YO196734 AIK196725:AIK196734 ASG196725:ASG196734 BCC196725:BCC196734 BLY196725:BLY196734 BVU196725:BVU196734 CFQ196725:CFQ196734 CPM196725:CPM196734 CZI196725:CZI196734 DJE196725:DJE196734 DTA196725:DTA196734 ECW196725:ECW196734 EMS196725:EMS196734 EWO196725:EWO196734 FGK196725:FGK196734 FQG196725:FQG196734 GAC196725:GAC196734 GJY196725:GJY196734 GTU196725:GTU196734 HDQ196725:HDQ196734 HNM196725:HNM196734 HXI196725:HXI196734 IHE196725:IHE196734 IRA196725:IRA196734 JAW196725:JAW196734 JKS196725:JKS196734 JUO196725:JUO196734 KEK196725:KEK196734 KOG196725:KOG196734 KYC196725:KYC196734 LHY196725:LHY196734 LRU196725:LRU196734 MBQ196725:MBQ196734 MLM196725:MLM196734 MVI196725:MVI196734 NFE196725:NFE196734 NPA196725:NPA196734 NYW196725:NYW196734 OIS196725:OIS196734 OSO196725:OSO196734 PCK196725:PCK196734 PMG196725:PMG196734 PWC196725:PWC196734 QFY196725:QFY196734 QPU196725:QPU196734 QZQ196725:QZQ196734 RJM196725:RJM196734 RTI196725:RTI196734 SDE196725:SDE196734 SNA196725:SNA196734 SWW196725:SWW196734 TGS196725:TGS196734 TQO196725:TQO196734 UAK196725:UAK196734 UKG196725:UKG196734 UUC196725:UUC196734 VDY196725:VDY196734 VNU196725:VNU196734 VXQ196725:VXQ196734 WHM196725:WHM196734 WRI196725:WRI196734 EW262261:EW262270 OS262261:OS262270 YO262261:YO262270 AIK262261:AIK262270 ASG262261:ASG262270 BCC262261:BCC262270 BLY262261:BLY262270 BVU262261:BVU262270 CFQ262261:CFQ262270 CPM262261:CPM262270 CZI262261:CZI262270 DJE262261:DJE262270 DTA262261:DTA262270 ECW262261:ECW262270 EMS262261:EMS262270 EWO262261:EWO262270 FGK262261:FGK262270 FQG262261:FQG262270 GAC262261:GAC262270 GJY262261:GJY262270 GTU262261:GTU262270 HDQ262261:HDQ262270 HNM262261:HNM262270 HXI262261:HXI262270 IHE262261:IHE262270 IRA262261:IRA262270 JAW262261:JAW262270 JKS262261:JKS262270 JUO262261:JUO262270 KEK262261:KEK262270 KOG262261:KOG262270 KYC262261:KYC262270 LHY262261:LHY262270 LRU262261:LRU262270 MBQ262261:MBQ262270 MLM262261:MLM262270 MVI262261:MVI262270 NFE262261:NFE262270 NPA262261:NPA262270 NYW262261:NYW262270 OIS262261:OIS262270 OSO262261:OSO262270 PCK262261:PCK262270 PMG262261:PMG262270 PWC262261:PWC262270 QFY262261:QFY262270 QPU262261:QPU262270 QZQ262261:QZQ262270 RJM262261:RJM262270 RTI262261:RTI262270 SDE262261:SDE262270 SNA262261:SNA262270 SWW262261:SWW262270 TGS262261:TGS262270 TQO262261:TQO262270 UAK262261:UAK262270 UKG262261:UKG262270 UUC262261:UUC262270 VDY262261:VDY262270 VNU262261:VNU262270 VXQ262261:VXQ262270 WHM262261:WHM262270 WRI262261:WRI262270 EW327797:EW327806 OS327797:OS327806 YO327797:YO327806 AIK327797:AIK327806 ASG327797:ASG327806 BCC327797:BCC327806 BLY327797:BLY327806 BVU327797:BVU327806 CFQ327797:CFQ327806 CPM327797:CPM327806 CZI327797:CZI327806 DJE327797:DJE327806 DTA327797:DTA327806 ECW327797:ECW327806 EMS327797:EMS327806 EWO327797:EWO327806 FGK327797:FGK327806 FQG327797:FQG327806 GAC327797:GAC327806 GJY327797:GJY327806 GTU327797:GTU327806 HDQ327797:HDQ327806 HNM327797:HNM327806 HXI327797:HXI327806 IHE327797:IHE327806 IRA327797:IRA327806 JAW327797:JAW327806 JKS327797:JKS327806 JUO327797:JUO327806 KEK327797:KEK327806 KOG327797:KOG327806 KYC327797:KYC327806 LHY327797:LHY327806 LRU327797:LRU327806 MBQ327797:MBQ327806 MLM327797:MLM327806 MVI327797:MVI327806 NFE327797:NFE327806 NPA327797:NPA327806 NYW327797:NYW327806 OIS327797:OIS327806 OSO327797:OSO327806 PCK327797:PCK327806 PMG327797:PMG327806 PWC327797:PWC327806 QFY327797:QFY327806 QPU327797:QPU327806 QZQ327797:QZQ327806 RJM327797:RJM327806 RTI327797:RTI327806 SDE327797:SDE327806 SNA327797:SNA327806 SWW327797:SWW327806 TGS327797:TGS327806 TQO327797:TQO327806 UAK327797:UAK327806 UKG327797:UKG327806 UUC327797:UUC327806 VDY327797:VDY327806 VNU327797:VNU327806 VXQ327797:VXQ327806 WHM327797:WHM327806 WRI327797:WRI327806 EW393333:EW393342 OS393333:OS393342 YO393333:YO393342 AIK393333:AIK393342 ASG393333:ASG393342 BCC393333:BCC393342 BLY393333:BLY393342 BVU393333:BVU393342 CFQ393333:CFQ393342 CPM393333:CPM393342 CZI393333:CZI393342 DJE393333:DJE393342 DTA393333:DTA393342 ECW393333:ECW393342 EMS393333:EMS393342 EWO393333:EWO393342 FGK393333:FGK393342 FQG393333:FQG393342 GAC393333:GAC393342 GJY393333:GJY393342 GTU393333:GTU393342 HDQ393333:HDQ393342 HNM393333:HNM393342 HXI393333:HXI393342 IHE393333:IHE393342 IRA393333:IRA393342 JAW393333:JAW393342 JKS393333:JKS393342 JUO393333:JUO393342 KEK393333:KEK393342 KOG393333:KOG393342 KYC393333:KYC393342 LHY393333:LHY393342 LRU393333:LRU393342 MBQ393333:MBQ393342 MLM393333:MLM393342 MVI393333:MVI393342 NFE393333:NFE393342 NPA393333:NPA393342 NYW393333:NYW393342 OIS393333:OIS393342 OSO393333:OSO393342 PCK393333:PCK393342 PMG393333:PMG393342 PWC393333:PWC393342 QFY393333:QFY393342 QPU393333:QPU393342 QZQ393333:QZQ393342 RJM393333:RJM393342 RTI393333:RTI393342 SDE393333:SDE393342 SNA393333:SNA393342 SWW393333:SWW393342 TGS393333:TGS393342 TQO393333:TQO393342 UAK393333:UAK393342 UKG393333:UKG393342 UUC393333:UUC393342 VDY393333:VDY393342 VNU393333:VNU393342 VXQ393333:VXQ393342 WHM393333:WHM393342 WRI393333:WRI393342 EW458869:EW458878 OS458869:OS458878 YO458869:YO458878 AIK458869:AIK458878 ASG458869:ASG458878 BCC458869:BCC458878 BLY458869:BLY458878 BVU458869:BVU458878 CFQ458869:CFQ458878 CPM458869:CPM458878 CZI458869:CZI458878 DJE458869:DJE458878 DTA458869:DTA458878 ECW458869:ECW458878 EMS458869:EMS458878 EWO458869:EWO458878 FGK458869:FGK458878 FQG458869:FQG458878 GAC458869:GAC458878 GJY458869:GJY458878 GTU458869:GTU458878 HDQ458869:HDQ458878 HNM458869:HNM458878 HXI458869:HXI458878 IHE458869:IHE458878 IRA458869:IRA458878 JAW458869:JAW458878 JKS458869:JKS458878 JUO458869:JUO458878 KEK458869:KEK458878 KOG458869:KOG458878 KYC458869:KYC458878 LHY458869:LHY458878 LRU458869:LRU458878 MBQ458869:MBQ458878 MLM458869:MLM458878 MVI458869:MVI458878 NFE458869:NFE458878 NPA458869:NPA458878 NYW458869:NYW458878 OIS458869:OIS458878 OSO458869:OSO458878 PCK458869:PCK458878 PMG458869:PMG458878 PWC458869:PWC458878 QFY458869:QFY458878 QPU458869:QPU458878 QZQ458869:QZQ458878 RJM458869:RJM458878 RTI458869:RTI458878 SDE458869:SDE458878 SNA458869:SNA458878 SWW458869:SWW458878 TGS458869:TGS458878 TQO458869:TQO458878 UAK458869:UAK458878 UKG458869:UKG458878 UUC458869:UUC458878 VDY458869:VDY458878 VNU458869:VNU458878 VXQ458869:VXQ458878 WHM458869:WHM458878 WRI458869:WRI458878 EW524405:EW524414 OS524405:OS524414 YO524405:YO524414 AIK524405:AIK524414 ASG524405:ASG524414 BCC524405:BCC524414 BLY524405:BLY524414 BVU524405:BVU524414 CFQ524405:CFQ524414 CPM524405:CPM524414 CZI524405:CZI524414 DJE524405:DJE524414 DTA524405:DTA524414 ECW524405:ECW524414 EMS524405:EMS524414 EWO524405:EWO524414 FGK524405:FGK524414 FQG524405:FQG524414 GAC524405:GAC524414 GJY524405:GJY524414 GTU524405:GTU524414 HDQ524405:HDQ524414 HNM524405:HNM524414 HXI524405:HXI524414 IHE524405:IHE524414 IRA524405:IRA524414 JAW524405:JAW524414 JKS524405:JKS524414 JUO524405:JUO524414 KEK524405:KEK524414 KOG524405:KOG524414 KYC524405:KYC524414 LHY524405:LHY524414 LRU524405:LRU524414 MBQ524405:MBQ524414 MLM524405:MLM524414 MVI524405:MVI524414 NFE524405:NFE524414 NPA524405:NPA524414 NYW524405:NYW524414 OIS524405:OIS524414 OSO524405:OSO524414 PCK524405:PCK524414 PMG524405:PMG524414 PWC524405:PWC524414 QFY524405:QFY524414 QPU524405:QPU524414 QZQ524405:QZQ524414 RJM524405:RJM524414 RTI524405:RTI524414 SDE524405:SDE524414 SNA524405:SNA524414 SWW524405:SWW524414 TGS524405:TGS524414 TQO524405:TQO524414 UAK524405:UAK524414 UKG524405:UKG524414 UUC524405:UUC524414 VDY524405:VDY524414 VNU524405:VNU524414 VXQ524405:VXQ524414 WHM524405:WHM524414 WRI524405:WRI524414 EW589941:EW589950 OS589941:OS589950 YO589941:YO589950 AIK589941:AIK589950 ASG589941:ASG589950 BCC589941:BCC589950 BLY589941:BLY589950 BVU589941:BVU589950 CFQ589941:CFQ589950 CPM589941:CPM589950 CZI589941:CZI589950 DJE589941:DJE589950 DTA589941:DTA589950 ECW589941:ECW589950 EMS589941:EMS589950 EWO589941:EWO589950 FGK589941:FGK589950 FQG589941:FQG589950 GAC589941:GAC589950 GJY589941:GJY589950 GTU589941:GTU589950 HDQ589941:HDQ589950 HNM589941:HNM589950 HXI589941:HXI589950 IHE589941:IHE589950 IRA589941:IRA589950 JAW589941:JAW589950 JKS589941:JKS589950 JUO589941:JUO589950 KEK589941:KEK589950 KOG589941:KOG589950 KYC589941:KYC589950 LHY589941:LHY589950 LRU589941:LRU589950 MBQ589941:MBQ589950 MLM589941:MLM589950 MVI589941:MVI589950 NFE589941:NFE589950 NPA589941:NPA589950 NYW589941:NYW589950 OIS589941:OIS589950 OSO589941:OSO589950 PCK589941:PCK589950 PMG589941:PMG589950 PWC589941:PWC589950 QFY589941:QFY589950 QPU589941:QPU589950 QZQ589941:QZQ589950 RJM589941:RJM589950 RTI589941:RTI589950 SDE589941:SDE589950 SNA589941:SNA589950 SWW589941:SWW589950 TGS589941:TGS589950 TQO589941:TQO589950 UAK589941:UAK589950 UKG589941:UKG589950 UUC589941:UUC589950 VDY589941:VDY589950 VNU589941:VNU589950 VXQ589941:VXQ589950 WHM589941:WHM589950 WRI589941:WRI589950 EW655477:EW655486 OS655477:OS655486 YO655477:YO655486 AIK655477:AIK655486 ASG655477:ASG655486 BCC655477:BCC655486 BLY655477:BLY655486 BVU655477:BVU655486 CFQ655477:CFQ655486 CPM655477:CPM655486 CZI655477:CZI655486 DJE655477:DJE655486 DTA655477:DTA655486 ECW655477:ECW655486 EMS655477:EMS655486 EWO655477:EWO655486 FGK655477:FGK655486 FQG655477:FQG655486 GAC655477:GAC655486 GJY655477:GJY655486 GTU655477:GTU655486 HDQ655477:HDQ655486 HNM655477:HNM655486 HXI655477:HXI655486 IHE655477:IHE655486 IRA655477:IRA655486 JAW655477:JAW655486 JKS655477:JKS655486 JUO655477:JUO655486 KEK655477:KEK655486 KOG655477:KOG655486 KYC655477:KYC655486 LHY655477:LHY655486 LRU655477:LRU655486 MBQ655477:MBQ655486 MLM655477:MLM655486 MVI655477:MVI655486 NFE655477:NFE655486 NPA655477:NPA655486 NYW655477:NYW655486 OIS655477:OIS655486 OSO655477:OSO655486 PCK655477:PCK655486 PMG655477:PMG655486 PWC655477:PWC655486 QFY655477:QFY655486 QPU655477:QPU655486 QZQ655477:QZQ655486 RJM655477:RJM655486 RTI655477:RTI655486 SDE655477:SDE655486 SNA655477:SNA655486 SWW655477:SWW655486 TGS655477:TGS655486 TQO655477:TQO655486 UAK655477:UAK655486 UKG655477:UKG655486 UUC655477:UUC655486 VDY655477:VDY655486 VNU655477:VNU655486 VXQ655477:VXQ655486 WHM655477:WHM655486 WRI655477:WRI655486 EW721013:EW721022 OS721013:OS721022 YO721013:YO721022 AIK721013:AIK721022 ASG721013:ASG721022 BCC721013:BCC721022 BLY721013:BLY721022 BVU721013:BVU721022 CFQ721013:CFQ721022 CPM721013:CPM721022 CZI721013:CZI721022 DJE721013:DJE721022 DTA721013:DTA721022 ECW721013:ECW721022 EMS721013:EMS721022 EWO721013:EWO721022 FGK721013:FGK721022 FQG721013:FQG721022 GAC721013:GAC721022 GJY721013:GJY721022 GTU721013:GTU721022 HDQ721013:HDQ721022 HNM721013:HNM721022 HXI721013:HXI721022 IHE721013:IHE721022 IRA721013:IRA721022 JAW721013:JAW721022 JKS721013:JKS721022 JUO721013:JUO721022 KEK721013:KEK721022 KOG721013:KOG721022 KYC721013:KYC721022 LHY721013:LHY721022 LRU721013:LRU721022 MBQ721013:MBQ721022 MLM721013:MLM721022 MVI721013:MVI721022 NFE721013:NFE721022 NPA721013:NPA721022 NYW721013:NYW721022 OIS721013:OIS721022 OSO721013:OSO721022 PCK721013:PCK721022 PMG721013:PMG721022 PWC721013:PWC721022 QFY721013:QFY721022 QPU721013:QPU721022 QZQ721013:QZQ721022 RJM721013:RJM721022 RTI721013:RTI721022 SDE721013:SDE721022 SNA721013:SNA721022 SWW721013:SWW721022 TGS721013:TGS721022 TQO721013:TQO721022 UAK721013:UAK721022 UKG721013:UKG721022 UUC721013:UUC721022 VDY721013:VDY721022 VNU721013:VNU721022 VXQ721013:VXQ721022 WHM721013:WHM721022 WRI721013:WRI721022 EW786549:EW786558 OS786549:OS786558 YO786549:YO786558 AIK786549:AIK786558 ASG786549:ASG786558 BCC786549:BCC786558 BLY786549:BLY786558 BVU786549:BVU786558 CFQ786549:CFQ786558 CPM786549:CPM786558 CZI786549:CZI786558 DJE786549:DJE786558 DTA786549:DTA786558 ECW786549:ECW786558 EMS786549:EMS786558 EWO786549:EWO786558 FGK786549:FGK786558 FQG786549:FQG786558 GAC786549:GAC786558 GJY786549:GJY786558 GTU786549:GTU786558 HDQ786549:HDQ786558 HNM786549:HNM786558 HXI786549:HXI786558 IHE786549:IHE786558 IRA786549:IRA786558 JAW786549:JAW786558 JKS786549:JKS786558 JUO786549:JUO786558 KEK786549:KEK786558 KOG786549:KOG786558 KYC786549:KYC786558 LHY786549:LHY786558 LRU786549:LRU786558 MBQ786549:MBQ786558 MLM786549:MLM786558 MVI786549:MVI786558 NFE786549:NFE786558 NPA786549:NPA786558 NYW786549:NYW786558 OIS786549:OIS786558 OSO786549:OSO786558 PCK786549:PCK786558 PMG786549:PMG786558 PWC786549:PWC786558 QFY786549:QFY786558 QPU786549:QPU786558 QZQ786549:QZQ786558 RJM786549:RJM786558 RTI786549:RTI786558 SDE786549:SDE786558 SNA786549:SNA786558 SWW786549:SWW786558 TGS786549:TGS786558 TQO786549:TQO786558 UAK786549:UAK786558 UKG786549:UKG786558 UUC786549:UUC786558 VDY786549:VDY786558 VNU786549:VNU786558 VXQ786549:VXQ786558 WHM786549:WHM786558 WRI786549:WRI786558 EW852085:EW852094 OS852085:OS852094 YO852085:YO852094 AIK852085:AIK852094 ASG852085:ASG852094 BCC852085:BCC852094 BLY852085:BLY852094 BVU852085:BVU852094 CFQ852085:CFQ852094 CPM852085:CPM852094 CZI852085:CZI852094 DJE852085:DJE852094 DTA852085:DTA852094 ECW852085:ECW852094 EMS852085:EMS852094 EWO852085:EWO852094 FGK852085:FGK852094 FQG852085:FQG852094 GAC852085:GAC852094 GJY852085:GJY852094 GTU852085:GTU852094 HDQ852085:HDQ852094 HNM852085:HNM852094 HXI852085:HXI852094 IHE852085:IHE852094 IRA852085:IRA852094 JAW852085:JAW852094 JKS852085:JKS852094 JUO852085:JUO852094 KEK852085:KEK852094 KOG852085:KOG852094 KYC852085:KYC852094 LHY852085:LHY852094 LRU852085:LRU852094 MBQ852085:MBQ852094 MLM852085:MLM852094 MVI852085:MVI852094 NFE852085:NFE852094 NPA852085:NPA852094 NYW852085:NYW852094 OIS852085:OIS852094 OSO852085:OSO852094 PCK852085:PCK852094 PMG852085:PMG852094 PWC852085:PWC852094 QFY852085:QFY852094 QPU852085:QPU852094 QZQ852085:QZQ852094 RJM852085:RJM852094 RTI852085:RTI852094 SDE852085:SDE852094 SNA852085:SNA852094 SWW852085:SWW852094 TGS852085:TGS852094 TQO852085:TQO852094 UAK852085:UAK852094 UKG852085:UKG852094 UUC852085:UUC852094 VDY852085:VDY852094 VNU852085:VNU852094 VXQ852085:VXQ852094 WHM852085:WHM852094 WRI852085:WRI852094 EW917621:EW917630 OS917621:OS917630 YO917621:YO917630 AIK917621:AIK917630 ASG917621:ASG917630 BCC917621:BCC917630 BLY917621:BLY917630 BVU917621:BVU917630 CFQ917621:CFQ917630 CPM917621:CPM917630 CZI917621:CZI917630 DJE917621:DJE917630 DTA917621:DTA917630 ECW917621:ECW917630 EMS917621:EMS917630 EWO917621:EWO917630 FGK917621:FGK917630 FQG917621:FQG917630 GAC917621:GAC917630 GJY917621:GJY917630 GTU917621:GTU917630 HDQ917621:HDQ917630 HNM917621:HNM917630 HXI917621:HXI917630 IHE917621:IHE917630 IRA917621:IRA917630 JAW917621:JAW917630 JKS917621:JKS917630 JUO917621:JUO917630 KEK917621:KEK917630 KOG917621:KOG917630 KYC917621:KYC917630 LHY917621:LHY917630 LRU917621:LRU917630 MBQ917621:MBQ917630 MLM917621:MLM917630 MVI917621:MVI917630 NFE917621:NFE917630 NPA917621:NPA917630 NYW917621:NYW917630 OIS917621:OIS917630 OSO917621:OSO917630 PCK917621:PCK917630 PMG917621:PMG917630 PWC917621:PWC917630 QFY917621:QFY917630 QPU917621:QPU917630 QZQ917621:QZQ917630 RJM917621:RJM917630 RTI917621:RTI917630 SDE917621:SDE917630 SNA917621:SNA917630 SWW917621:SWW917630 TGS917621:TGS917630 TQO917621:TQO917630 UAK917621:UAK917630 UKG917621:UKG917630 UUC917621:UUC917630 VDY917621:VDY917630 VNU917621:VNU917630 VXQ917621:VXQ917630 WHM917621:WHM917630 WRI917621:WRI917630 EW983157:EW983166 OS983157:OS983166 YO983157:YO983166 AIK983157:AIK983166 ASG983157:ASG983166 BCC983157:BCC983166 BLY983157:BLY983166 BVU983157:BVU983166 CFQ983157:CFQ983166 CPM983157:CPM983166 CZI983157:CZI983166 DJE983157:DJE983166 DTA983157:DTA983166 ECW983157:ECW983166 EMS983157:EMS983166 EWO983157:EWO983166 FGK983157:FGK983166 FQG983157:FQG983166 GAC983157:GAC983166 GJY983157:GJY983166 GTU983157:GTU983166 HDQ983157:HDQ983166 HNM983157:HNM983166 HXI983157:HXI983166 IHE983157:IHE983166 IRA983157:IRA983166 JAW983157:JAW983166 JKS983157:JKS983166 JUO983157:JUO983166 KEK983157:KEK983166 KOG983157:KOG983166 KYC983157:KYC983166 LHY983157:LHY983166 LRU983157:LRU983166 MBQ983157:MBQ983166 MLM983157:MLM983166 MVI983157:MVI983166 NFE983157:NFE983166 NPA983157:NPA983166 NYW983157:NYW983166 OIS983157:OIS983166 OSO983157:OSO983166 PCK983157:PCK983166 PMG983157:PMG983166 PWC983157:PWC983166 QFY983157:QFY983166 QPU983157:QPU983166 QZQ983157:QZQ983166 RJM983157:RJM983166 RTI983157:RTI983166 SDE983157:SDE983166 SNA983157:SNA983166 SWW983157:SWW983166 TGS983157:TGS983166 TQO983157:TQO983166 UAK983157:UAK983166 UKG983157:UKG983166 UUC983157:UUC983166 VDY983157:VDY983166 VNU983157:VNU983166 VXQ983157:VXQ983166 WHM983157:WHM983166 WRI983157:WRI983166 EW65597:EW65598 OS65597:OS65598 YO65597:YO65598 AIK65597:AIK65598 ASG65597:ASG65598 BCC65597:BCC65598 BLY65597:BLY65598 BVU65597:BVU65598 CFQ65597:CFQ65598 CPM65597:CPM65598 CZI65597:CZI65598 DJE65597:DJE65598 DTA65597:DTA65598 ECW65597:ECW65598 EMS65597:EMS65598 EWO65597:EWO65598 FGK65597:FGK65598 FQG65597:FQG65598 GAC65597:GAC65598 GJY65597:GJY65598 GTU65597:GTU65598 HDQ65597:HDQ65598 HNM65597:HNM65598 HXI65597:HXI65598 IHE65597:IHE65598 IRA65597:IRA65598 JAW65597:JAW65598 JKS65597:JKS65598 JUO65597:JUO65598 KEK65597:KEK65598 KOG65597:KOG65598 KYC65597:KYC65598 LHY65597:LHY65598 LRU65597:LRU65598 MBQ65597:MBQ65598 MLM65597:MLM65598 MVI65597:MVI65598 NFE65597:NFE65598 NPA65597:NPA65598 NYW65597:NYW65598 OIS65597:OIS65598 OSO65597:OSO65598 PCK65597:PCK65598 PMG65597:PMG65598 PWC65597:PWC65598 QFY65597:QFY65598 QPU65597:QPU65598 QZQ65597:QZQ65598 RJM65597:RJM65598 RTI65597:RTI65598 SDE65597:SDE65598 SNA65597:SNA65598 SWW65597:SWW65598 TGS65597:TGS65598 TQO65597:TQO65598 UAK65597:UAK65598 UKG65597:UKG65598 UUC65597:UUC65598 VDY65597:VDY65598 VNU65597:VNU65598 VXQ65597:VXQ65598 WHM65597:WHM65598 WRI65597:WRI65598 EW131133:EW131134 OS131133:OS131134 YO131133:YO131134 AIK131133:AIK131134 ASG131133:ASG131134 BCC131133:BCC131134 BLY131133:BLY131134 BVU131133:BVU131134 CFQ131133:CFQ131134 CPM131133:CPM131134 CZI131133:CZI131134 DJE131133:DJE131134 DTA131133:DTA131134 ECW131133:ECW131134 EMS131133:EMS131134 EWO131133:EWO131134 FGK131133:FGK131134 FQG131133:FQG131134 GAC131133:GAC131134 GJY131133:GJY131134 GTU131133:GTU131134 HDQ131133:HDQ131134 HNM131133:HNM131134 HXI131133:HXI131134 IHE131133:IHE131134 IRA131133:IRA131134 JAW131133:JAW131134 JKS131133:JKS131134 JUO131133:JUO131134 KEK131133:KEK131134 KOG131133:KOG131134 KYC131133:KYC131134 LHY131133:LHY131134 LRU131133:LRU131134 MBQ131133:MBQ131134 MLM131133:MLM131134 MVI131133:MVI131134 NFE131133:NFE131134 NPA131133:NPA131134 NYW131133:NYW131134 OIS131133:OIS131134 OSO131133:OSO131134 PCK131133:PCK131134 PMG131133:PMG131134 PWC131133:PWC131134 QFY131133:QFY131134 QPU131133:QPU131134 QZQ131133:QZQ131134 RJM131133:RJM131134 RTI131133:RTI131134 SDE131133:SDE131134 SNA131133:SNA131134 SWW131133:SWW131134 TGS131133:TGS131134 TQO131133:TQO131134 UAK131133:UAK131134 UKG131133:UKG131134 UUC131133:UUC131134 VDY131133:VDY131134 VNU131133:VNU131134 VXQ131133:VXQ131134 WHM131133:WHM131134 WRI131133:WRI131134 EW196669:EW196670 OS196669:OS196670 YO196669:YO196670 AIK196669:AIK196670 ASG196669:ASG196670 BCC196669:BCC196670 BLY196669:BLY196670 BVU196669:BVU196670 CFQ196669:CFQ196670 CPM196669:CPM196670 CZI196669:CZI196670 DJE196669:DJE196670 DTA196669:DTA196670 ECW196669:ECW196670 EMS196669:EMS196670 EWO196669:EWO196670 FGK196669:FGK196670 FQG196669:FQG196670 GAC196669:GAC196670 GJY196669:GJY196670 GTU196669:GTU196670 HDQ196669:HDQ196670 HNM196669:HNM196670 HXI196669:HXI196670 IHE196669:IHE196670 IRA196669:IRA196670 JAW196669:JAW196670 JKS196669:JKS196670 JUO196669:JUO196670 KEK196669:KEK196670 KOG196669:KOG196670 KYC196669:KYC196670 LHY196669:LHY196670 LRU196669:LRU196670 MBQ196669:MBQ196670 MLM196669:MLM196670 MVI196669:MVI196670 NFE196669:NFE196670 NPA196669:NPA196670 NYW196669:NYW196670 OIS196669:OIS196670 OSO196669:OSO196670 PCK196669:PCK196670 PMG196669:PMG196670 PWC196669:PWC196670 QFY196669:QFY196670 QPU196669:QPU196670 QZQ196669:QZQ196670 RJM196669:RJM196670 RTI196669:RTI196670 SDE196669:SDE196670 SNA196669:SNA196670 SWW196669:SWW196670 TGS196669:TGS196670 TQO196669:TQO196670 UAK196669:UAK196670 UKG196669:UKG196670 UUC196669:UUC196670 VDY196669:VDY196670 VNU196669:VNU196670 VXQ196669:VXQ196670 WHM196669:WHM196670 WRI196669:WRI196670 EW262205:EW262206 OS262205:OS262206 YO262205:YO262206 AIK262205:AIK262206 ASG262205:ASG262206 BCC262205:BCC262206 BLY262205:BLY262206 BVU262205:BVU262206 CFQ262205:CFQ262206 CPM262205:CPM262206 CZI262205:CZI262206 DJE262205:DJE262206 DTA262205:DTA262206 ECW262205:ECW262206 EMS262205:EMS262206 EWO262205:EWO262206 FGK262205:FGK262206 FQG262205:FQG262206 GAC262205:GAC262206 GJY262205:GJY262206 GTU262205:GTU262206 HDQ262205:HDQ262206 HNM262205:HNM262206 HXI262205:HXI262206 IHE262205:IHE262206 IRA262205:IRA262206 JAW262205:JAW262206 JKS262205:JKS262206 JUO262205:JUO262206 KEK262205:KEK262206 KOG262205:KOG262206 KYC262205:KYC262206 LHY262205:LHY262206 LRU262205:LRU262206 MBQ262205:MBQ262206 MLM262205:MLM262206 MVI262205:MVI262206 NFE262205:NFE262206 NPA262205:NPA262206 NYW262205:NYW262206 OIS262205:OIS262206 OSO262205:OSO262206 PCK262205:PCK262206 PMG262205:PMG262206 PWC262205:PWC262206 QFY262205:QFY262206 QPU262205:QPU262206 QZQ262205:QZQ262206 RJM262205:RJM262206 RTI262205:RTI262206 SDE262205:SDE262206 SNA262205:SNA262206 SWW262205:SWW262206 TGS262205:TGS262206 TQO262205:TQO262206 UAK262205:UAK262206 UKG262205:UKG262206 UUC262205:UUC262206 VDY262205:VDY262206 VNU262205:VNU262206 VXQ262205:VXQ262206 WHM262205:WHM262206 WRI262205:WRI262206 EW327741:EW327742 OS327741:OS327742 YO327741:YO327742 AIK327741:AIK327742 ASG327741:ASG327742 BCC327741:BCC327742 BLY327741:BLY327742 BVU327741:BVU327742 CFQ327741:CFQ327742 CPM327741:CPM327742 CZI327741:CZI327742 DJE327741:DJE327742 DTA327741:DTA327742 ECW327741:ECW327742 EMS327741:EMS327742 EWO327741:EWO327742 FGK327741:FGK327742 FQG327741:FQG327742 GAC327741:GAC327742 GJY327741:GJY327742 GTU327741:GTU327742 HDQ327741:HDQ327742 HNM327741:HNM327742 HXI327741:HXI327742 IHE327741:IHE327742 IRA327741:IRA327742 JAW327741:JAW327742 JKS327741:JKS327742 JUO327741:JUO327742 KEK327741:KEK327742 KOG327741:KOG327742 KYC327741:KYC327742 LHY327741:LHY327742 LRU327741:LRU327742 MBQ327741:MBQ327742 MLM327741:MLM327742 MVI327741:MVI327742 NFE327741:NFE327742 NPA327741:NPA327742 NYW327741:NYW327742 OIS327741:OIS327742 OSO327741:OSO327742 PCK327741:PCK327742 PMG327741:PMG327742 PWC327741:PWC327742 QFY327741:QFY327742 QPU327741:QPU327742 QZQ327741:QZQ327742 RJM327741:RJM327742 RTI327741:RTI327742 SDE327741:SDE327742 SNA327741:SNA327742 SWW327741:SWW327742 TGS327741:TGS327742 TQO327741:TQO327742 UAK327741:UAK327742 UKG327741:UKG327742 UUC327741:UUC327742 VDY327741:VDY327742 VNU327741:VNU327742 VXQ327741:VXQ327742 WHM327741:WHM327742 WRI327741:WRI327742 EW393277:EW393278 OS393277:OS393278 YO393277:YO393278 AIK393277:AIK393278 ASG393277:ASG393278 BCC393277:BCC393278 BLY393277:BLY393278 BVU393277:BVU393278 CFQ393277:CFQ393278 CPM393277:CPM393278 CZI393277:CZI393278 DJE393277:DJE393278 DTA393277:DTA393278 ECW393277:ECW393278 EMS393277:EMS393278 EWO393277:EWO393278 FGK393277:FGK393278 FQG393277:FQG393278 GAC393277:GAC393278 GJY393277:GJY393278 GTU393277:GTU393278 HDQ393277:HDQ393278 HNM393277:HNM393278 HXI393277:HXI393278 IHE393277:IHE393278 IRA393277:IRA393278 JAW393277:JAW393278 JKS393277:JKS393278 JUO393277:JUO393278 KEK393277:KEK393278 KOG393277:KOG393278 KYC393277:KYC393278 LHY393277:LHY393278 LRU393277:LRU393278 MBQ393277:MBQ393278 MLM393277:MLM393278 MVI393277:MVI393278 NFE393277:NFE393278 NPA393277:NPA393278 NYW393277:NYW393278 OIS393277:OIS393278 OSO393277:OSO393278 PCK393277:PCK393278 PMG393277:PMG393278 PWC393277:PWC393278 QFY393277:QFY393278 QPU393277:QPU393278 QZQ393277:QZQ393278 RJM393277:RJM393278 RTI393277:RTI393278 SDE393277:SDE393278 SNA393277:SNA393278 SWW393277:SWW393278 TGS393277:TGS393278 TQO393277:TQO393278 UAK393277:UAK393278 UKG393277:UKG393278 UUC393277:UUC393278 VDY393277:VDY393278 VNU393277:VNU393278 VXQ393277:VXQ393278 WHM393277:WHM393278 WRI393277:WRI393278 EW458813:EW458814 OS458813:OS458814 YO458813:YO458814 AIK458813:AIK458814 ASG458813:ASG458814 BCC458813:BCC458814 BLY458813:BLY458814 BVU458813:BVU458814 CFQ458813:CFQ458814 CPM458813:CPM458814 CZI458813:CZI458814 DJE458813:DJE458814 DTA458813:DTA458814 ECW458813:ECW458814 EMS458813:EMS458814 EWO458813:EWO458814 FGK458813:FGK458814 FQG458813:FQG458814 GAC458813:GAC458814 GJY458813:GJY458814 GTU458813:GTU458814 HDQ458813:HDQ458814 HNM458813:HNM458814 HXI458813:HXI458814 IHE458813:IHE458814 IRA458813:IRA458814 JAW458813:JAW458814 JKS458813:JKS458814 JUO458813:JUO458814 KEK458813:KEK458814 KOG458813:KOG458814 KYC458813:KYC458814 LHY458813:LHY458814 LRU458813:LRU458814 MBQ458813:MBQ458814 MLM458813:MLM458814 MVI458813:MVI458814 NFE458813:NFE458814 NPA458813:NPA458814 NYW458813:NYW458814 OIS458813:OIS458814 OSO458813:OSO458814 PCK458813:PCK458814 PMG458813:PMG458814 PWC458813:PWC458814 QFY458813:QFY458814 QPU458813:QPU458814 QZQ458813:QZQ458814 RJM458813:RJM458814 RTI458813:RTI458814 SDE458813:SDE458814 SNA458813:SNA458814 SWW458813:SWW458814 TGS458813:TGS458814 TQO458813:TQO458814 UAK458813:UAK458814 UKG458813:UKG458814 UUC458813:UUC458814 VDY458813:VDY458814 VNU458813:VNU458814 VXQ458813:VXQ458814 WHM458813:WHM458814 WRI458813:WRI458814 EW524349:EW524350 OS524349:OS524350 YO524349:YO524350 AIK524349:AIK524350 ASG524349:ASG524350 BCC524349:BCC524350 BLY524349:BLY524350 BVU524349:BVU524350 CFQ524349:CFQ524350 CPM524349:CPM524350 CZI524349:CZI524350 DJE524349:DJE524350 DTA524349:DTA524350 ECW524349:ECW524350 EMS524349:EMS524350 EWO524349:EWO524350 FGK524349:FGK524350 FQG524349:FQG524350 GAC524349:GAC524350 GJY524349:GJY524350 GTU524349:GTU524350 HDQ524349:HDQ524350 HNM524349:HNM524350 HXI524349:HXI524350 IHE524349:IHE524350 IRA524349:IRA524350 JAW524349:JAW524350 JKS524349:JKS524350 JUO524349:JUO524350 KEK524349:KEK524350 KOG524349:KOG524350 KYC524349:KYC524350 LHY524349:LHY524350 LRU524349:LRU524350 MBQ524349:MBQ524350 MLM524349:MLM524350 MVI524349:MVI524350 NFE524349:NFE524350 NPA524349:NPA524350 NYW524349:NYW524350 OIS524349:OIS524350 OSO524349:OSO524350 PCK524349:PCK524350 PMG524349:PMG524350 PWC524349:PWC524350 QFY524349:QFY524350 QPU524349:QPU524350 QZQ524349:QZQ524350 RJM524349:RJM524350 RTI524349:RTI524350 SDE524349:SDE524350 SNA524349:SNA524350 SWW524349:SWW524350 TGS524349:TGS524350 TQO524349:TQO524350 UAK524349:UAK524350 UKG524349:UKG524350 UUC524349:UUC524350 VDY524349:VDY524350 VNU524349:VNU524350 VXQ524349:VXQ524350 WHM524349:WHM524350 WRI524349:WRI524350 EW589885:EW589886 OS589885:OS589886 YO589885:YO589886 AIK589885:AIK589886 ASG589885:ASG589886 BCC589885:BCC589886 BLY589885:BLY589886 BVU589885:BVU589886 CFQ589885:CFQ589886 CPM589885:CPM589886 CZI589885:CZI589886 DJE589885:DJE589886 DTA589885:DTA589886 ECW589885:ECW589886 EMS589885:EMS589886 EWO589885:EWO589886 FGK589885:FGK589886 FQG589885:FQG589886 GAC589885:GAC589886 GJY589885:GJY589886 GTU589885:GTU589886 HDQ589885:HDQ589886 HNM589885:HNM589886 HXI589885:HXI589886 IHE589885:IHE589886 IRA589885:IRA589886 JAW589885:JAW589886 JKS589885:JKS589886 JUO589885:JUO589886 KEK589885:KEK589886 KOG589885:KOG589886 KYC589885:KYC589886 LHY589885:LHY589886 LRU589885:LRU589886 MBQ589885:MBQ589886 MLM589885:MLM589886 MVI589885:MVI589886 NFE589885:NFE589886 NPA589885:NPA589886 NYW589885:NYW589886 OIS589885:OIS589886 OSO589885:OSO589886 PCK589885:PCK589886 PMG589885:PMG589886 PWC589885:PWC589886 QFY589885:QFY589886 QPU589885:QPU589886 QZQ589885:QZQ589886 RJM589885:RJM589886 RTI589885:RTI589886 SDE589885:SDE589886 SNA589885:SNA589886 SWW589885:SWW589886 TGS589885:TGS589886 TQO589885:TQO589886 UAK589885:UAK589886 UKG589885:UKG589886 UUC589885:UUC589886 VDY589885:VDY589886 VNU589885:VNU589886 VXQ589885:VXQ589886 WHM589885:WHM589886 WRI589885:WRI589886 EW655421:EW655422 OS655421:OS655422 YO655421:YO655422 AIK655421:AIK655422 ASG655421:ASG655422 BCC655421:BCC655422 BLY655421:BLY655422 BVU655421:BVU655422 CFQ655421:CFQ655422 CPM655421:CPM655422 CZI655421:CZI655422 DJE655421:DJE655422 DTA655421:DTA655422 ECW655421:ECW655422 EMS655421:EMS655422 EWO655421:EWO655422 FGK655421:FGK655422 FQG655421:FQG655422 GAC655421:GAC655422 GJY655421:GJY655422 GTU655421:GTU655422 HDQ655421:HDQ655422 HNM655421:HNM655422 HXI655421:HXI655422 IHE655421:IHE655422 IRA655421:IRA655422 JAW655421:JAW655422 JKS655421:JKS655422 JUO655421:JUO655422 KEK655421:KEK655422 KOG655421:KOG655422 KYC655421:KYC655422 LHY655421:LHY655422 LRU655421:LRU655422 MBQ655421:MBQ655422 MLM655421:MLM655422 MVI655421:MVI655422 NFE655421:NFE655422 NPA655421:NPA655422 NYW655421:NYW655422 OIS655421:OIS655422 OSO655421:OSO655422 PCK655421:PCK655422 PMG655421:PMG655422 PWC655421:PWC655422 QFY655421:QFY655422 QPU655421:QPU655422 QZQ655421:QZQ655422 RJM655421:RJM655422 RTI655421:RTI655422 SDE655421:SDE655422 SNA655421:SNA655422 SWW655421:SWW655422 TGS655421:TGS655422 TQO655421:TQO655422 UAK655421:UAK655422 UKG655421:UKG655422 UUC655421:UUC655422 VDY655421:VDY655422 VNU655421:VNU655422 VXQ655421:VXQ655422 WHM655421:WHM655422 WRI655421:WRI655422 EW720957:EW720958 OS720957:OS720958 YO720957:YO720958 AIK720957:AIK720958 ASG720957:ASG720958 BCC720957:BCC720958 BLY720957:BLY720958 BVU720957:BVU720958 CFQ720957:CFQ720958 CPM720957:CPM720958 CZI720957:CZI720958 DJE720957:DJE720958 DTA720957:DTA720958 ECW720957:ECW720958 EMS720957:EMS720958 EWO720957:EWO720958 FGK720957:FGK720958 FQG720957:FQG720958 GAC720957:GAC720958 GJY720957:GJY720958 GTU720957:GTU720958 HDQ720957:HDQ720958 HNM720957:HNM720958 HXI720957:HXI720958 IHE720957:IHE720958 IRA720957:IRA720958 JAW720957:JAW720958 JKS720957:JKS720958 JUO720957:JUO720958 KEK720957:KEK720958 KOG720957:KOG720958 KYC720957:KYC720958 LHY720957:LHY720958 LRU720957:LRU720958 MBQ720957:MBQ720958 MLM720957:MLM720958 MVI720957:MVI720958 NFE720957:NFE720958 NPA720957:NPA720958 NYW720957:NYW720958 OIS720957:OIS720958 OSO720957:OSO720958 PCK720957:PCK720958 PMG720957:PMG720958 PWC720957:PWC720958 QFY720957:QFY720958 QPU720957:QPU720958 QZQ720957:QZQ720958 RJM720957:RJM720958 RTI720957:RTI720958 SDE720957:SDE720958 SNA720957:SNA720958 SWW720957:SWW720958 TGS720957:TGS720958 TQO720957:TQO720958 UAK720957:UAK720958 UKG720957:UKG720958 UUC720957:UUC720958 VDY720957:VDY720958 VNU720957:VNU720958 VXQ720957:VXQ720958 WHM720957:WHM720958 WRI720957:WRI720958 EW786493:EW786494 OS786493:OS786494 YO786493:YO786494 AIK786493:AIK786494 ASG786493:ASG786494 BCC786493:BCC786494 BLY786493:BLY786494 BVU786493:BVU786494 CFQ786493:CFQ786494 CPM786493:CPM786494 CZI786493:CZI786494 DJE786493:DJE786494 DTA786493:DTA786494 ECW786493:ECW786494 EMS786493:EMS786494 EWO786493:EWO786494 FGK786493:FGK786494 FQG786493:FQG786494 GAC786493:GAC786494 GJY786493:GJY786494 GTU786493:GTU786494 HDQ786493:HDQ786494 HNM786493:HNM786494 HXI786493:HXI786494 IHE786493:IHE786494 IRA786493:IRA786494 JAW786493:JAW786494 JKS786493:JKS786494 JUO786493:JUO786494 KEK786493:KEK786494 KOG786493:KOG786494 KYC786493:KYC786494 LHY786493:LHY786494 LRU786493:LRU786494 MBQ786493:MBQ786494 MLM786493:MLM786494 MVI786493:MVI786494 NFE786493:NFE786494 NPA786493:NPA786494 NYW786493:NYW786494 OIS786493:OIS786494 OSO786493:OSO786494 PCK786493:PCK786494 PMG786493:PMG786494 PWC786493:PWC786494 QFY786493:QFY786494 QPU786493:QPU786494 QZQ786493:QZQ786494 RJM786493:RJM786494 RTI786493:RTI786494 SDE786493:SDE786494 SNA786493:SNA786494 SWW786493:SWW786494 TGS786493:TGS786494 TQO786493:TQO786494 UAK786493:UAK786494 UKG786493:UKG786494 UUC786493:UUC786494 VDY786493:VDY786494 VNU786493:VNU786494 VXQ786493:VXQ786494 WHM786493:WHM786494 WRI786493:WRI786494 EW852029:EW852030 OS852029:OS852030 YO852029:YO852030 AIK852029:AIK852030 ASG852029:ASG852030 BCC852029:BCC852030 BLY852029:BLY852030 BVU852029:BVU852030 CFQ852029:CFQ852030 CPM852029:CPM852030 CZI852029:CZI852030 DJE852029:DJE852030 DTA852029:DTA852030 ECW852029:ECW852030 EMS852029:EMS852030 EWO852029:EWO852030 FGK852029:FGK852030 FQG852029:FQG852030 GAC852029:GAC852030 GJY852029:GJY852030 GTU852029:GTU852030 HDQ852029:HDQ852030 HNM852029:HNM852030 HXI852029:HXI852030 IHE852029:IHE852030 IRA852029:IRA852030 JAW852029:JAW852030 JKS852029:JKS852030 JUO852029:JUO852030 KEK852029:KEK852030 KOG852029:KOG852030 KYC852029:KYC852030 LHY852029:LHY852030 LRU852029:LRU852030 MBQ852029:MBQ852030 MLM852029:MLM852030 MVI852029:MVI852030 NFE852029:NFE852030 NPA852029:NPA852030 NYW852029:NYW852030 OIS852029:OIS852030 OSO852029:OSO852030 PCK852029:PCK852030 PMG852029:PMG852030 PWC852029:PWC852030 QFY852029:QFY852030 QPU852029:QPU852030 QZQ852029:QZQ852030 RJM852029:RJM852030 RTI852029:RTI852030 SDE852029:SDE852030 SNA852029:SNA852030 SWW852029:SWW852030 TGS852029:TGS852030 TQO852029:TQO852030 UAK852029:UAK852030 UKG852029:UKG852030 UUC852029:UUC852030 VDY852029:VDY852030 VNU852029:VNU852030 VXQ852029:VXQ852030 WHM852029:WHM852030 WRI852029:WRI852030 EW917565:EW917566 OS917565:OS917566 YO917565:YO917566 AIK917565:AIK917566 ASG917565:ASG917566 BCC917565:BCC917566 BLY917565:BLY917566 BVU917565:BVU917566 CFQ917565:CFQ917566 CPM917565:CPM917566 CZI917565:CZI917566 DJE917565:DJE917566 DTA917565:DTA917566 ECW917565:ECW917566 EMS917565:EMS917566 EWO917565:EWO917566 FGK917565:FGK917566 FQG917565:FQG917566 GAC917565:GAC917566 GJY917565:GJY917566 GTU917565:GTU917566 HDQ917565:HDQ917566 HNM917565:HNM917566 HXI917565:HXI917566 IHE917565:IHE917566 IRA917565:IRA917566 JAW917565:JAW917566 JKS917565:JKS917566 JUO917565:JUO917566 KEK917565:KEK917566 KOG917565:KOG917566 KYC917565:KYC917566 LHY917565:LHY917566 LRU917565:LRU917566 MBQ917565:MBQ917566 MLM917565:MLM917566 MVI917565:MVI917566 NFE917565:NFE917566 NPA917565:NPA917566 NYW917565:NYW917566 OIS917565:OIS917566 OSO917565:OSO917566 PCK917565:PCK917566 PMG917565:PMG917566 PWC917565:PWC917566 QFY917565:QFY917566 QPU917565:QPU917566 QZQ917565:QZQ917566 RJM917565:RJM917566 RTI917565:RTI917566 SDE917565:SDE917566 SNA917565:SNA917566 SWW917565:SWW917566 TGS917565:TGS917566 TQO917565:TQO917566 UAK917565:UAK917566 UKG917565:UKG917566 UUC917565:UUC917566 VDY917565:VDY917566 VNU917565:VNU917566 VXQ917565:VXQ917566 WHM917565:WHM917566 WRI917565:WRI917566 EW983101:EW983102 OS983101:OS983102 YO983101:YO983102 AIK983101:AIK983102 ASG983101:ASG983102 BCC983101:BCC983102 BLY983101:BLY983102 BVU983101:BVU983102 CFQ983101:CFQ983102 CPM983101:CPM983102 CZI983101:CZI983102 DJE983101:DJE983102 DTA983101:DTA983102 ECW983101:ECW983102 EMS983101:EMS983102 EWO983101:EWO983102 FGK983101:FGK983102 FQG983101:FQG983102 GAC983101:GAC983102 GJY983101:GJY983102 GTU983101:GTU983102 HDQ983101:HDQ983102 HNM983101:HNM983102 HXI983101:HXI983102 IHE983101:IHE983102 IRA983101:IRA983102 JAW983101:JAW983102 JKS983101:JKS983102 JUO983101:JUO983102 KEK983101:KEK983102 KOG983101:KOG983102 KYC983101:KYC983102 LHY983101:LHY983102 LRU983101:LRU983102 MBQ983101:MBQ983102 MLM983101:MLM983102 MVI983101:MVI983102 NFE983101:NFE983102 NPA983101:NPA983102 NYW983101:NYW983102 OIS983101:OIS983102 OSO983101:OSO983102 PCK983101:PCK983102 PMG983101:PMG983102 PWC983101:PWC983102 QFY983101:QFY983102 QPU983101:QPU983102 QZQ983101:QZQ983102 RJM983101:RJM983102 RTI983101:RTI983102 SDE983101:SDE983102 SNA983101:SNA983102 SWW983101:SWW983102 TGS983101:TGS983102 TQO983101:TQO983102 UAK983101:UAK983102 UKG983101:UKG983102 UUC983101:UUC983102 VDY983101:VDY983102 VNU983101:VNU983102 VXQ983101:VXQ983102 WHM983101:WHM983102 WRI983101:WRI983102 WRI983155 EW65608:EW65618 OS65608:OS65618 YO65608:YO65618 AIK65608:AIK65618 ASG65608:ASG65618 BCC65608:BCC65618 BLY65608:BLY65618 BVU65608:BVU65618 CFQ65608:CFQ65618 CPM65608:CPM65618 CZI65608:CZI65618 DJE65608:DJE65618 DTA65608:DTA65618 ECW65608:ECW65618 EMS65608:EMS65618 EWO65608:EWO65618 FGK65608:FGK65618 FQG65608:FQG65618 GAC65608:GAC65618 GJY65608:GJY65618 GTU65608:GTU65618 HDQ65608:HDQ65618 HNM65608:HNM65618 HXI65608:HXI65618 IHE65608:IHE65618 IRA65608:IRA65618 JAW65608:JAW65618 JKS65608:JKS65618 JUO65608:JUO65618 KEK65608:KEK65618 KOG65608:KOG65618 KYC65608:KYC65618 LHY65608:LHY65618 LRU65608:LRU65618 MBQ65608:MBQ65618 MLM65608:MLM65618 MVI65608:MVI65618 NFE65608:NFE65618 NPA65608:NPA65618 NYW65608:NYW65618 OIS65608:OIS65618 OSO65608:OSO65618 PCK65608:PCK65618 PMG65608:PMG65618 PWC65608:PWC65618 QFY65608:QFY65618 QPU65608:QPU65618 QZQ65608:QZQ65618 RJM65608:RJM65618 RTI65608:RTI65618 SDE65608:SDE65618 SNA65608:SNA65618 SWW65608:SWW65618 TGS65608:TGS65618 TQO65608:TQO65618 UAK65608:UAK65618 UKG65608:UKG65618 UUC65608:UUC65618 VDY65608:VDY65618 VNU65608:VNU65618 VXQ65608:VXQ65618 WHM65608:WHM65618 WRI65608:WRI65618 EW131144:EW131154 OS131144:OS131154 YO131144:YO131154 AIK131144:AIK131154 ASG131144:ASG131154 BCC131144:BCC131154 BLY131144:BLY131154 BVU131144:BVU131154 CFQ131144:CFQ131154 CPM131144:CPM131154 CZI131144:CZI131154 DJE131144:DJE131154 DTA131144:DTA131154 ECW131144:ECW131154 EMS131144:EMS131154 EWO131144:EWO131154 FGK131144:FGK131154 FQG131144:FQG131154 GAC131144:GAC131154 GJY131144:GJY131154 GTU131144:GTU131154 HDQ131144:HDQ131154 HNM131144:HNM131154 HXI131144:HXI131154 IHE131144:IHE131154 IRA131144:IRA131154 JAW131144:JAW131154 JKS131144:JKS131154 JUO131144:JUO131154 KEK131144:KEK131154 KOG131144:KOG131154 KYC131144:KYC131154 LHY131144:LHY131154 LRU131144:LRU131154 MBQ131144:MBQ131154 MLM131144:MLM131154 MVI131144:MVI131154 NFE131144:NFE131154 NPA131144:NPA131154 NYW131144:NYW131154 OIS131144:OIS131154 OSO131144:OSO131154 PCK131144:PCK131154 PMG131144:PMG131154 PWC131144:PWC131154 QFY131144:QFY131154 QPU131144:QPU131154 QZQ131144:QZQ131154 RJM131144:RJM131154 RTI131144:RTI131154 SDE131144:SDE131154 SNA131144:SNA131154 SWW131144:SWW131154 TGS131144:TGS131154 TQO131144:TQO131154 UAK131144:UAK131154 UKG131144:UKG131154 UUC131144:UUC131154 VDY131144:VDY131154 VNU131144:VNU131154 VXQ131144:VXQ131154 WHM131144:WHM131154 WRI131144:WRI131154 EW196680:EW196690 OS196680:OS196690 YO196680:YO196690 AIK196680:AIK196690 ASG196680:ASG196690 BCC196680:BCC196690 BLY196680:BLY196690 BVU196680:BVU196690 CFQ196680:CFQ196690 CPM196680:CPM196690 CZI196680:CZI196690 DJE196680:DJE196690 DTA196680:DTA196690 ECW196680:ECW196690 EMS196680:EMS196690 EWO196680:EWO196690 FGK196680:FGK196690 FQG196680:FQG196690 GAC196680:GAC196690 GJY196680:GJY196690 GTU196680:GTU196690 HDQ196680:HDQ196690 HNM196680:HNM196690 HXI196680:HXI196690 IHE196680:IHE196690 IRA196680:IRA196690 JAW196680:JAW196690 JKS196680:JKS196690 JUO196680:JUO196690 KEK196680:KEK196690 KOG196680:KOG196690 KYC196680:KYC196690 LHY196680:LHY196690 LRU196680:LRU196690 MBQ196680:MBQ196690 MLM196680:MLM196690 MVI196680:MVI196690 NFE196680:NFE196690 NPA196680:NPA196690 NYW196680:NYW196690 OIS196680:OIS196690 OSO196680:OSO196690 PCK196680:PCK196690 PMG196680:PMG196690 PWC196680:PWC196690 QFY196680:QFY196690 QPU196680:QPU196690 QZQ196680:QZQ196690 RJM196680:RJM196690 RTI196680:RTI196690 SDE196680:SDE196690 SNA196680:SNA196690 SWW196680:SWW196690 TGS196680:TGS196690 TQO196680:TQO196690 UAK196680:UAK196690 UKG196680:UKG196690 UUC196680:UUC196690 VDY196680:VDY196690 VNU196680:VNU196690 VXQ196680:VXQ196690 WHM196680:WHM196690 WRI196680:WRI196690 EW262216:EW262226 OS262216:OS262226 YO262216:YO262226 AIK262216:AIK262226 ASG262216:ASG262226 BCC262216:BCC262226 BLY262216:BLY262226 BVU262216:BVU262226 CFQ262216:CFQ262226 CPM262216:CPM262226 CZI262216:CZI262226 DJE262216:DJE262226 DTA262216:DTA262226 ECW262216:ECW262226 EMS262216:EMS262226 EWO262216:EWO262226 FGK262216:FGK262226 FQG262216:FQG262226 GAC262216:GAC262226 GJY262216:GJY262226 GTU262216:GTU262226 HDQ262216:HDQ262226 HNM262216:HNM262226 HXI262216:HXI262226 IHE262216:IHE262226 IRA262216:IRA262226 JAW262216:JAW262226 JKS262216:JKS262226 JUO262216:JUO262226 KEK262216:KEK262226 KOG262216:KOG262226 KYC262216:KYC262226 LHY262216:LHY262226 LRU262216:LRU262226 MBQ262216:MBQ262226 MLM262216:MLM262226 MVI262216:MVI262226 NFE262216:NFE262226 NPA262216:NPA262226 NYW262216:NYW262226 OIS262216:OIS262226 OSO262216:OSO262226 PCK262216:PCK262226 PMG262216:PMG262226 PWC262216:PWC262226 QFY262216:QFY262226 QPU262216:QPU262226 QZQ262216:QZQ262226 RJM262216:RJM262226 RTI262216:RTI262226 SDE262216:SDE262226 SNA262216:SNA262226 SWW262216:SWW262226 TGS262216:TGS262226 TQO262216:TQO262226 UAK262216:UAK262226 UKG262216:UKG262226 UUC262216:UUC262226 VDY262216:VDY262226 VNU262216:VNU262226 VXQ262216:VXQ262226 WHM262216:WHM262226 WRI262216:WRI262226 EW327752:EW327762 OS327752:OS327762 YO327752:YO327762 AIK327752:AIK327762 ASG327752:ASG327762 BCC327752:BCC327762 BLY327752:BLY327762 BVU327752:BVU327762 CFQ327752:CFQ327762 CPM327752:CPM327762 CZI327752:CZI327762 DJE327752:DJE327762 DTA327752:DTA327762 ECW327752:ECW327762 EMS327752:EMS327762 EWO327752:EWO327762 FGK327752:FGK327762 FQG327752:FQG327762 GAC327752:GAC327762 GJY327752:GJY327762 GTU327752:GTU327762 HDQ327752:HDQ327762 HNM327752:HNM327762 HXI327752:HXI327762 IHE327752:IHE327762 IRA327752:IRA327762 JAW327752:JAW327762 JKS327752:JKS327762 JUO327752:JUO327762 KEK327752:KEK327762 KOG327752:KOG327762 KYC327752:KYC327762 LHY327752:LHY327762 LRU327752:LRU327762 MBQ327752:MBQ327762 MLM327752:MLM327762 MVI327752:MVI327762 NFE327752:NFE327762 NPA327752:NPA327762 NYW327752:NYW327762 OIS327752:OIS327762 OSO327752:OSO327762 PCK327752:PCK327762 PMG327752:PMG327762 PWC327752:PWC327762 QFY327752:QFY327762 QPU327752:QPU327762 QZQ327752:QZQ327762 RJM327752:RJM327762 RTI327752:RTI327762 SDE327752:SDE327762 SNA327752:SNA327762 SWW327752:SWW327762 TGS327752:TGS327762 TQO327752:TQO327762 UAK327752:UAK327762 UKG327752:UKG327762 UUC327752:UUC327762 VDY327752:VDY327762 VNU327752:VNU327762 VXQ327752:VXQ327762 WHM327752:WHM327762 WRI327752:WRI327762 EW393288:EW393298 OS393288:OS393298 YO393288:YO393298 AIK393288:AIK393298 ASG393288:ASG393298 BCC393288:BCC393298 BLY393288:BLY393298 BVU393288:BVU393298 CFQ393288:CFQ393298 CPM393288:CPM393298 CZI393288:CZI393298 DJE393288:DJE393298 DTA393288:DTA393298 ECW393288:ECW393298 EMS393288:EMS393298 EWO393288:EWO393298 FGK393288:FGK393298 FQG393288:FQG393298 GAC393288:GAC393298 GJY393288:GJY393298 GTU393288:GTU393298 HDQ393288:HDQ393298 HNM393288:HNM393298 HXI393288:HXI393298 IHE393288:IHE393298 IRA393288:IRA393298 JAW393288:JAW393298 JKS393288:JKS393298 JUO393288:JUO393298 KEK393288:KEK393298 KOG393288:KOG393298 KYC393288:KYC393298 LHY393288:LHY393298 LRU393288:LRU393298 MBQ393288:MBQ393298 MLM393288:MLM393298 MVI393288:MVI393298 NFE393288:NFE393298 NPA393288:NPA393298 NYW393288:NYW393298 OIS393288:OIS393298 OSO393288:OSO393298 PCK393288:PCK393298 PMG393288:PMG393298 PWC393288:PWC393298 QFY393288:QFY393298 QPU393288:QPU393298 QZQ393288:QZQ393298 RJM393288:RJM393298 RTI393288:RTI393298 SDE393288:SDE393298 SNA393288:SNA393298 SWW393288:SWW393298 TGS393288:TGS393298 TQO393288:TQO393298 UAK393288:UAK393298 UKG393288:UKG393298 UUC393288:UUC393298 VDY393288:VDY393298 VNU393288:VNU393298 VXQ393288:VXQ393298 WHM393288:WHM393298 WRI393288:WRI393298 EW458824:EW458834 OS458824:OS458834 YO458824:YO458834 AIK458824:AIK458834 ASG458824:ASG458834 BCC458824:BCC458834 BLY458824:BLY458834 BVU458824:BVU458834 CFQ458824:CFQ458834 CPM458824:CPM458834 CZI458824:CZI458834 DJE458824:DJE458834 DTA458824:DTA458834 ECW458824:ECW458834 EMS458824:EMS458834 EWO458824:EWO458834 FGK458824:FGK458834 FQG458824:FQG458834 GAC458824:GAC458834 GJY458824:GJY458834 GTU458824:GTU458834 HDQ458824:HDQ458834 HNM458824:HNM458834 HXI458824:HXI458834 IHE458824:IHE458834 IRA458824:IRA458834 JAW458824:JAW458834 JKS458824:JKS458834 JUO458824:JUO458834 KEK458824:KEK458834 KOG458824:KOG458834 KYC458824:KYC458834 LHY458824:LHY458834 LRU458824:LRU458834 MBQ458824:MBQ458834 MLM458824:MLM458834 MVI458824:MVI458834 NFE458824:NFE458834 NPA458824:NPA458834 NYW458824:NYW458834 OIS458824:OIS458834 OSO458824:OSO458834 PCK458824:PCK458834 PMG458824:PMG458834 PWC458824:PWC458834 QFY458824:QFY458834 QPU458824:QPU458834 QZQ458824:QZQ458834 RJM458824:RJM458834 RTI458824:RTI458834 SDE458824:SDE458834 SNA458824:SNA458834 SWW458824:SWW458834 TGS458824:TGS458834 TQO458824:TQO458834 UAK458824:UAK458834 UKG458824:UKG458834 UUC458824:UUC458834 VDY458824:VDY458834 VNU458824:VNU458834 VXQ458824:VXQ458834 WHM458824:WHM458834 WRI458824:WRI458834 EW524360:EW524370 OS524360:OS524370 YO524360:YO524370 AIK524360:AIK524370 ASG524360:ASG524370 BCC524360:BCC524370 BLY524360:BLY524370 BVU524360:BVU524370 CFQ524360:CFQ524370 CPM524360:CPM524370 CZI524360:CZI524370 DJE524360:DJE524370 DTA524360:DTA524370 ECW524360:ECW524370 EMS524360:EMS524370 EWO524360:EWO524370 FGK524360:FGK524370 FQG524360:FQG524370 GAC524360:GAC524370 GJY524360:GJY524370 GTU524360:GTU524370 HDQ524360:HDQ524370 HNM524360:HNM524370 HXI524360:HXI524370 IHE524360:IHE524370 IRA524360:IRA524370 JAW524360:JAW524370 JKS524360:JKS524370 JUO524360:JUO524370 KEK524360:KEK524370 KOG524360:KOG524370 KYC524360:KYC524370 LHY524360:LHY524370 LRU524360:LRU524370 MBQ524360:MBQ524370 MLM524360:MLM524370 MVI524360:MVI524370 NFE524360:NFE524370 NPA524360:NPA524370 NYW524360:NYW524370 OIS524360:OIS524370 OSO524360:OSO524370 PCK524360:PCK524370 PMG524360:PMG524370 PWC524360:PWC524370 QFY524360:QFY524370 QPU524360:QPU524370 QZQ524360:QZQ524370 RJM524360:RJM524370 RTI524360:RTI524370 SDE524360:SDE524370 SNA524360:SNA524370 SWW524360:SWW524370 TGS524360:TGS524370 TQO524360:TQO524370 UAK524360:UAK524370 UKG524360:UKG524370 UUC524360:UUC524370 VDY524360:VDY524370 VNU524360:VNU524370 VXQ524360:VXQ524370 WHM524360:WHM524370 WRI524360:WRI524370 EW589896:EW589906 OS589896:OS589906 YO589896:YO589906 AIK589896:AIK589906 ASG589896:ASG589906 BCC589896:BCC589906 BLY589896:BLY589906 BVU589896:BVU589906 CFQ589896:CFQ589906 CPM589896:CPM589906 CZI589896:CZI589906 DJE589896:DJE589906 DTA589896:DTA589906 ECW589896:ECW589906 EMS589896:EMS589906 EWO589896:EWO589906 FGK589896:FGK589906 FQG589896:FQG589906 GAC589896:GAC589906 GJY589896:GJY589906 GTU589896:GTU589906 HDQ589896:HDQ589906 HNM589896:HNM589906 HXI589896:HXI589906 IHE589896:IHE589906 IRA589896:IRA589906 JAW589896:JAW589906 JKS589896:JKS589906 JUO589896:JUO589906 KEK589896:KEK589906 KOG589896:KOG589906 KYC589896:KYC589906 LHY589896:LHY589906 LRU589896:LRU589906 MBQ589896:MBQ589906 MLM589896:MLM589906 MVI589896:MVI589906 NFE589896:NFE589906 NPA589896:NPA589906 NYW589896:NYW589906 OIS589896:OIS589906 OSO589896:OSO589906 PCK589896:PCK589906 PMG589896:PMG589906 PWC589896:PWC589906 QFY589896:QFY589906 QPU589896:QPU589906 QZQ589896:QZQ589906 RJM589896:RJM589906 RTI589896:RTI589906 SDE589896:SDE589906 SNA589896:SNA589906 SWW589896:SWW589906 TGS589896:TGS589906 TQO589896:TQO589906 UAK589896:UAK589906 UKG589896:UKG589906 UUC589896:UUC589906 VDY589896:VDY589906 VNU589896:VNU589906 VXQ589896:VXQ589906 WHM589896:WHM589906 WRI589896:WRI589906 EW655432:EW655442 OS655432:OS655442 YO655432:YO655442 AIK655432:AIK655442 ASG655432:ASG655442 BCC655432:BCC655442 BLY655432:BLY655442 BVU655432:BVU655442 CFQ655432:CFQ655442 CPM655432:CPM655442 CZI655432:CZI655442 DJE655432:DJE655442 DTA655432:DTA655442 ECW655432:ECW655442 EMS655432:EMS655442 EWO655432:EWO655442 FGK655432:FGK655442 FQG655432:FQG655442 GAC655432:GAC655442 GJY655432:GJY655442 GTU655432:GTU655442 HDQ655432:HDQ655442 HNM655432:HNM655442 HXI655432:HXI655442 IHE655432:IHE655442 IRA655432:IRA655442 JAW655432:JAW655442 JKS655432:JKS655442 JUO655432:JUO655442 KEK655432:KEK655442 KOG655432:KOG655442 KYC655432:KYC655442 LHY655432:LHY655442 LRU655432:LRU655442 MBQ655432:MBQ655442 MLM655432:MLM655442 MVI655432:MVI655442 NFE655432:NFE655442 NPA655432:NPA655442 NYW655432:NYW655442 OIS655432:OIS655442 OSO655432:OSO655442 PCK655432:PCK655442 PMG655432:PMG655442 PWC655432:PWC655442 QFY655432:QFY655442 QPU655432:QPU655442 QZQ655432:QZQ655442 RJM655432:RJM655442 RTI655432:RTI655442 SDE655432:SDE655442 SNA655432:SNA655442 SWW655432:SWW655442 TGS655432:TGS655442 TQO655432:TQO655442 UAK655432:UAK655442 UKG655432:UKG655442 UUC655432:UUC655442 VDY655432:VDY655442 VNU655432:VNU655442 VXQ655432:VXQ655442 WHM655432:WHM655442 WRI655432:WRI655442 EW720968:EW720978 OS720968:OS720978 YO720968:YO720978 AIK720968:AIK720978 ASG720968:ASG720978 BCC720968:BCC720978 BLY720968:BLY720978 BVU720968:BVU720978 CFQ720968:CFQ720978 CPM720968:CPM720978 CZI720968:CZI720978 DJE720968:DJE720978 DTA720968:DTA720978 ECW720968:ECW720978 EMS720968:EMS720978 EWO720968:EWO720978 FGK720968:FGK720978 FQG720968:FQG720978 GAC720968:GAC720978 GJY720968:GJY720978 GTU720968:GTU720978 HDQ720968:HDQ720978 HNM720968:HNM720978 HXI720968:HXI720978 IHE720968:IHE720978 IRA720968:IRA720978 JAW720968:JAW720978 JKS720968:JKS720978 JUO720968:JUO720978 KEK720968:KEK720978 KOG720968:KOG720978 KYC720968:KYC720978 LHY720968:LHY720978 LRU720968:LRU720978 MBQ720968:MBQ720978 MLM720968:MLM720978 MVI720968:MVI720978 NFE720968:NFE720978 NPA720968:NPA720978 NYW720968:NYW720978 OIS720968:OIS720978 OSO720968:OSO720978 PCK720968:PCK720978 PMG720968:PMG720978 PWC720968:PWC720978 QFY720968:QFY720978 QPU720968:QPU720978 QZQ720968:QZQ720978 RJM720968:RJM720978 RTI720968:RTI720978 SDE720968:SDE720978 SNA720968:SNA720978 SWW720968:SWW720978 TGS720968:TGS720978 TQO720968:TQO720978 UAK720968:UAK720978 UKG720968:UKG720978 UUC720968:UUC720978 VDY720968:VDY720978 VNU720968:VNU720978 VXQ720968:VXQ720978 WHM720968:WHM720978 WRI720968:WRI720978 EW786504:EW786514 OS786504:OS786514 YO786504:YO786514 AIK786504:AIK786514 ASG786504:ASG786514 BCC786504:BCC786514 BLY786504:BLY786514 BVU786504:BVU786514 CFQ786504:CFQ786514 CPM786504:CPM786514 CZI786504:CZI786514 DJE786504:DJE786514 DTA786504:DTA786514 ECW786504:ECW786514 EMS786504:EMS786514 EWO786504:EWO786514 FGK786504:FGK786514 FQG786504:FQG786514 GAC786504:GAC786514 GJY786504:GJY786514 GTU786504:GTU786514 HDQ786504:HDQ786514 HNM786504:HNM786514 HXI786504:HXI786514 IHE786504:IHE786514 IRA786504:IRA786514 JAW786504:JAW786514 JKS786504:JKS786514 JUO786504:JUO786514 KEK786504:KEK786514 KOG786504:KOG786514 KYC786504:KYC786514 LHY786504:LHY786514 LRU786504:LRU786514 MBQ786504:MBQ786514 MLM786504:MLM786514 MVI786504:MVI786514 NFE786504:NFE786514 NPA786504:NPA786514 NYW786504:NYW786514 OIS786504:OIS786514 OSO786504:OSO786514 PCK786504:PCK786514 PMG786504:PMG786514 PWC786504:PWC786514 QFY786504:QFY786514 QPU786504:QPU786514 QZQ786504:QZQ786514 RJM786504:RJM786514 RTI786504:RTI786514 SDE786504:SDE786514 SNA786504:SNA786514 SWW786504:SWW786514 TGS786504:TGS786514 TQO786504:TQO786514 UAK786504:UAK786514 UKG786504:UKG786514 UUC786504:UUC786514 VDY786504:VDY786514 VNU786504:VNU786514 VXQ786504:VXQ786514 WHM786504:WHM786514 WRI786504:WRI786514 EW852040:EW852050 OS852040:OS852050 YO852040:YO852050 AIK852040:AIK852050 ASG852040:ASG852050 BCC852040:BCC852050 BLY852040:BLY852050 BVU852040:BVU852050 CFQ852040:CFQ852050 CPM852040:CPM852050 CZI852040:CZI852050 DJE852040:DJE852050 DTA852040:DTA852050 ECW852040:ECW852050 EMS852040:EMS852050 EWO852040:EWO852050 FGK852040:FGK852050 FQG852040:FQG852050 GAC852040:GAC852050 GJY852040:GJY852050 GTU852040:GTU852050 HDQ852040:HDQ852050 HNM852040:HNM852050 HXI852040:HXI852050 IHE852040:IHE852050 IRA852040:IRA852050 JAW852040:JAW852050 JKS852040:JKS852050 JUO852040:JUO852050 KEK852040:KEK852050 KOG852040:KOG852050 KYC852040:KYC852050 LHY852040:LHY852050 LRU852040:LRU852050 MBQ852040:MBQ852050 MLM852040:MLM852050 MVI852040:MVI852050 NFE852040:NFE852050 NPA852040:NPA852050 NYW852040:NYW852050 OIS852040:OIS852050 OSO852040:OSO852050 PCK852040:PCK852050 PMG852040:PMG852050 PWC852040:PWC852050 QFY852040:QFY852050 QPU852040:QPU852050 QZQ852040:QZQ852050 RJM852040:RJM852050 RTI852040:RTI852050 SDE852040:SDE852050 SNA852040:SNA852050 SWW852040:SWW852050 TGS852040:TGS852050 TQO852040:TQO852050 UAK852040:UAK852050 UKG852040:UKG852050 UUC852040:UUC852050 VDY852040:VDY852050 VNU852040:VNU852050 VXQ852040:VXQ852050 WHM852040:WHM852050 WRI852040:WRI852050 EW917576:EW917586 OS917576:OS917586 YO917576:YO917586 AIK917576:AIK917586 ASG917576:ASG917586 BCC917576:BCC917586 BLY917576:BLY917586 BVU917576:BVU917586 CFQ917576:CFQ917586 CPM917576:CPM917586 CZI917576:CZI917586 DJE917576:DJE917586 DTA917576:DTA917586 ECW917576:ECW917586 EMS917576:EMS917586 EWO917576:EWO917586 FGK917576:FGK917586 FQG917576:FQG917586 GAC917576:GAC917586 GJY917576:GJY917586 GTU917576:GTU917586 HDQ917576:HDQ917586 HNM917576:HNM917586 HXI917576:HXI917586 IHE917576:IHE917586 IRA917576:IRA917586 JAW917576:JAW917586 JKS917576:JKS917586 JUO917576:JUO917586 KEK917576:KEK917586 KOG917576:KOG917586 KYC917576:KYC917586 LHY917576:LHY917586 LRU917576:LRU917586 MBQ917576:MBQ917586 MLM917576:MLM917586 MVI917576:MVI917586 NFE917576:NFE917586 NPA917576:NPA917586 NYW917576:NYW917586 OIS917576:OIS917586 OSO917576:OSO917586 PCK917576:PCK917586 PMG917576:PMG917586 PWC917576:PWC917586 QFY917576:QFY917586 QPU917576:QPU917586 QZQ917576:QZQ917586 RJM917576:RJM917586 RTI917576:RTI917586 SDE917576:SDE917586 SNA917576:SNA917586 SWW917576:SWW917586 TGS917576:TGS917586 TQO917576:TQO917586 UAK917576:UAK917586 UKG917576:UKG917586 UUC917576:UUC917586 VDY917576:VDY917586 VNU917576:VNU917586 VXQ917576:VXQ917586 WHM917576:WHM917586 WRI917576:WRI917586 EW983112:EW983122 OS983112:OS983122 YO983112:YO983122 AIK983112:AIK983122 ASG983112:ASG983122 BCC983112:BCC983122 BLY983112:BLY983122 BVU983112:BVU983122 CFQ983112:CFQ983122 CPM983112:CPM983122 CZI983112:CZI983122 DJE983112:DJE983122 DTA983112:DTA983122 ECW983112:ECW983122 EMS983112:EMS983122 EWO983112:EWO983122 FGK983112:FGK983122 FQG983112:FQG983122 GAC983112:GAC983122 GJY983112:GJY983122 GTU983112:GTU983122 HDQ983112:HDQ983122 HNM983112:HNM983122 HXI983112:HXI983122 IHE983112:IHE983122 IRA983112:IRA983122 JAW983112:JAW983122 JKS983112:JKS983122 JUO983112:JUO983122 KEK983112:KEK983122 KOG983112:KOG983122 KYC983112:KYC983122 LHY983112:LHY983122 LRU983112:LRU983122 MBQ983112:MBQ983122 MLM983112:MLM983122 MVI983112:MVI983122 NFE983112:NFE983122 NPA983112:NPA983122 NYW983112:NYW983122 OIS983112:OIS983122 OSO983112:OSO983122 PCK983112:PCK983122 PMG983112:PMG983122 PWC983112:PWC983122 QFY983112:QFY983122 QPU983112:QPU983122 QZQ983112:QZQ983122 RJM983112:RJM983122 RTI983112:RTI983122 SDE983112:SDE983122 SNA983112:SNA983122 SWW983112:SWW983122 TGS983112:TGS983122 TQO983112:TQO983122 UAK983112:UAK983122 UKG983112:UKG983122 UUC983112:UUC983122 VDY983112:VDY983122 VNU983112:VNU983122 VXQ983112:VXQ983122 WHM983112:WHM983122 WRI983112:WRI983122 EW65571:EW65575 OS65571:OS65575 YO65571:YO65575 AIK65571:AIK65575 ASG65571:ASG65575 BCC65571:BCC65575 BLY65571:BLY65575 BVU65571:BVU65575 CFQ65571:CFQ65575 CPM65571:CPM65575 CZI65571:CZI65575 DJE65571:DJE65575 DTA65571:DTA65575 ECW65571:ECW65575 EMS65571:EMS65575 EWO65571:EWO65575 FGK65571:FGK65575 FQG65571:FQG65575 GAC65571:GAC65575 GJY65571:GJY65575 GTU65571:GTU65575 HDQ65571:HDQ65575 HNM65571:HNM65575 HXI65571:HXI65575 IHE65571:IHE65575 IRA65571:IRA65575 JAW65571:JAW65575 JKS65571:JKS65575 JUO65571:JUO65575 KEK65571:KEK65575 KOG65571:KOG65575 KYC65571:KYC65575 LHY65571:LHY65575 LRU65571:LRU65575 MBQ65571:MBQ65575 MLM65571:MLM65575 MVI65571:MVI65575 NFE65571:NFE65575 NPA65571:NPA65575 NYW65571:NYW65575 OIS65571:OIS65575 OSO65571:OSO65575 PCK65571:PCK65575 PMG65571:PMG65575 PWC65571:PWC65575 QFY65571:QFY65575 QPU65571:QPU65575 QZQ65571:QZQ65575 RJM65571:RJM65575 RTI65571:RTI65575 SDE65571:SDE65575 SNA65571:SNA65575 SWW65571:SWW65575 TGS65571:TGS65575 TQO65571:TQO65575 UAK65571:UAK65575 UKG65571:UKG65575 UUC65571:UUC65575 VDY65571:VDY65575 VNU65571:VNU65575 VXQ65571:VXQ65575 WHM65571:WHM65575 WRI65571:WRI65575 EW131107:EW131111 OS131107:OS131111 YO131107:YO131111 AIK131107:AIK131111 ASG131107:ASG131111 BCC131107:BCC131111 BLY131107:BLY131111 BVU131107:BVU131111 CFQ131107:CFQ131111 CPM131107:CPM131111 CZI131107:CZI131111 DJE131107:DJE131111 DTA131107:DTA131111 ECW131107:ECW131111 EMS131107:EMS131111 EWO131107:EWO131111 FGK131107:FGK131111 FQG131107:FQG131111 GAC131107:GAC131111 GJY131107:GJY131111 GTU131107:GTU131111 HDQ131107:HDQ131111 HNM131107:HNM131111 HXI131107:HXI131111 IHE131107:IHE131111 IRA131107:IRA131111 JAW131107:JAW131111 JKS131107:JKS131111 JUO131107:JUO131111 KEK131107:KEK131111 KOG131107:KOG131111 KYC131107:KYC131111 LHY131107:LHY131111 LRU131107:LRU131111 MBQ131107:MBQ131111 MLM131107:MLM131111 MVI131107:MVI131111 NFE131107:NFE131111 NPA131107:NPA131111 NYW131107:NYW131111 OIS131107:OIS131111 OSO131107:OSO131111 PCK131107:PCK131111 PMG131107:PMG131111 PWC131107:PWC131111 QFY131107:QFY131111 QPU131107:QPU131111 QZQ131107:QZQ131111 RJM131107:RJM131111 RTI131107:RTI131111 SDE131107:SDE131111 SNA131107:SNA131111 SWW131107:SWW131111 TGS131107:TGS131111 TQO131107:TQO131111 UAK131107:UAK131111 UKG131107:UKG131111 UUC131107:UUC131111 VDY131107:VDY131111 VNU131107:VNU131111 VXQ131107:VXQ131111 WHM131107:WHM131111 WRI131107:WRI131111 EW196643:EW196647 OS196643:OS196647 YO196643:YO196647 AIK196643:AIK196647 ASG196643:ASG196647 BCC196643:BCC196647 BLY196643:BLY196647 BVU196643:BVU196647 CFQ196643:CFQ196647 CPM196643:CPM196647 CZI196643:CZI196647 DJE196643:DJE196647 DTA196643:DTA196647 ECW196643:ECW196647 EMS196643:EMS196647 EWO196643:EWO196647 FGK196643:FGK196647 FQG196643:FQG196647 GAC196643:GAC196647 GJY196643:GJY196647 GTU196643:GTU196647 HDQ196643:HDQ196647 HNM196643:HNM196647 HXI196643:HXI196647 IHE196643:IHE196647 IRA196643:IRA196647 JAW196643:JAW196647 JKS196643:JKS196647 JUO196643:JUO196647 KEK196643:KEK196647 KOG196643:KOG196647 KYC196643:KYC196647 LHY196643:LHY196647 LRU196643:LRU196647 MBQ196643:MBQ196647 MLM196643:MLM196647 MVI196643:MVI196647 NFE196643:NFE196647 NPA196643:NPA196647 NYW196643:NYW196647 OIS196643:OIS196647 OSO196643:OSO196647 PCK196643:PCK196647 PMG196643:PMG196647 PWC196643:PWC196647 QFY196643:QFY196647 QPU196643:QPU196647 QZQ196643:QZQ196647 RJM196643:RJM196647 RTI196643:RTI196647 SDE196643:SDE196647 SNA196643:SNA196647 SWW196643:SWW196647 TGS196643:TGS196647 TQO196643:TQO196647 UAK196643:UAK196647 UKG196643:UKG196647 UUC196643:UUC196647 VDY196643:VDY196647 VNU196643:VNU196647 VXQ196643:VXQ196647 WHM196643:WHM196647 WRI196643:WRI196647 EW262179:EW262183 OS262179:OS262183 YO262179:YO262183 AIK262179:AIK262183 ASG262179:ASG262183 BCC262179:BCC262183 BLY262179:BLY262183 BVU262179:BVU262183 CFQ262179:CFQ262183 CPM262179:CPM262183 CZI262179:CZI262183 DJE262179:DJE262183 DTA262179:DTA262183 ECW262179:ECW262183 EMS262179:EMS262183 EWO262179:EWO262183 FGK262179:FGK262183 FQG262179:FQG262183 GAC262179:GAC262183 GJY262179:GJY262183 GTU262179:GTU262183 HDQ262179:HDQ262183 HNM262179:HNM262183 HXI262179:HXI262183 IHE262179:IHE262183 IRA262179:IRA262183 JAW262179:JAW262183 JKS262179:JKS262183 JUO262179:JUO262183 KEK262179:KEK262183 KOG262179:KOG262183 KYC262179:KYC262183 LHY262179:LHY262183 LRU262179:LRU262183 MBQ262179:MBQ262183 MLM262179:MLM262183 MVI262179:MVI262183 NFE262179:NFE262183 NPA262179:NPA262183 NYW262179:NYW262183 OIS262179:OIS262183 OSO262179:OSO262183 PCK262179:PCK262183 PMG262179:PMG262183 PWC262179:PWC262183 QFY262179:QFY262183 QPU262179:QPU262183 QZQ262179:QZQ262183 RJM262179:RJM262183 RTI262179:RTI262183 SDE262179:SDE262183 SNA262179:SNA262183 SWW262179:SWW262183 TGS262179:TGS262183 TQO262179:TQO262183 UAK262179:UAK262183 UKG262179:UKG262183 UUC262179:UUC262183 VDY262179:VDY262183 VNU262179:VNU262183 VXQ262179:VXQ262183 WHM262179:WHM262183 WRI262179:WRI262183 EW327715:EW327719 OS327715:OS327719 YO327715:YO327719 AIK327715:AIK327719 ASG327715:ASG327719 BCC327715:BCC327719 BLY327715:BLY327719 BVU327715:BVU327719 CFQ327715:CFQ327719 CPM327715:CPM327719 CZI327715:CZI327719 DJE327715:DJE327719 DTA327715:DTA327719 ECW327715:ECW327719 EMS327715:EMS327719 EWO327715:EWO327719 FGK327715:FGK327719 FQG327715:FQG327719 GAC327715:GAC327719 GJY327715:GJY327719 GTU327715:GTU327719 HDQ327715:HDQ327719 HNM327715:HNM327719 HXI327715:HXI327719 IHE327715:IHE327719 IRA327715:IRA327719 JAW327715:JAW327719 JKS327715:JKS327719 JUO327715:JUO327719 KEK327715:KEK327719 KOG327715:KOG327719 KYC327715:KYC327719 LHY327715:LHY327719 LRU327715:LRU327719 MBQ327715:MBQ327719 MLM327715:MLM327719 MVI327715:MVI327719 NFE327715:NFE327719 NPA327715:NPA327719 NYW327715:NYW327719 OIS327715:OIS327719 OSO327715:OSO327719 PCK327715:PCK327719 PMG327715:PMG327719 PWC327715:PWC327719 QFY327715:QFY327719 QPU327715:QPU327719 QZQ327715:QZQ327719 RJM327715:RJM327719 RTI327715:RTI327719 SDE327715:SDE327719 SNA327715:SNA327719 SWW327715:SWW327719 TGS327715:TGS327719 TQO327715:TQO327719 UAK327715:UAK327719 UKG327715:UKG327719 UUC327715:UUC327719 VDY327715:VDY327719 VNU327715:VNU327719 VXQ327715:VXQ327719 WHM327715:WHM327719 WRI327715:WRI327719 EW393251:EW393255 OS393251:OS393255 YO393251:YO393255 AIK393251:AIK393255 ASG393251:ASG393255 BCC393251:BCC393255 BLY393251:BLY393255 BVU393251:BVU393255 CFQ393251:CFQ393255 CPM393251:CPM393255 CZI393251:CZI393255 DJE393251:DJE393255 DTA393251:DTA393255 ECW393251:ECW393255 EMS393251:EMS393255 EWO393251:EWO393255 FGK393251:FGK393255 FQG393251:FQG393255 GAC393251:GAC393255 GJY393251:GJY393255 GTU393251:GTU393255 HDQ393251:HDQ393255 HNM393251:HNM393255 HXI393251:HXI393255 IHE393251:IHE393255 IRA393251:IRA393255 JAW393251:JAW393255 JKS393251:JKS393255 JUO393251:JUO393255 KEK393251:KEK393255 KOG393251:KOG393255 KYC393251:KYC393255 LHY393251:LHY393255 LRU393251:LRU393255 MBQ393251:MBQ393255 MLM393251:MLM393255 MVI393251:MVI393255 NFE393251:NFE393255 NPA393251:NPA393255 NYW393251:NYW393255 OIS393251:OIS393255 OSO393251:OSO393255 PCK393251:PCK393255 PMG393251:PMG393255 PWC393251:PWC393255 QFY393251:QFY393255 QPU393251:QPU393255 QZQ393251:QZQ393255 RJM393251:RJM393255 RTI393251:RTI393255 SDE393251:SDE393255 SNA393251:SNA393255 SWW393251:SWW393255 TGS393251:TGS393255 TQO393251:TQO393255 UAK393251:UAK393255 UKG393251:UKG393255 UUC393251:UUC393255 VDY393251:VDY393255 VNU393251:VNU393255 VXQ393251:VXQ393255 WHM393251:WHM393255 WRI393251:WRI393255 EW458787:EW458791 OS458787:OS458791 YO458787:YO458791 AIK458787:AIK458791 ASG458787:ASG458791 BCC458787:BCC458791 BLY458787:BLY458791 BVU458787:BVU458791 CFQ458787:CFQ458791 CPM458787:CPM458791 CZI458787:CZI458791 DJE458787:DJE458791 DTA458787:DTA458791 ECW458787:ECW458791 EMS458787:EMS458791 EWO458787:EWO458791 FGK458787:FGK458791 FQG458787:FQG458791 GAC458787:GAC458791 GJY458787:GJY458791 GTU458787:GTU458791 HDQ458787:HDQ458791 HNM458787:HNM458791 HXI458787:HXI458791 IHE458787:IHE458791 IRA458787:IRA458791 JAW458787:JAW458791 JKS458787:JKS458791 JUO458787:JUO458791 KEK458787:KEK458791 KOG458787:KOG458791 KYC458787:KYC458791 LHY458787:LHY458791 LRU458787:LRU458791 MBQ458787:MBQ458791 MLM458787:MLM458791 MVI458787:MVI458791 NFE458787:NFE458791 NPA458787:NPA458791 NYW458787:NYW458791 OIS458787:OIS458791 OSO458787:OSO458791 PCK458787:PCK458791 PMG458787:PMG458791 PWC458787:PWC458791 QFY458787:QFY458791 QPU458787:QPU458791 QZQ458787:QZQ458791 RJM458787:RJM458791 RTI458787:RTI458791 SDE458787:SDE458791 SNA458787:SNA458791 SWW458787:SWW458791 TGS458787:TGS458791 TQO458787:TQO458791 UAK458787:UAK458791 UKG458787:UKG458791 UUC458787:UUC458791 VDY458787:VDY458791 VNU458787:VNU458791 VXQ458787:VXQ458791 WHM458787:WHM458791 WRI458787:WRI458791 EW524323:EW524327 OS524323:OS524327 YO524323:YO524327 AIK524323:AIK524327 ASG524323:ASG524327 BCC524323:BCC524327 BLY524323:BLY524327 BVU524323:BVU524327 CFQ524323:CFQ524327 CPM524323:CPM524327 CZI524323:CZI524327 DJE524323:DJE524327 DTA524323:DTA524327 ECW524323:ECW524327 EMS524323:EMS524327 EWO524323:EWO524327 FGK524323:FGK524327 FQG524323:FQG524327 GAC524323:GAC524327 GJY524323:GJY524327 GTU524323:GTU524327 HDQ524323:HDQ524327 HNM524323:HNM524327 HXI524323:HXI524327 IHE524323:IHE524327 IRA524323:IRA524327 JAW524323:JAW524327 JKS524323:JKS524327 JUO524323:JUO524327 KEK524323:KEK524327 KOG524323:KOG524327 KYC524323:KYC524327 LHY524323:LHY524327 LRU524323:LRU524327 MBQ524323:MBQ524327 MLM524323:MLM524327 MVI524323:MVI524327 NFE524323:NFE524327 NPA524323:NPA524327 NYW524323:NYW524327 OIS524323:OIS524327 OSO524323:OSO524327 PCK524323:PCK524327 PMG524323:PMG524327 PWC524323:PWC524327 QFY524323:QFY524327 QPU524323:QPU524327 QZQ524323:QZQ524327 RJM524323:RJM524327 RTI524323:RTI524327 SDE524323:SDE524327 SNA524323:SNA524327 SWW524323:SWW524327 TGS524323:TGS524327 TQO524323:TQO524327 UAK524323:UAK524327 UKG524323:UKG524327 UUC524323:UUC524327 VDY524323:VDY524327 VNU524323:VNU524327 VXQ524323:VXQ524327 WHM524323:WHM524327 WRI524323:WRI524327 EW589859:EW589863 OS589859:OS589863 YO589859:YO589863 AIK589859:AIK589863 ASG589859:ASG589863 BCC589859:BCC589863 BLY589859:BLY589863 BVU589859:BVU589863 CFQ589859:CFQ589863 CPM589859:CPM589863 CZI589859:CZI589863 DJE589859:DJE589863 DTA589859:DTA589863 ECW589859:ECW589863 EMS589859:EMS589863 EWO589859:EWO589863 FGK589859:FGK589863 FQG589859:FQG589863 GAC589859:GAC589863 GJY589859:GJY589863 GTU589859:GTU589863 HDQ589859:HDQ589863 HNM589859:HNM589863 HXI589859:HXI589863 IHE589859:IHE589863 IRA589859:IRA589863 JAW589859:JAW589863 JKS589859:JKS589863 JUO589859:JUO589863 KEK589859:KEK589863 KOG589859:KOG589863 KYC589859:KYC589863 LHY589859:LHY589863 LRU589859:LRU589863 MBQ589859:MBQ589863 MLM589859:MLM589863 MVI589859:MVI589863 NFE589859:NFE589863 NPA589859:NPA589863 NYW589859:NYW589863 OIS589859:OIS589863 OSO589859:OSO589863 PCK589859:PCK589863 PMG589859:PMG589863 PWC589859:PWC589863 QFY589859:QFY589863 QPU589859:QPU589863 QZQ589859:QZQ589863 RJM589859:RJM589863 RTI589859:RTI589863 SDE589859:SDE589863 SNA589859:SNA589863 SWW589859:SWW589863 TGS589859:TGS589863 TQO589859:TQO589863 UAK589859:UAK589863 UKG589859:UKG589863 UUC589859:UUC589863 VDY589859:VDY589863 VNU589859:VNU589863 VXQ589859:VXQ589863 WHM589859:WHM589863 WRI589859:WRI589863 EW655395:EW655399 OS655395:OS655399 YO655395:YO655399 AIK655395:AIK655399 ASG655395:ASG655399 BCC655395:BCC655399 BLY655395:BLY655399 BVU655395:BVU655399 CFQ655395:CFQ655399 CPM655395:CPM655399 CZI655395:CZI655399 DJE655395:DJE655399 DTA655395:DTA655399 ECW655395:ECW655399 EMS655395:EMS655399 EWO655395:EWO655399 FGK655395:FGK655399 FQG655395:FQG655399 GAC655395:GAC655399 GJY655395:GJY655399 GTU655395:GTU655399 HDQ655395:HDQ655399 HNM655395:HNM655399 HXI655395:HXI655399 IHE655395:IHE655399 IRA655395:IRA655399 JAW655395:JAW655399 JKS655395:JKS655399 JUO655395:JUO655399 KEK655395:KEK655399 KOG655395:KOG655399 KYC655395:KYC655399 LHY655395:LHY655399 LRU655395:LRU655399 MBQ655395:MBQ655399 MLM655395:MLM655399 MVI655395:MVI655399 NFE655395:NFE655399 NPA655395:NPA655399 NYW655395:NYW655399 OIS655395:OIS655399 OSO655395:OSO655399 PCK655395:PCK655399 PMG655395:PMG655399 PWC655395:PWC655399 QFY655395:QFY655399 QPU655395:QPU655399 QZQ655395:QZQ655399 RJM655395:RJM655399 RTI655395:RTI655399 SDE655395:SDE655399 SNA655395:SNA655399 SWW655395:SWW655399 TGS655395:TGS655399 TQO655395:TQO655399 UAK655395:UAK655399 UKG655395:UKG655399 UUC655395:UUC655399 VDY655395:VDY655399 VNU655395:VNU655399 VXQ655395:VXQ655399 WHM655395:WHM655399 WRI655395:WRI655399 EW720931:EW720935 OS720931:OS720935 YO720931:YO720935 AIK720931:AIK720935 ASG720931:ASG720935 BCC720931:BCC720935 BLY720931:BLY720935 BVU720931:BVU720935 CFQ720931:CFQ720935 CPM720931:CPM720935 CZI720931:CZI720935 DJE720931:DJE720935 DTA720931:DTA720935 ECW720931:ECW720935 EMS720931:EMS720935 EWO720931:EWO720935 FGK720931:FGK720935 FQG720931:FQG720935 GAC720931:GAC720935 GJY720931:GJY720935 GTU720931:GTU720935 HDQ720931:HDQ720935 HNM720931:HNM720935 HXI720931:HXI720935 IHE720931:IHE720935 IRA720931:IRA720935 JAW720931:JAW720935 JKS720931:JKS720935 JUO720931:JUO720935 KEK720931:KEK720935 KOG720931:KOG720935 KYC720931:KYC720935 LHY720931:LHY720935 LRU720931:LRU720935 MBQ720931:MBQ720935 MLM720931:MLM720935 MVI720931:MVI720935 NFE720931:NFE720935 NPA720931:NPA720935 NYW720931:NYW720935 OIS720931:OIS720935 OSO720931:OSO720935 PCK720931:PCK720935 PMG720931:PMG720935 PWC720931:PWC720935 QFY720931:QFY720935 QPU720931:QPU720935 QZQ720931:QZQ720935 RJM720931:RJM720935 RTI720931:RTI720935 SDE720931:SDE720935 SNA720931:SNA720935 SWW720931:SWW720935 TGS720931:TGS720935 TQO720931:TQO720935 UAK720931:UAK720935 UKG720931:UKG720935 UUC720931:UUC720935 VDY720931:VDY720935 VNU720931:VNU720935 VXQ720931:VXQ720935 WHM720931:WHM720935 WRI720931:WRI720935 EW786467:EW786471 OS786467:OS786471 YO786467:YO786471 AIK786467:AIK786471 ASG786467:ASG786471 BCC786467:BCC786471 BLY786467:BLY786471 BVU786467:BVU786471 CFQ786467:CFQ786471 CPM786467:CPM786471 CZI786467:CZI786471 DJE786467:DJE786471 DTA786467:DTA786471 ECW786467:ECW786471 EMS786467:EMS786471 EWO786467:EWO786471 FGK786467:FGK786471 FQG786467:FQG786471 GAC786467:GAC786471 GJY786467:GJY786471 GTU786467:GTU786471 HDQ786467:HDQ786471 HNM786467:HNM786471 HXI786467:HXI786471 IHE786467:IHE786471 IRA786467:IRA786471 JAW786467:JAW786471 JKS786467:JKS786471 JUO786467:JUO786471 KEK786467:KEK786471 KOG786467:KOG786471 KYC786467:KYC786471 LHY786467:LHY786471 LRU786467:LRU786471 MBQ786467:MBQ786471 MLM786467:MLM786471 MVI786467:MVI786471 NFE786467:NFE786471 NPA786467:NPA786471 NYW786467:NYW786471 OIS786467:OIS786471 OSO786467:OSO786471 PCK786467:PCK786471 PMG786467:PMG786471 PWC786467:PWC786471 QFY786467:QFY786471 QPU786467:QPU786471 QZQ786467:QZQ786471 RJM786467:RJM786471 RTI786467:RTI786471 SDE786467:SDE786471 SNA786467:SNA786471 SWW786467:SWW786471 TGS786467:TGS786471 TQO786467:TQO786471 UAK786467:UAK786471 UKG786467:UKG786471 UUC786467:UUC786471 VDY786467:VDY786471 VNU786467:VNU786471 VXQ786467:VXQ786471 WHM786467:WHM786471 WRI786467:WRI786471 EW852003:EW852007 OS852003:OS852007 YO852003:YO852007 AIK852003:AIK852007 ASG852003:ASG852007 BCC852003:BCC852007 BLY852003:BLY852007 BVU852003:BVU852007 CFQ852003:CFQ852007 CPM852003:CPM852007 CZI852003:CZI852007 DJE852003:DJE852007 DTA852003:DTA852007 ECW852003:ECW852007 EMS852003:EMS852007 EWO852003:EWO852007 FGK852003:FGK852007 FQG852003:FQG852007 GAC852003:GAC852007 GJY852003:GJY852007 GTU852003:GTU852007 HDQ852003:HDQ852007 HNM852003:HNM852007 HXI852003:HXI852007 IHE852003:IHE852007 IRA852003:IRA852007 JAW852003:JAW852007 JKS852003:JKS852007 JUO852003:JUO852007 KEK852003:KEK852007 KOG852003:KOG852007 KYC852003:KYC852007 LHY852003:LHY852007 LRU852003:LRU852007 MBQ852003:MBQ852007 MLM852003:MLM852007 MVI852003:MVI852007 NFE852003:NFE852007 NPA852003:NPA852007 NYW852003:NYW852007 OIS852003:OIS852007 OSO852003:OSO852007 PCK852003:PCK852007 PMG852003:PMG852007 PWC852003:PWC852007 QFY852003:QFY852007 QPU852003:QPU852007 QZQ852003:QZQ852007 RJM852003:RJM852007 RTI852003:RTI852007 SDE852003:SDE852007 SNA852003:SNA852007 SWW852003:SWW852007 TGS852003:TGS852007 TQO852003:TQO852007 UAK852003:UAK852007 UKG852003:UKG852007 UUC852003:UUC852007 VDY852003:VDY852007 VNU852003:VNU852007 VXQ852003:VXQ852007 WHM852003:WHM852007 WRI852003:WRI852007 EW917539:EW917543 OS917539:OS917543 YO917539:YO917543 AIK917539:AIK917543 ASG917539:ASG917543 BCC917539:BCC917543 BLY917539:BLY917543 BVU917539:BVU917543 CFQ917539:CFQ917543 CPM917539:CPM917543 CZI917539:CZI917543 DJE917539:DJE917543 DTA917539:DTA917543 ECW917539:ECW917543 EMS917539:EMS917543 EWO917539:EWO917543 FGK917539:FGK917543 FQG917539:FQG917543 GAC917539:GAC917543 GJY917539:GJY917543 GTU917539:GTU917543 HDQ917539:HDQ917543 HNM917539:HNM917543 HXI917539:HXI917543 IHE917539:IHE917543 IRA917539:IRA917543 JAW917539:JAW917543 JKS917539:JKS917543 JUO917539:JUO917543 KEK917539:KEK917543 KOG917539:KOG917543 KYC917539:KYC917543 LHY917539:LHY917543 LRU917539:LRU917543 MBQ917539:MBQ917543 MLM917539:MLM917543 MVI917539:MVI917543 NFE917539:NFE917543 NPA917539:NPA917543 NYW917539:NYW917543 OIS917539:OIS917543 OSO917539:OSO917543 PCK917539:PCK917543 PMG917539:PMG917543 PWC917539:PWC917543 QFY917539:QFY917543 QPU917539:QPU917543 QZQ917539:QZQ917543 RJM917539:RJM917543 RTI917539:RTI917543 SDE917539:SDE917543 SNA917539:SNA917543 SWW917539:SWW917543 TGS917539:TGS917543 TQO917539:TQO917543 UAK917539:UAK917543 UKG917539:UKG917543 UUC917539:UUC917543 VDY917539:VDY917543 VNU917539:VNU917543 VXQ917539:VXQ917543 WHM917539:WHM917543 WRI917539:WRI917543 EW983075:EW983079 OS983075:OS983079 YO983075:YO983079 AIK983075:AIK983079 ASG983075:ASG983079 BCC983075:BCC983079 BLY983075:BLY983079 BVU983075:BVU983079 CFQ983075:CFQ983079 CPM983075:CPM983079 CZI983075:CZI983079 DJE983075:DJE983079 DTA983075:DTA983079 ECW983075:ECW983079 EMS983075:EMS983079 EWO983075:EWO983079 FGK983075:FGK983079 FQG983075:FQG983079 GAC983075:GAC983079 GJY983075:GJY983079 GTU983075:GTU983079 HDQ983075:HDQ983079 HNM983075:HNM983079 HXI983075:HXI983079 IHE983075:IHE983079 IRA983075:IRA983079 JAW983075:JAW983079 JKS983075:JKS983079 JUO983075:JUO983079 KEK983075:KEK983079 KOG983075:KOG983079 KYC983075:KYC983079 LHY983075:LHY983079 LRU983075:LRU983079 MBQ983075:MBQ983079 MLM983075:MLM983079 MVI983075:MVI983079 NFE983075:NFE983079 NPA983075:NPA983079 NYW983075:NYW983079 OIS983075:OIS983079 OSO983075:OSO983079 PCK983075:PCK983079 PMG983075:PMG983079 PWC983075:PWC983079 QFY983075:QFY983079 QPU983075:QPU983079 QZQ983075:QZQ983079 RJM983075:RJM983079 RTI983075:RTI983079 SDE983075:SDE983079 SNA983075:SNA983079 SWW983075:SWW983079 TGS983075:TGS983079 TQO983075:TQO983079 UAK983075:UAK983079 UKG983075:UKG983079 UUC983075:UUC983079 VDY983075:VDY983079 VNU983075:VNU983079 VXQ983075:VXQ983079 WHM983075:WHM983079 WRI983075:WRI983079 EW65620:EW65626 OS65620:OS65626 YO65620:YO65626 AIK65620:AIK65626 ASG65620:ASG65626 BCC65620:BCC65626 BLY65620:BLY65626 BVU65620:BVU65626 CFQ65620:CFQ65626 CPM65620:CPM65626 CZI65620:CZI65626 DJE65620:DJE65626 DTA65620:DTA65626 ECW65620:ECW65626 EMS65620:EMS65626 EWO65620:EWO65626 FGK65620:FGK65626 FQG65620:FQG65626 GAC65620:GAC65626 GJY65620:GJY65626 GTU65620:GTU65626 HDQ65620:HDQ65626 HNM65620:HNM65626 HXI65620:HXI65626 IHE65620:IHE65626 IRA65620:IRA65626 JAW65620:JAW65626 JKS65620:JKS65626 JUO65620:JUO65626 KEK65620:KEK65626 KOG65620:KOG65626 KYC65620:KYC65626 LHY65620:LHY65626 LRU65620:LRU65626 MBQ65620:MBQ65626 MLM65620:MLM65626 MVI65620:MVI65626 NFE65620:NFE65626 NPA65620:NPA65626 NYW65620:NYW65626 OIS65620:OIS65626 OSO65620:OSO65626 PCK65620:PCK65626 PMG65620:PMG65626 PWC65620:PWC65626 QFY65620:QFY65626 QPU65620:QPU65626 QZQ65620:QZQ65626 RJM65620:RJM65626 RTI65620:RTI65626 SDE65620:SDE65626 SNA65620:SNA65626 SWW65620:SWW65626 TGS65620:TGS65626 TQO65620:TQO65626 UAK65620:UAK65626 UKG65620:UKG65626 UUC65620:UUC65626 VDY65620:VDY65626 VNU65620:VNU65626 VXQ65620:VXQ65626 WHM65620:WHM65626 WRI65620:WRI65626 EW131156:EW131162 OS131156:OS131162 YO131156:YO131162 AIK131156:AIK131162 ASG131156:ASG131162 BCC131156:BCC131162 BLY131156:BLY131162 BVU131156:BVU131162 CFQ131156:CFQ131162 CPM131156:CPM131162 CZI131156:CZI131162 DJE131156:DJE131162 DTA131156:DTA131162 ECW131156:ECW131162 EMS131156:EMS131162 EWO131156:EWO131162 FGK131156:FGK131162 FQG131156:FQG131162 GAC131156:GAC131162 GJY131156:GJY131162 GTU131156:GTU131162 HDQ131156:HDQ131162 HNM131156:HNM131162 HXI131156:HXI131162 IHE131156:IHE131162 IRA131156:IRA131162 JAW131156:JAW131162 JKS131156:JKS131162 JUO131156:JUO131162 KEK131156:KEK131162 KOG131156:KOG131162 KYC131156:KYC131162 LHY131156:LHY131162 LRU131156:LRU131162 MBQ131156:MBQ131162 MLM131156:MLM131162 MVI131156:MVI131162 NFE131156:NFE131162 NPA131156:NPA131162 NYW131156:NYW131162 OIS131156:OIS131162 OSO131156:OSO131162 PCK131156:PCK131162 PMG131156:PMG131162 PWC131156:PWC131162 QFY131156:QFY131162 QPU131156:QPU131162 QZQ131156:QZQ131162 RJM131156:RJM131162 RTI131156:RTI131162 SDE131156:SDE131162 SNA131156:SNA131162 SWW131156:SWW131162 TGS131156:TGS131162 TQO131156:TQO131162 UAK131156:UAK131162 UKG131156:UKG131162 UUC131156:UUC131162 VDY131156:VDY131162 VNU131156:VNU131162 VXQ131156:VXQ131162 WHM131156:WHM131162 WRI131156:WRI131162 EW196692:EW196698 OS196692:OS196698 YO196692:YO196698 AIK196692:AIK196698 ASG196692:ASG196698 BCC196692:BCC196698 BLY196692:BLY196698 BVU196692:BVU196698 CFQ196692:CFQ196698 CPM196692:CPM196698 CZI196692:CZI196698 DJE196692:DJE196698 DTA196692:DTA196698 ECW196692:ECW196698 EMS196692:EMS196698 EWO196692:EWO196698 FGK196692:FGK196698 FQG196692:FQG196698 GAC196692:GAC196698 GJY196692:GJY196698 GTU196692:GTU196698 HDQ196692:HDQ196698 HNM196692:HNM196698 HXI196692:HXI196698 IHE196692:IHE196698 IRA196692:IRA196698 JAW196692:JAW196698 JKS196692:JKS196698 JUO196692:JUO196698 KEK196692:KEK196698 KOG196692:KOG196698 KYC196692:KYC196698 LHY196692:LHY196698 LRU196692:LRU196698 MBQ196692:MBQ196698 MLM196692:MLM196698 MVI196692:MVI196698 NFE196692:NFE196698 NPA196692:NPA196698 NYW196692:NYW196698 OIS196692:OIS196698 OSO196692:OSO196698 PCK196692:PCK196698 PMG196692:PMG196698 PWC196692:PWC196698 QFY196692:QFY196698 QPU196692:QPU196698 QZQ196692:QZQ196698 RJM196692:RJM196698 RTI196692:RTI196698 SDE196692:SDE196698 SNA196692:SNA196698 SWW196692:SWW196698 TGS196692:TGS196698 TQO196692:TQO196698 UAK196692:UAK196698 UKG196692:UKG196698 UUC196692:UUC196698 VDY196692:VDY196698 VNU196692:VNU196698 VXQ196692:VXQ196698 WHM196692:WHM196698 WRI196692:WRI196698 EW262228:EW262234 OS262228:OS262234 YO262228:YO262234 AIK262228:AIK262234 ASG262228:ASG262234 BCC262228:BCC262234 BLY262228:BLY262234 BVU262228:BVU262234 CFQ262228:CFQ262234 CPM262228:CPM262234 CZI262228:CZI262234 DJE262228:DJE262234 DTA262228:DTA262234 ECW262228:ECW262234 EMS262228:EMS262234 EWO262228:EWO262234 FGK262228:FGK262234 FQG262228:FQG262234 GAC262228:GAC262234 GJY262228:GJY262234 GTU262228:GTU262234 HDQ262228:HDQ262234 HNM262228:HNM262234 HXI262228:HXI262234 IHE262228:IHE262234 IRA262228:IRA262234 JAW262228:JAW262234 JKS262228:JKS262234 JUO262228:JUO262234 KEK262228:KEK262234 KOG262228:KOG262234 KYC262228:KYC262234 LHY262228:LHY262234 LRU262228:LRU262234 MBQ262228:MBQ262234 MLM262228:MLM262234 MVI262228:MVI262234 NFE262228:NFE262234 NPA262228:NPA262234 NYW262228:NYW262234 OIS262228:OIS262234 OSO262228:OSO262234 PCK262228:PCK262234 PMG262228:PMG262234 PWC262228:PWC262234 QFY262228:QFY262234 QPU262228:QPU262234 QZQ262228:QZQ262234 RJM262228:RJM262234 RTI262228:RTI262234 SDE262228:SDE262234 SNA262228:SNA262234 SWW262228:SWW262234 TGS262228:TGS262234 TQO262228:TQO262234 UAK262228:UAK262234 UKG262228:UKG262234 UUC262228:UUC262234 VDY262228:VDY262234 VNU262228:VNU262234 VXQ262228:VXQ262234 WHM262228:WHM262234 WRI262228:WRI262234 EW327764:EW327770 OS327764:OS327770 YO327764:YO327770 AIK327764:AIK327770 ASG327764:ASG327770 BCC327764:BCC327770 BLY327764:BLY327770 BVU327764:BVU327770 CFQ327764:CFQ327770 CPM327764:CPM327770 CZI327764:CZI327770 DJE327764:DJE327770 DTA327764:DTA327770 ECW327764:ECW327770 EMS327764:EMS327770 EWO327764:EWO327770 FGK327764:FGK327770 FQG327764:FQG327770 GAC327764:GAC327770 GJY327764:GJY327770 GTU327764:GTU327770 HDQ327764:HDQ327770 HNM327764:HNM327770 HXI327764:HXI327770 IHE327764:IHE327770 IRA327764:IRA327770 JAW327764:JAW327770 JKS327764:JKS327770 JUO327764:JUO327770 KEK327764:KEK327770 KOG327764:KOG327770 KYC327764:KYC327770 LHY327764:LHY327770 LRU327764:LRU327770 MBQ327764:MBQ327770 MLM327764:MLM327770 MVI327764:MVI327770 NFE327764:NFE327770 NPA327764:NPA327770 NYW327764:NYW327770 OIS327764:OIS327770 OSO327764:OSO327770 PCK327764:PCK327770 PMG327764:PMG327770 PWC327764:PWC327770 QFY327764:QFY327770 QPU327764:QPU327770 QZQ327764:QZQ327770 RJM327764:RJM327770 RTI327764:RTI327770 SDE327764:SDE327770 SNA327764:SNA327770 SWW327764:SWW327770 TGS327764:TGS327770 TQO327764:TQO327770 UAK327764:UAK327770 UKG327764:UKG327770 UUC327764:UUC327770 VDY327764:VDY327770 VNU327764:VNU327770 VXQ327764:VXQ327770 WHM327764:WHM327770 WRI327764:WRI327770 EW393300:EW393306 OS393300:OS393306 YO393300:YO393306 AIK393300:AIK393306 ASG393300:ASG393306 BCC393300:BCC393306 BLY393300:BLY393306 BVU393300:BVU393306 CFQ393300:CFQ393306 CPM393300:CPM393306 CZI393300:CZI393306 DJE393300:DJE393306 DTA393300:DTA393306 ECW393300:ECW393306 EMS393300:EMS393306 EWO393300:EWO393306 FGK393300:FGK393306 FQG393300:FQG393306 GAC393300:GAC393306 GJY393300:GJY393306 GTU393300:GTU393306 HDQ393300:HDQ393306 HNM393300:HNM393306 HXI393300:HXI393306 IHE393300:IHE393306 IRA393300:IRA393306 JAW393300:JAW393306 JKS393300:JKS393306 JUO393300:JUO393306 KEK393300:KEK393306 KOG393300:KOG393306 KYC393300:KYC393306 LHY393300:LHY393306 LRU393300:LRU393306 MBQ393300:MBQ393306 MLM393300:MLM393306 MVI393300:MVI393306 NFE393300:NFE393306 NPA393300:NPA393306 NYW393300:NYW393306 OIS393300:OIS393306 OSO393300:OSO393306 PCK393300:PCK393306 PMG393300:PMG393306 PWC393300:PWC393306 QFY393300:QFY393306 QPU393300:QPU393306 QZQ393300:QZQ393306 RJM393300:RJM393306 RTI393300:RTI393306 SDE393300:SDE393306 SNA393300:SNA393306 SWW393300:SWW393306 TGS393300:TGS393306 TQO393300:TQO393306 UAK393300:UAK393306 UKG393300:UKG393306 UUC393300:UUC393306 VDY393300:VDY393306 VNU393300:VNU393306 VXQ393300:VXQ393306 WHM393300:WHM393306 WRI393300:WRI393306 EW458836:EW458842 OS458836:OS458842 YO458836:YO458842 AIK458836:AIK458842 ASG458836:ASG458842 BCC458836:BCC458842 BLY458836:BLY458842 BVU458836:BVU458842 CFQ458836:CFQ458842 CPM458836:CPM458842 CZI458836:CZI458842 DJE458836:DJE458842 DTA458836:DTA458842 ECW458836:ECW458842 EMS458836:EMS458842 EWO458836:EWO458842 FGK458836:FGK458842 FQG458836:FQG458842 GAC458836:GAC458842 GJY458836:GJY458842 GTU458836:GTU458842 HDQ458836:HDQ458842 HNM458836:HNM458842 HXI458836:HXI458842 IHE458836:IHE458842 IRA458836:IRA458842 JAW458836:JAW458842 JKS458836:JKS458842 JUO458836:JUO458842 KEK458836:KEK458842 KOG458836:KOG458842 KYC458836:KYC458842 LHY458836:LHY458842 LRU458836:LRU458842 MBQ458836:MBQ458842 MLM458836:MLM458842 MVI458836:MVI458842 NFE458836:NFE458842 NPA458836:NPA458842 NYW458836:NYW458842 OIS458836:OIS458842 OSO458836:OSO458842 PCK458836:PCK458842 PMG458836:PMG458842 PWC458836:PWC458842 QFY458836:QFY458842 QPU458836:QPU458842 QZQ458836:QZQ458842 RJM458836:RJM458842 RTI458836:RTI458842 SDE458836:SDE458842 SNA458836:SNA458842 SWW458836:SWW458842 TGS458836:TGS458842 TQO458836:TQO458842 UAK458836:UAK458842 UKG458836:UKG458842 UUC458836:UUC458842 VDY458836:VDY458842 VNU458836:VNU458842 VXQ458836:VXQ458842 WHM458836:WHM458842 WRI458836:WRI458842 EW524372:EW524378 OS524372:OS524378 YO524372:YO524378 AIK524372:AIK524378 ASG524372:ASG524378 BCC524372:BCC524378 BLY524372:BLY524378 BVU524372:BVU524378 CFQ524372:CFQ524378 CPM524372:CPM524378 CZI524372:CZI524378 DJE524372:DJE524378 DTA524372:DTA524378 ECW524372:ECW524378 EMS524372:EMS524378 EWO524372:EWO524378 FGK524372:FGK524378 FQG524372:FQG524378 GAC524372:GAC524378 GJY524372:GJY524378 GTU524372:GTU524378 HDQ524372:HDQ524378 HNM524372:HNM524378 HXI524372:HXI524378 IHE524372:IHE524378 IRA524372:IRA524378 JAW524372:JAW524378 JKS524372:JKS524378 JUO524372:JUO524378 KEK524372:KEK524378 KOG524372:KOG524378 KYC524372:KYC524378 LHY524372:LHY524378 LRU524372:LRU524378 MBQ524372:MBQ524378 MLM524372:MLM524378 MVI524372:MVI524378 NFE524372:NFE524378 NPA524372:NPA524378 NYW524372:NYW524378 OIS524372:OIS524378 OSO524372:OSO524378 PCK524372:PCK524378 PMG524372:PMG524378 PWC524372:PWC524378 QFY524372:QFY524378 QPU524372:QPU524378 QZQ524372:QZQ524378 RJM524372:RJM524378 RTI524372:RTI524378 SDE524372:SDE524378 SNA524372:SNA524378 SWW524372:SWW524378 TGS524372:TGS524378 TQO524372:TQO524378 UAK524372:UAK524378 UKG524372:UKG524378 UUC524372:UUC524378 VDY524372:VDY524378 VNU524372:VNU524378 VXQ524372:VXQ524378 WHM524372:WHM524378 WRI524372:WRI524378 EW589908:EW589914 OS589908:OS589914 YO589908:YO589914 AIK589908:AIK589914 ASG589908:ASG589914 BCC589908:BCC589914 BLY589908:BLY589914 BVU589908:BVU589914 CFQ589908:CFQ589914 CPM589908:CPM589914 CZI589908:CZI589914 DJE589908:DJE589914 DTA589908:DTA589914 ECW589908:ECW589914 EMS589908:EMS589914 EWO589908:EWO589914 FGK589908:FGK589914 FQG589908:FQG589914 GAC589908:GAC589914 GJY589908:GJY589914 GTU589908:GTU589914 HDQ589908:HDQ589914 HNM589908:HNM589914 HXI589908:HXI589914 IHE589908:IHE589914 IRA589908:IRA589914 JAW589908:JAW589914 JKS589908:JKS589914 JUO589908:JUO589914 KEK589908:KEK589914 KOG589908:KOG589914 KYC589908:KYC589914 LHY589908:LHY589914 LRU589908:LRU589914 MBQ589908:MBQ589914 MLM589908:MLM589914 MVI589908:MVI589914 NFE589908:NFE589914 NPA589908:NPA589914 NYW589908:NYW589914 OIS589908:OIS589914 OSO589908:OSO589914 PCK589908:PCK589914 PMG589908:PMG589914 PWC589908:PWC589914 QFY589908:QFY589914 QPU589908:QPU589914 QZQ589908:QZQ589914 RJM589908:RJM589914 RTI589908:RTI589914 SDE589908:SDE589914 SNA589908:SNA589914 SWW589908:SWW589914 TGS589908:TGS589914 TQO589908:TQO589914 UAK589908:UAK589914 UKG589908:UKG589914 UUC589908:UUC589914 VDY589908:VDY589914 VNU589908:VNU589914 VXQ589908:VXQ589914 WHM589908:WHM589914 WRI589908:WRI589914 EW655444:EW655450 OS655444:OS655450 YO655444:YO655450 AIK655444:AIK655450 ASG655444:ASG655450 BCC655444:BCC655450 BLY655444:BLY655450 BVU655444:BVU655450 CFQ655444:CFQ655450 CPM655444:CPM655450 CZI655444:CZI655450 DJE655444:DJE655450 DTA655444:DTA655450 ECW655444:ECW655450 EMS655444:EMS655450 EWO655444:EWO655450 FGK655444:FGK655450 FQG655444:FQG655450 GAC655444:GAC655450 GJY655444:GJY655450 GTU655444:GTU655450 HDQ655444:HDQ655450 HNM655444:HNM655450 HXI655444:HXI655450 IHE655444:IHE655450 IRA655444:IRA655450 JAW655444:JAW655450 JKS655444:JKS655450 JUO655444:JUO655450 KEK655444:KEK655450 KOG655444:KOG655450 KYC655444:KYC655450 LHY655444:LHY655450 LRU655444:LRU655450 MBQ655444:MBQ655450 MLM655444:MLM655450 MVI655444:MVI655450 NFE655444:NFE655450 NPA655444:NPA655450 NYW655444:NYW655450 OIS655444:OIS655450 OSO655444:OSO655450 PCK655444:PCK655450 PMG655444:PMG655450 PWC655444:PWC655450 QFY655444:QFY655450 QPU655444:QPU655450 QZQ655444:QZQ655450 RJM655444:RJM655450 RTI655444:RTI655450 SDE655444:SDE655450 SNA655444:SNA655450 SWW655444:SWW655450 TGS655444:TGS655450 TQO655444:TQO655450 UAK655444:UAK655450 UKG655444:UKG655450 UUC655444:UUC655450 VDY655444:VDY655450 VNU655444:VNU655450 VXQ655444:VXQ655450 WHM655444:WHM655450 WRI655444:WRI655450 EW720980:EW720986 OS720980:OS720986 YO720980:YO720986 AIK720980:AIK720986 ASG720980:ASG720986 BCC720980:BCC720986 BLY720980:BLY720986 BVU720980:BVU720986 CFQ720980:CFQ720986 CPM720980:CPM720986 CZI720980:CZI720986 DJE720980:DJE720986 DTA720980:DTA720986 ECW720980:ECW720986 EMS720980:EMS720986 EWO720980:EWO720986 FGK720980:FGK720986 FQG720980:FQG720986 GAC720980:GAC720986 GJY720980:GJY720986 GTU720980:GTU720986 HDQ720980:HDQ720986 HNM720980:HNM720986 HXI720980:HXI720986 IHE720980:IHE720986 IRA720980:IRA720986 JAW720980:JAW720986 JKS720980:JKS720986 JUO720980:JUO720986 KEK720980:KEK720986 KOG720980:KOG720986 KYC720980:KYC720986 LHY720980:LHY720986 LRU720980:LRU720986 MBQ720980:MBQ720986 MLM720980:MLM720986 MVI720980:MVI720986 NFE720980:NFE720986 NPA720980:NPA720986 NYW720980:NYW720986 OIS720980:OIS720986 OSO720980:OSO720986 PCK720980:PCK720986 PMG720980:PMG720986 PWC720980:PWC720986 QFY720980:QFY720986 QPU720980:QPU720986 QZQ720980:QZQ720986 RJM720980:RJM720986 RTI720980:RTI720986 SDE720980:SDE720986 SNA720980:SNA720986 SWW720980:SWW720986 TGS720980:TGS720986 TQO720980:TQO720986 UAK720980:UAK720986 UKG720980:UKG720986 UUC720980:UUC720986 VDY720980:VDY720986 VNU720980:VNU720986 VXQ720980:VXQ720986 WHM720980:WHM720986 WRI720980:WRI720986 EW786516:EW786522 OS786516:OS786522 YO786516:YO786522 AIK786516:AIK786522 ASG786516:ASG786522 BCC786516:BCC786522 BLY786516:BLY786522 BVU786516:BVU786522 CFQ786516:CFQ786522 CPM786516:CPM786522 CZI786516:CZI786522 DJE786516:DJE786522 DTA786516:DTA786522 ECW786516:ECW786522 EMS786516:EMS786522 EWO786516:EWO786522 FGK786516:FGK786522 FQG786516:FQG786522 GAC786516:GAC786522 GJY786516:GJY786522 GTU786516:GTU786522 HDQ786516:HDQ786522 HNM786516:HNM786522 HXI786516:HXI786522 IHE786516:IHE786522 IRA786516:IRA786522 JAW786516:JAW786522 JKS786516:JKS786522 JUO786516:JUO786522 KEK786516:KEK786522 KOG786516:KOG786522 KYC786516:KYC786522 LHY786516:LHY786522 LRU786516:LRU786522 MBQ786516:MBQ786522 MLM786516:MLM786522 MVI786516:MVI786522 NFE786516:NFE786522 NPA786516:NPA786522 NYW786516:NYW786522 OIS786516:OIS786522 OSO786516:OSO786522 PCK786516:PCK786522 PMG786516:PMG786522 PWC786516:PWC786522 QFY786516:QFY786522 QPU786516:QPU786522 QZQ786516:QZQ786522 RJM786516:RJM786522 RTI786516:RTI786522 SDE786516:SDE786522 SNA786516:SNA786522 SWW786516:SWW786522 TGS786516:TGS786522 TQO786516:TQO786522 UAK786516:UAK786522 UKG786516:UKG786522 UUC786516:UUC786522 VDY786516:VDY786522 VNU786516:VNU786522 VXQ786516:VXQ786522 WHM786516:WHM786522 WRI786516:WRI786522 EW852052:EW852058 OS852052:OS852058 YO852052:YO852058 AIK852052:AIK852058 ASG852052:ASG852058 BCC852052:BCC852058 BLY852052:BLY852058 BVU852052:BVU852058 CFQ852052:CFQ852058 CPM852052:CPM852058 CZI852052:CZI852058 DJE852052:DJE852058 DTA852052:DTA852058 ECW852052:ECW852058 EMS852052:EMS852058 EWO852052:EWO852058 FGK852052:FGK852058 FQG852052:FQG852058 GAC852052:GAC852058 GJY852052:GJY852058 GTU852052:GTU852058 HDQ852052:HDQ852058 HNM852052:HNM852058 HXI852052:HXI852058 IHE852052:IHE852058 IRA852052:IRA852058 JAW852052:JAW852058 JKS852052:JKS852058 JUO852052:JUO852058 KEK852052:KEK852058 KOG852052:KOG852058 KYC852052:KYC852058 LHY852052:LHY852058 LRU852052:LRU852058 MBQ852052:MBQ852058 MLM852052:MLM852058 MVI852052:MVI852058 NFE852052:NFE852058 NPA852052:NPA852058 NYW852052:NYW852058 OIS852052:OIS852058 OSO852052:OSO852058 PCK852052:PCK852058 PMG852052:PMG852058 PWC852052:PWC852058 QFY852052:QFY852058 QPU852052:QPU852058 QZQ852052:QZQ852058 RJM852052:RJM852058 RTI852052:RTI852058 SDE852052:SDE852058 SNA852052:SNA852058 SWW852052:SWW852058 TGS852052:TGS852058 TQO852052:TQO852058 UAK852052:UAK852058 UKG852052:UKG852058 UUC852052:UUC852058 VDY852052:VDY852058 VNU852052:VNU852058 VXQ852052:VXQ852058 WHM852052:WHM852058 WRI852052:WRI852058 EW917588:EW917594 OS917588:OS917594 YO917588:YO917594 AIK917588:AIK917594 ASG917588:ASG917594 BCC917588:BCC917594 BLY917588:BLY917594 BVU917588:BVU917594 CFQ917588:CFQ917594 CPM917588:CPM917594 CZI917588:CZI917594 DJE917588:DJE917594 DTA917588:DTA917594 ECW917588:ECW917594 EMS917588:EMS917594 EWO917588:EWO917594 FGK917588:FGK917594 FQG917588:FQG917594 GAC917588:GAC917594 GJY917588:GJY917594 GTU917588:GTU917594 HDQ917588:HDQ917594 HNM917588:HNM917594 HXI917588:HXI917594 IHE917588:IHE917594 IRA917588:IRA917594 JAW917588:JAW917594 JKS917588:JKS917594 JUO917588:JUO917594 KEK917588:KEK917594 KOG917588:KOG917594 KYC917588:KYC917594 LHY917588:LHY917594 LRU917588:LRU917594 MBQ917588:MBQ917594 MLM917588:MLM917594 MVI917588:MVI917594 NFE917588:NFE917594 NPA917588:NPA917594 NYW917588:NYW917594 OIS917588:OIS917594 OSO917588:OSO917594 PCK917588:PCK917594 PMG917588:PMG917594 PWC917588:PWC917594 QFY917588:QFY917594 QPU917588:QPU917594 QZQ917588:QZQ917594 RJM917588:RJM917594 RTI917588:RTI917594 SDE917588:SDE917594 SNA917588:SNA917594 SWW917588:SWW917594 TGS917588:TGS917594 TQO917588:TQO917594 UAK917588:UAK917594 UKG917588:UKG917594 UUC917588:UUC917594 VDY917588:VDY917594 VNU917588:VNU917594 VXQ917588:VXQ917594 WHM917588:WHM917594 WRI917588:WRI917594 EW983124:EW983130 OS983124:OS983130 YO983124:YO983130 AIK983124:AIK983130 ASG983124:ASG983130 BCC983124:BCC983130 BLY983124:BLY983130 BVU983124:BVU983130 CFQ983124:CFQ983130 CPM983124:CPM983130 CZI983124:CZI983130 DJE983124:DJE983130 DTA983124:DTA983130 ECW983124:ECW983130 EMS983124:EMS983130 EWO983124:EWO983130 FGK983124:FGK983130 FQG983124:FQG983130 GAC983124:GAC983130 GJY983124:GJY983130 GTU983124:GTU983130 HDQ983124:HDQ983130 HNM983124:HNM983130 HXI983124:HXI983130 IHE983124:IHE983130 IRA983124:IRA983130 JAW983124:JAW983130 JKS983124:JKS983130 JUO983124:JUO983130 KEK983124:KEK983130 KOG983124:KOG983130 KYC983124:KYC983130 LHY983124:LHY983130 LRU983124:LRU983130 MBQ983124:MBQ983130 MLM983124:MLM983130 MVI983124:MVI983130 NFE983124:NFE983130 NPA983124:NPA983130 NYW983124:NYW983130 OIS983124:OIS983130 OSO983124:OSO983130 PCK983124:PCK983130 PMG983124:PMG983130 PWC983124:PWC983130 QFY983124:QFY983130 QPU983124:QPU983130 QZQ983124:QZQ983130 RJM983124:RJM983130 RTI983124:RTI983130 SDE983124:SDE983130 SNA983124:SNA983130 SWW983124:SWW983130 TGS983124:TGS983130 TQO983124:TQO983130 UAK983124:UAK983130 UKG983124:UKG983130 UUC983124:UUC983130 VDY983124:VDY983130 VNU983124:VNU983130 VXQ983124:VXQ983130 WHM983124:WHM983130 WRI983124:WRI983130 EW65649 OS65649 YO65649 AIK65649 ASG65649 BCC65649 BLY65649 BVU65649 CFQ65649 CPM65649 CZI65649 DJE65649 DTA65649 ECW65649 EMS65649 EWO65649 FGK65649 FQG65649 GAC65649 GJY65649 GTU65649 HDQ65649 HNM65649 HXI65649 IHE65649 IRA65649 JAW65649 JKS65649 JUO65649 KEK65649 KOG65649 KYC65649 LHY65649 LRU65649 MBQ65649 MLM65649 MVI65649 NFE65649 NPA65649 NYW65649 OIS65649 OSO65649 PCK65649 PMG65649 PWC65649 QFY65649 QPU65649 QZQ65649 RJM65649 RTI65649 SDE65649 SNA65649 SWW65649 TGS65649 TQO65649 UAK65649 UKG65649 UUC65649 VDY65649 VNU65649 VXQ65649 WHM65649 WRI65649 EW131185 OS131185 YO131185 AIK131185 ASG131185 BCC131185 BLY131185 BVU131185 CFQ131185 CPM131185 CZI131185 DJE131185 DTA131185 ECW131185 EMS131185 EWO131185 FGK131185 FQG131185 GAC131185 GJY131185 GTU131185 HDQ131185 HNM131185 HXI131185 IHE131185 IRA131185 JAW131185 JKS131185 JUO131185 KEK131185 KOG131185 KYC131185 LHY131185 LRU131185 MBQ131185 MLM131185 MVI131185 NFE131185 NPA131185 NYW131185 OIS131185 OSO131185 PCK131185 PMG131185 PWC131185 QFY131185 QPU131185 QZQ131185 RJM131185 RTI131185 SDE131185 SNA131185 SWW131185 TGS131185 TQO131185 UAK131185 UKG131185 UUC131185 VDY131185 VNU131185 VXQ131185 WHM131185 WRI131185 EW196721 OS196721 YO196721 AIK196721 ASG196721 BCC196721 BLY196721 BVU196721 CFQ196721 CPM196721 CZI196721 DJE196721 DTA196721 ECW196721 EMS196721 EWO196721 FGK196721 FQG196721 GAC196721 GJY196721 GTU196721 HDQ196721 HNM196721 HXI196721 IHE196721 IRA196721 JAW196721 JKS196721 JUO196721 KEK196721 KOG196721 KYC196721 LHY196721 LRU196721 MBQ196721 MLM196721 MVI196721 NFE196721 NPA196721 NYW196721 OIS196721 OSO196721 PCK196721 PMG196721 PWC196721 QFY196721 QPU196721 QZQ196721 RJM196721 RTI196721 SDE196721 SNA196721 SWW196721 TGS196721 TQO196721 UAK196721 UKG196721 UUC196721 VDY196721 VNU196721 VXQ196721 WHM196721 WRI196721 EW262257 OS262257 YO262257 AIK262257 ASG262257 BCC262257 BLY262257 BVU262257 CFQ262257 CPM262257 CZI262257 DJE262257 DTA262257 ECW262257 EMS262257 EWO262257 FGK262257 FQG262257 GAC262257 GJY262257 GTU262257 HDQ262257 HNM262257 HXI262257 IHE262257 IRA262257 JAW262257 JKS262257 JUO262257 KEK262257 KOG262257 KYC262257 LHY262257 LRU262257 MBQ262257 MLM262257 MVI262257 NFE262257 NPA262257 NYW262257 OIS262257 OSO262257 PCK262257 PMG262257 PWC262257 QFY262257 QPU262257 QZQ262257 RJM262257 RTI262257 SDE262257 SNA262257 SWW262257 TGS262257 TQO262257 UAK262257 UKG262257 UUC262257 VDY262257 VNU262257 VXQ262257 WHM262257 WRI262257 EW327793 OS327793 YO327793 AIK327793 ASG327793 BCC327793 BLY327793 BVU327793 CFQ327793 CPM327793 CZI327793 DJE327793 DTA327793 ECW327793 EMS327793 EWO327793 FGK327793 FQG327793 GAC327793 GJY327793 GTU327793 HDQ327793 HNM327793 HXI327793 IHE327793 IRA327793 JAW327793 JKS327793 JUO327793 KEK327793 KOG327793 KYC327793 LHY327793 LRU327793 MBQ327793 MLM327793 MVI327793 NFE327793 NPA327793 NYW327793 OIS327793 OSO327793 PCK327793 PMG327793 PWC327793 QFY327793 QPU327793 QZQ327793 RJM327793 RTI327793 SDE327793 SNA327793 SWW327793 TGS327793 TQO327793 UAK327793 UKG327793 UUC327793 VDY327793 VNU327793 VXQ327793 WHM327793 WRI327793 EW393329 OS393329 YO393329 AIK393329 ASG393329 BCC393329 BLY393329 BVU393329 CFQ393329 CPM393329 CZI393329 DJE393329 DTA393329 ECW393329 EMS393329 EWO393329 FGK393329 FQG393329 GAC393329 GJY393329 GTU393329 HDQ393329 HNM393329 HXI393329 IHE393329 IRA393329 JAW393329 JKS393329 JUO393329 KEK393329 KOG393329 KYC393329 LHY393329 LRU393329 MBQ393329 MLM393329 MVI393329 NFE393329 NPA393329 NYW393329 OIS393329 OSO393329 PCK393329 PMG393329 PWC393329 QFY393329 QPU393329 QZQ393329 RJM393329 RTI393329 SDE393329 SNA393329 SWW393329 TGS393329 TQO393329 UAK393329 UKG393329 UUC393329 VDY393329 VNU393329 VXQ393329 WHM393329 WRI393329 EW458865 OS458865 YO458865 AIK458865 ASG458865 BCC458865 BLY458865 BVU458865 CFQ458865 CPM458865 CZI458865 DJE458865 DTA458865 ECW458865 EMS458865 EWO458865 FGK458865 FQG458865 GAC458865 GJY458865 GTU458865 HDQ458865 HNM458865 HXI458865 IHE458865 IRA458865 JAW458865 JKS458865 JUO458865 KEK458865 KOG458865 KYC458865 LHY458865 LRU458865 MBQ458865 MLM458865 MVI458865 NFE458865 NPA458865 NYW458865 OIS458865 OSO458865 PCK458865 PMG458865 PWC458865 QFY458865 QPU458865 QZQ458865 RJM458865 RTI458865 SDE458865 SNA458865 SWW458865 TGS458865 TQO458865 UAK458865 UKG458865 UUC458865 VDY458865 VNU458865 VXQ458865 WHM458865 WRI458865 EW524401 OS524401 YO524401 AIK524401 ASG524401 BCC524401 BLY524401 BVU524401 CFQ524401 CPM524401 CZI524401 DJE524401 DTA524401 ECW524401 EMS524401 EWO524401 FGK524401 FQG524401 GAC524401 GJY524401 GTU524401 HDQ524401 HNM524401 HXI524401 IHE524401 IRA524401 JAW524401 JKS524401 JUO524401 KEK524401 KOG524401 KYC524401 LHY524401 LRU524401 MBQ524401 MLM524401 MVI524401 NFE524401 NPA524401 NYW524401 OIS524401 OSO524401 PCK524401 PMG524401 PWC524401 QFY524401 QPU524401 QZQ524401 RJM524401 RTI524401 SDE524401 SNA524401 SWW524401 TGS524401 TQO524401 UAK524401 UKG524401 UUC524401 VDY524401 VNU524401 VXQ524401 WHM524401 WRI524401 EW589937 OS589937 YO589937 AIK589937 ASG589937 BCC589937 BLY589937 BVU589937 CFQ589937 CPM589937 CZI589937 DJE589937 DTA589937 ECW589937 EMS589937 EWO589937 FGK589937 FQG589937 GAC589937 GJY589937 GTU589937 HDQ589937 HNM589937 HXI589937 IHE589937 IRA589937 JAW589937 JKS589937 JUO589937 KEK589937 KOG589937 KYC589937 LHY589937 LRU589937 MBQ589937 MLM589937 MVI589937 NFE589937 NPA589937 NYW589937 OIS589937 OSO589937 PCK589937 PMG589937 PWC589937 QFY589937 QPU589937 QZQ589937 RJM589937 RTI589937 SDE589937 SNA589937 SWW589937 TGS589937 TQO589937 UAK589937 UKG589937 UUC589937 VDY589937 VNU589937 VXQ589937 WHM589937 WRI589937 EW655473 OS655473 YO655473 AIK655473 ASG655473 BCC655473 BLY655473 BVU655473 CFQ655473 CPM655473 CZI655473 DJE655473 DTA655473 ECW655473 EMS655473 EWO655473 FGK655473 FQG655473 GAC655473 GJY655473 GTU655473 HDQ655473 HNM655473 HXI655473 IHE655473 IRA655473 JAW655473 JKS655473 JUO655473 KEK655473 KOG655473 KYC655473 LHY655473 LRU655473 MBQ655473 MLM655473 MVI655473 NFE655473 NPA655473 NYW655473 OIS655473 OSO655473 PCK655473 PMG655473 PWC655473 QFY655473 QPU655473 QZQ655473 RJM655473 RTI655473 SDE655473 SNA655473 SWW655473 TGS655473 TQO655473 UAK655473 UKG655473 UUC655473 VDY655473 VNU655473 VXQ655473 WHM655473 WRI655473 EW721009 OS721009 YO721009 AIK721009 ASG721009 BCC721009 BLY721009 BVU721009 CFQ721009 CPM721009 CZI721009 DJE721009 DTA721009 ECW721009 EMS721009 EWO721009 FGK721009 FQG721009 GAC721009 GJY721009 GTU721009 HDQ721009 HNM721009 HXI721009 IHE721009 IRA721009 JAW721009 JKS721009 JUO721009 KEK721009 KOG721009 KYC721009 LHY721009 LRU721009 MBQ721009 MLM721009 MVI721009 NFE721009 NPA721009 NYW721009 OIS721009 OSO721009 PCK721009 PMG721009 PWC721009 QFY721009 QPU721009 QZQ721009 RJM721009 RTI721009 SDE721009 SNA721009 SWW721009 TGS721009 TQO721009 UAK721009 UKG721009 UUC721009 VDY721009 VNU721009 VXQ721009 WHM721009 WRI721009 EW786545 OS786545 YO786545 AIK786545 ASG786545 BCC786545 BLY786545 BVU786545 CFQ786545 CPM786545 CZI786545 DJE786545 DTA786545 ECW786545 EMS786545 EWO786545 FGK786545 FQG786545 GAC786545 GJY786545 GTU786545 HDQ786545 HNM786545 HXI786545 IHE786545 IRA786545 JAW786545 JKS786545 JUO786545 KEK786545 KOG786545 KYC786545 LHY786545 LRU786545 MBQ786545 MLM786545 MVI786545 NFE786545 NPA786545 NYW786545 OIS786545 OSO786545 PCK786545 PMG786545 PWC786545 QFY786545 QPU786545 QZQ786545 RJM786545 RTI786545 SDE786545 SNA786545 SWW786545 TGS786545 TQO786545 UAK786545 UKG786545 UUC786545 VDY786545 VNU786545 VXQ786545 WHM786545 WRI786545 EW852081 OS852081 YO852081 AIK852081 ASG852081 BCC852081 BLY852081 BVU852081 CFQ852081 CPM852081 CZI852081 DJE852081 DTA852081 ECW852081 EMS852081 EWO852081 FGK852081 FQG852081 GAC852081 GJY852081 GTU852081 HDQ852081 HNM852081 HXI852081 IHE852081 IRA852081 JAW852081 JKS852081 JUO852081 KEK852081 KOG852081 KYC852081 LHY852081 LRU852081 MBQ852081 MLM852081 MVI852081 NFE852081 NPA852081 NYW852081 OIS852081 OSO852081 PCK852081 PMG852081 PWC852081 QFY852081 QPU852081 QZQ852081 RJM852081 RTI852081 SDE852081 SNA852081 SWW852081 TGS852081 TQO852081 UAK852081 UKG852081 UUC852081 VDY852081 VNU852081 VXQ852081 WHM852081 WRI852081 EW917617 OS917617 YO917617 AIK917617 ASG917617 BCC917617 BLY917617 BVU917617 CFQ917617 CPM917617 CZI917617 DJE917617 DTA917617 ECW917617 EMS917617 EWO917617 FGK917617 FQG917617 GAC917617 GJY917617 GTU917617 HDQ917617 HNM917617 HXI917617 IHE917617 IRA917617 JAW917617 JKS917617 JUO917617 KEK917617 KOG917617 KYC917617 LHY917617 LRU917617 MBQ917617 MLM917617 MVI917617 NFE917617 NPA917617 NYW917617 OIS917617 OSO917617 PCK917617 PMG917617 PWC917617 QFY917617 QPU917617 QZQ917617 RJM917617 RTI917617 SDE917617 SNA917617 SWW917617 TGS917617 TQO917617 UAK917617 UKG917617 UUC917617 VDY917617 VNU917617 VXQ917617 WHM917617 WRI917617 EW983153 OS983153 YO983153 AIK983153 ASG983153 BCC983153 BLY983153 BVU983153 CFQ983153 CPM983153 CZI983153 DJE983153 DTA983153 ECW983153 EMS983153 EWO983153 FGK983153 FQG983153 GAC983153 GJY983153 GTU983153 HDQ983153 HNM983153 HXI983153 IHE983153 IRA983153 JAW983153 JKS983153 JUO983153 KEK983153 KOG983153 KYC983153 LHY983153 LRU983153 MBQ983153 MLM983153 MVI983153 NFE983153 NPA983153 NYW983153 OIS983153 OSO983153 PCK983153 PMG983153 PWC983153 QFY983153 QPU983153 QZQ983153 RJM983153 RTI983153 SDE983153 SNA983153 SWW983153 TGS983153 TQO983153 UAK983153 UKG983153 UUC983153 VDY983153 VNU983153 VXQ983153 WHM983153 WRI983153 EW65606 OS65606 YO65606 AIK65606 ASG65606 BCC65606 BLY65606 BVU65606 CFQ65606 CPM65606 CZI65606 DJE65606 DTA65606 ECW65606 EMS65606 EWO65606 FGK65606 FQG65606 GAC65606 GJY65606 GTU65606 HDQ65606 HNM65606 HXI65606 IHE65606 IRA65606 JAW65606 JKS65606 JUO65606 KEK65606 KOG65606 KYC65606 LHY65606 LRU65606 MBQ65606 MLM65606 MVI65606 NFE65606 NPA65606 NYW65606 OIS65606 OSO65606 PCK65606 PMG65606 PWC65606 QFY65606 QPU65606 QZQ65606 RJM65606 RTI65606 SDE65606 SNA65606 SWW65606 TGS65606 TQO65606 UAK65606 UKG65606 UUC65606 VDY65606 VNU65606 VXQ65606 WHM65606 WRI65606 EW131142 OS131142 YO131142 AIK131142 ASG131142 BCC131142 BLY131142 BVU131142 CFQ131142 CPM131142 CZI131142 DJE131142 DTA131142 ECW131142 EMS131142 EWO131142 FGK131142 FQG131142 GAC131142 GJY131142 GTU131142 HDQ131142 HNM131142 HXI131142 IHE131142 IRA131142 JAW131142 JKS131142 JUO131142 KEK131142 KOG131142 KYC131142 LHY131142 LRU131142 MBQ131142 MLM131142 MVI131142 NFE131142 NPA131142 NYW131142 OIS131142 OSO131142 PCK131142 PMG131142 PWC131142 QFY131142 QPU131142 QZQ131142 RJM131142 RTI131142 SDE131142 SNA131142 SWW131142 TGS131142 TQO131142 UAK131142 UKG131142 UUC131142 VDY131142 VNU131142 VXQ131142 WHM131142 WRI131142 EW196678 OS196678 YO196678 AIK196678 ASG196678 BCC196678 BLY196678 BVU196678 CFQ196678 CPM196678 CZI196678 DJE196678 DTA196678 ECW196678 EMS196678 EWO196678 FGK196678 FQG196678 GAC196678 GJY196678 GTU196678 HDQ196678 HNM196678 HXI196678 IHE196678 IRA196678 JAW196678 JKS196678 JUO196678 KEK196678 KOG196678 KYC196678 LHY196678 LRU196678 MBQ196678 MLM196678 MVI196678 NFE196678 NPA196678 NYW196678 OIS196678 OSO196678 PCK196678 PMG196678 PWC196678 QFY196678 QPU196678 QZQ196678 RJM196678 RTI196678 SDE196678 SNA196678 SWW196678 TGS196678 TQO196678 UAK196678 UKG196678 UUC196678 VDY196678 VNU196678 VXQ196678 WHM196678 WRI196678 EW262214 OS262214 YO262214 AIK262214 ASG262214 BCC262214 BLY262214 BVU262214 CFQ262214 CPM262214 CZI262214 DJE262214 DTA262214 ECW262214 EMS262214 EWO262214 FGK262214 FQG262214 GAC262214 GJY262214 GTU262214 HDQ262214 HNM262214 HXI262214 IHE262214 IRA262214 JAW262214 JKS262214 JUO262214 KEK262214 KOG262214 KYC262214 LHY262214 LRU262214 MBQ262214 MLM262214 MVI262214 NFE262214 NPA262214 NYW262214 OIS262214 OSO262214 PCK262214 PMG262214 PWC262214 QFY262214 QPU262214 QZQ262214 RJM262214 RTI262214 SDE262214 SNA262214 SWW262214 TGS262214 TQO262214 UAK262214 UKG262214 UUC262214 VDY262214 VNU262214 VXQ262214 WHM262214 WRI262214 EW327750 OS327750 YO327750 AIK327750 ASG327750 BCC327750 BLY327750 BVU327750 CFQ327750 CPM327750 CZI327750 DJE327750 DTA327750 ECW327750 EMS327750 EWO327750 FGK327750 FQG327750 GAC327750 GJY327750 GTU327750 HDQ327750 HNM327750 HXI327750 IHE327750 IRA327750 JAW327750 JKS327750 JUO327750 KEK327750 KOG327750 KYC327750 LHY327750 LRU327750 MBQ327750 MLM327750 MVI327750 NFE327750 NPA327750 NYW327750 OIS327750 OSO327750 PCK327750 PMG327750 PWC327750 QFY327750 QPU327750 QZQ327750 RJM327750 RTI327750 SDE327750 SNA327750 SWW327750 TGS327750 TQO327750 UAK327750 UKG327750 UUC327750 VDY327750 VNU327750 VXQ327750 WHM327750 WRI327750 EW393286 OS393286 YO393286 AIK393286 ASG393286 BCC393286 BLY393286 BVU393286 CFQ393286 CPM393286 CZI393286 DJE393286 DTA393286 ECW393286 EMS393286 EWO393286 FGK393286 FQG393286 GAC393286 GJY393286 GTU393286 HDQ393286 HNM393286 HXI393286 IHE393286 IRA393286 JAW393286 JKS393286 JUO393286 KEK393286 KOG393286 KYC393286 LHY393286 LRU393286 MBQ393286 MLM393286 MVI393286 NFE393286 NPA393286 NYW393286 OIS393286 OSO393286 PCK393286 PMG393286 PWC393286 QFY393286 QPU393286 QZQ393286 RJM393286 RTI393286 SDE393286 SNA393286 SWW393286 TGS393286 TQO393286 UAK393286 UKG393286 UUC393286 VDY393286 VNU393286 VXQ393286 WHM393286 WRI393286 EW458822 OS458822 YO458822 AIK458822 ASG458822 BCC458822 BLY458822 BVU458822 CFQ458822 CPM458822 CZI458822 DJE458822 DTA458822 ECW458822 EMS458822 EWO458822 FGK458822 FQG458822 GAC458822 GJY458822 GTU458822 HDQ458822 HNM458822 HXI458822 IHE458822 IRA458822 JAW458822 JKS458822 JUO458822 KEK458822 KOG458822 KYC458822 LHY458822 LRU458822 MBQ458822 MLM458822 MVI458822 NFE458822 NPA458822 NYW458822 OIS458822 OSO458822 PCK458822 PMG458822 PWC458822 QFY458822 QPU458822 QZQ458822 RJM458822 RTI458822 SDE458822 SNA458822 SWW458822 TGS458822 TQO458822 UAK458822 UKG458822 UUC458822 VDY458822 VNU458822 VXQ458822 WHM458822 WRI458822 EW524358 OS524358 YO524358 AIK524358 ASG524358 BCC524358 BLY524358 BVU524358 CFQ524358 CPM524358 CZI524358 DJE524358 DTA524358 ECW524358 EMS524358 EWO524358 FGK524358 FQG524358 GAC524358 GJY524358 GTU524358 HDQ524358 HNM524358 HXI524358 IHE524358 IRA524358 JAW524358 JKS524358 JUO524358 KEK524358 KOG524358 KYC524358 LHY524358 LRU524358 MBQ524358 MLM524358 MVI524358 NFE524358 NPA524358 NYW524358 OIS524358 OSO524358 PCK524358 PMG524358 PWC524358 QFY524358 QPU524358 QZQ524358 RJM524358 RTI524358 SDE524358 SNA524358 SWW524358 TGS524358 TQO524358 UAK524358 UKG524358 UUC524358 VDY524358 VNU524358 VXQ524358 WHM524358 WRI524358 EW589894 OS589894 YO589894 AIK589894 ASG589894 BCC589894 BLY589894 BVU589894 CFQ589894 CPM589894 CZI589894 DJE589894 DTA589894 ECW589894 EMS589894 EWO589894 FGK589894 FQG589894 GAC589894 GJY589894 GTU589894 HDQ589894 HNM589894 HXI589894 IHE589894 IRA589894 JAW589894 JKS589894 JUO589894 KEK589894 KOG589894 KYC589894 LHY589894 LRU589894 MBQ589894 MLM589894 MVI589894 NFE589894 NPA589894 NYW589894 OIS589894 OSO589894 PCK589894 PMG589894 PWC589894 QFY589894 QPU589894 QZQ589894 RJM589894 RTI589894 SDE589894 SNA589894 SWW589894 TGS589894 TQO589894 UAK589894 UKG589894 UUC589894 VDY589894 VNU589894 VXQ589894 WHM589894 WRI589894 EW655430 OS655430 YO655430 AIK655430 ASG655430 BCC655430 BLY655430 BVU655430 CFQ655430 CPM655430 CZI655430 DJE655430 DTA655430 ECW655430 EMS655430 EWO655430 FGK655430 FQG655430 GAC655430 GJY655430 GTU655430 HDQ655430 HNM655430 HXI655430 IHE655430 IRA655430 JAW655430 JKS655430 JUO655430 KEK655430 KOG655430 KYC655430 LHY655430 LRU655430 MBQ655430 MLM655430 MVI655430 NFE655430 NPA655430 NYW655430 OIS655430 OSO655430 PCK655430 PMG655430 PWC655430 QFY655430 QPU655430 QZQ655430 RJM655430 RTI655430 SDE655430 SNA655430 SWW655430 TGS655430 TQO655430 UAK655430 UKG655430 UUC655430 VDY655430 VNU655430 VXQ655430 WHM655430 WRI655430 EW720966 OS720966 YO720966 AIK720966 ASG720966 BCC720966 BLY720966 BVU720966 CFQ720966 CPM720966 CZI720966 DJE720966 DTA720966 ECW720966 EMS720966 EWO720966 FGK720966 FQG720966 GAC720966 GJY720966 GTU720966 HDQ720966 HNM720966 HXI720966 IHE720966 IRA720966 JAW720966 JKS720966 JUO720966 KEK720966 KOG720966 KYC720966 LHY720966 LRU720966 MBQ720966 MLM720966 MVI720966 NFE720966 NPA720966 NYW720966 OIS720966 OSO720966 PCK720966 PMG720966 PWC720966 QFY720966 QPU720966 QZQ720966 RJM720966 RTI720966 SDE720966 SNA720966 SWW720966 TGS720966 TQO720966 UAK720966 UKG720966 UUC720966 VDY720966 VNU720966 VXQ720966 WHM720966 WRI720966 EW786502 OS786502 YO786502 AIK786502 ASG786502 BCC786502 BLY786502 BVU786502 CFQ786502 CPM786502 CZI786502 DJE786502 DTA786502 ECW786502 EMS786502 EWO786502 FGK786502 FQG786502 GAC786502 GJY786502 GTU786502 HDQ786502 HNM786502 HXI786502 IHE786502 IRA786502 JAW786502 JKS786502 JUO786502 KEK786502 KOG786502 KYC786502 LHY786502 LRU786502 MBQ786502 MLM786502 MVI786502 NFE786502 NPA786502 NYW786502 OIS786502 OSO786502 PCK786502 PMG786502 PWC786502 QFY786502 QPU786502 QZQ786502 RJM786502 RTI786502 SDE786502 SNA786502 SWW786502 TGS786502 TQO786502 UAK786502 UKG786502 UUC786502 VDY786502 VNU786502 VXQ786502 WHM786502 WRI786502 EW852038 OS852038 YO852038 AIK852038 ASG852038 BCC852038 BLY852038 BVU852038 CFQ852038 CPM852038 CZI852038 DJE852038 DTA852038 ECW852038 EMS852038 EWO852038 FGK852038 FQG852038 GAC852038 GJY852038 GTU852038 HDQ852038 HNM852038 HXI852038 IHE852038 IRA852038 JAW852038 JKS852038 JUO852038 KEK852038 KOG852038 KYC852038 LHY852038 LRU852038 MBQ852038 MLM852038 MVI852038 NFE852038 NPA852038 NYW852038 OIS852038 OSO852038 PCK852038 PMG852038 PWC852038 QFY852038 QPU852038 QZQ852038 RJM852038 RTI852038 SDE852038 SNA852038 SWW852038 TGS852038 TQO852038 UAK852038 UKG852038 UUC852038 VDY852038 VNU852038 VXQ852038 WHM852038 WRI852038 EW917574 OS917574 YO917574 AIK917574 ASG917574 BCC917574 BLY917574 BVU917574 CFQ917574 CPM917574 CZI917574 DJE917574 DTA917574 ECW917574 EMS917574 EWO917574 FGK917574 FQG917574 GAC917574 GJY917574 GTU917574 HDQ917574 HNM917574 HXI917574 IHE917574 IRA917574 JAW917574 JKS917574 JUO917574 KEK917574 KOG917574 KYC917574 LHY917574 LRU917574 MBQ917574 MLM917574 MVI917574 NFE917574 NPA917574 NYW917574 OIS917574 OSO917574 PCK917574 PMG917574 PWC917574 QFY917574 QPU917574 QZQ917574 RJM917574 RTI917574 SDE917574 SNA917574 SWW917574 TGS917574 TQO917574 UAK917574 UKG917574 UUC917574 VDY917574 VNU917574 VXQ917574 WHM917574 WRI917574 EW983110 OS983110 YO983110 AIK983110 ASG983110 BCC983110 BLY983110 BVU983110 CFQ983110 CPM983110 CZI983110 DJE983110 DTA983110 ECW983110 EMS983110 EWO983110 FGK983110 FQG983110 GAC983110 GJY983110 GTU983110 HDQ983110 HNM983110 HXI983110 IHE983110 IRA983110 JAW983110 JKS983110 JUO983110 KEK983110 KOG983110 KYC983110 LHY983110 LRU983110 MBQ983110 MLM983110 MVI983110 NFE983110 NPA983110 NYW983110 OIS983110 OSO983110 PCK983110 PMG983110 PWC983110 QFY983110 QPU983110 QZQ983110 RJM983110 RTI983110 SDE983110 SNA983110 SWW983110 TGS983110 TQO983110 UAK983110 UKG983110 UUC983110 VDY983110 VNU983110 VXQ983110 WHM983110 WRI983110 EW65628 OS65628 YO65628 AIK65628 ASG65628 BCC65628 BLY65628 BVU65628 CFQ65628 CPM65628 CZI65628 DJE65628 DTA65628 ECW65628 EMS65628 EWO65628 FGK65628 FQG65628 GAC65628 GJY65628 GTU65628 HDQ65628 HNM65628 HXI65628 IHE65628 IRA65628 JAW65628 JKS65628 JUO65628 KEK65628 KOG65628 KYC65628 LHY65628 LRU65628 MBQ65628 MLM65628 MVI65628 NFE65628 NPA65628 NYW65628 OIS65628 OSO65628 PCK65628 PMG65628 PWC65628 QFY65628 QPU65628 QZQ65628 RJM65628 RTI65628 SDE65628 SNA65628 SWW65628 TGS65628 TQO65628 UAK65628 UKG65628 UUC65628 VDY65628 VNU65628 VXQ65628 WHM65628 WRI65628 EW131164 OS131164 YO131164 AIK131164 ASG131164 BCC131164 BLY131164 BVU131164 CFQ131164 CPM131164 CZI131164 DJE131164 DTA131164 ECW131164 EMS131164 EWO131164 FGK131164 FQG131164 GAC131164 GJY131164 GTU131164 HDQ131164 HNM131164 HXI131164 IHE131164 IRA131164 JAW131164 JKS131164 JUO131164 KEK131164 KOG131164 KYC131164 LHY131164 LRU131164 MBQ131164 MLM131164 MVI131164 NFE131164 NPA131164 NYW131164 OIS131164 OSO131164 PCK131164 PMG131164 PWC131164 QFY131164 QPU131164 QZQ131164 RJM131164 RTI131164 SDE131164 SNA131164 SWW131164 TGS131164 TQO131164 UAK131164 UKG131164 UUC131164 VDY131164 VNU131164 VXQ131164 WHM131164 WRI131164 EW196700 OS196700 YO196700 AIK196700 ASG196700 BCC196700 BLY196700 BVU196700 CFQ196700 CPM196700 CZI196700 DJE196700 DTA196700 ECW196700 EMS196700 EWO196700 FGK196700 FQG196700 GAC196700 GJY196700 GTU196700 HDQ196700 HNM196700 HXI196700 IHE196700 IRA196700 JAW196700 JKS196700 JUO196700 KEK196700 KOG196700 KYC196700 LHY196700 LRU196700 MBQ196700 MLM196700 MVI196700 NFE196700 NPA196700 NYW196700 OIS196700 OSO196700 PCK196700 PMG196700 PWC196700 QFY196700 QPU196700 QZQ196700 RJM196700 RTI196700 SDE196700 SNA196700 SWW196700 TGS196700 TQO196700 UAK196700 UKG196700 UUC196700 VDY196700 VNU196700 VXQ196700 WHM196700 WRI196700 EW262236 OS262236 YO262236 AIK262236 ASG262236 BCC262236 BLY262236 BVU262236 CFQ262236 CPM262236 CZI262236 DJE262236 DTA262236 ECW262236 EMS262236 EWO262236 FGK262236 FQG262236 GAC262236 GJY262236 GTU262236 HDQ262236 HNM262236 HXI262236 IHE262236 IRA262236 JAW262236 JKS262236 JUO262236 KEK262236 KOG262236 KYC262236 LHY262236 LRU262236 MBQ262236 MLM262236 MVI262236 NFE262236 NPA262236 NYW262236 OIS262236 OSO262236 PCK262236 PMG262236 PWC262236 QFY262236 QPU262236 QZQ262236 RJM262236 RTI262236 SDE262236 SNA262236 SWW262236 TGS262236 TQO262236 UAK262236 UKG262236 UUC262236 VDY262236 VNU262236 VXQ262236 WHM262236 WRI262236 EW327772 OS327772 YO327772 AIK327772 ASG327772 BCC327772 BLY327772 BVU327772 CFQ327772 CPM327772 CZI327772 DJE327772 DTA327772 ECW327772 EMS327772 EWO327772 FGK327772 FQG327772 GAC327772 GJY327772 GTU327772 HDQ327772 HNM327772 HXI327772 IHE327772 IRA327772 JAW327772 JKS327772 JUO327772 KEK327772 KOG327772 KYC327772 LHY327772 LRU327772 MBQ327772 MLM327772 MVI327772 NFE327772 NPA327772 NYW327772 OIS327772 OSO327772 PCK327772 PMG327772 PWC327772 QFY327772 QPU327772 QZQ327772 RJM327772 RTI327772 SDE327772 SNA327772 SWW327772 TGS327772 TQO327772 UAK327772 UKG327772 UUC327772 VDY327772 VNU327772 VXQ327772 WHM327772 WRI327772 EW393308 OS393308 YO393308 AIK393308 ASG393308 BCC393308 BLY393308 BVU393308 CFQ393308 CPM393308 CZI393308 DJE393308 DTA393308 ECW393308 EMS393308 EWO393308 FGK393308 FQG393308 GAC393308 GJY393308 GTU393308 HDQ393308 HNM393308 HXI393308 IHE393308 IRA393308 JAW393308 JKS393308 JUO393308 KEK393308 KOG393308 KYC393308 LHY393308 LRU393308 MBQ393308 MLM393308 MVI393308 NFE393308 NPA393308 NYW393308 OIS393308 OSO393308 PCK393308 PMG393308 PWC393308 QFY393308 QPU393308 QZQ393308 RJM393308 RTI393308 SDE393308 SNA393308 SWW393308 TGS393308 TQO393308 UAK393308 UKG393308 UUC393308 VDY393308 VNU393308 VXQ393308 WHM393308 WRI393308 EW458844 OS458844 YO458844 AIK458844 ASG458844 BCC458844 BLY458844 BVU458844 CFQ458844 CPM458844 CZI458844 DJE458844 DTA458844 ECW458844 EMS458844 EWO458844 FGK458844 FQG458844 GAC458844 GJY458844 GTU458844 HDQ458844 HNM458844 HXI458844 IHE458844 IRA458844 JAW458844 JKS458844 JUO458844 KEK458844 KOG458844 KYC458844 LHY458844 LRU458844 MBQ458844 MLM458844 MVI458844 NFE458844 NPA458844 NYW458844 OIS458844 OSO458844 PCK458844 PMG458844 PWC458844 QFY458844 QPU458844 QZQ458844 RJM458844 RTI458844 SDE458844 SNA458844 SWW458844 TGS458844 TQO458844 UAK458844 UKG458844 UUC458844 VDY458844 VNU458844 VXQ458844 WHM458844 WRI458844 EW524380 OS524380 YO524380 AIK524380 ASG524380 BCC524380 BLY524380 BVU524380 CFQ524380 CPM524380 CZI524380 DJE524380 DTA524380 ECW524380 EMS524380 EWO524380 FGK524380 FQG524380 GAC524380 GJY524380 GTU524380 HDQ524380 HNM524380 HXI524380 IHE524380 IRA524380 JAW524380 JKS524380 JUO524380 KEK524380 KOG524380 KYC524380 LHY524380 LRU524380 MBQ524380 MLM524380 MVI524380 NFE524380 NPA524380 NYW524380 OIS524380 OSO524380 PCK524380 PMG524380 PWC524380 QFY524380 QPU524380 QZQ524380 RJM524380 RTI524380 SDE524380 SNA524380 SWW524380 TGS524380 TQO524380 UAK524380 UKG524380 UUC524380 VDY524380 VNU524380 VXQ524380 WHM524380 WRI524380 EW589916 OS589916 YO589916 AIK589916 ASG589916 BCC589916 BLY589916 BVU589916 CFQ589916 CPM589916 CZI589916 DJE589916 DTA589916 ECW589916 EMS589916 EWO589916 FGK589916 FQG589916 GAC589916 GJY589916 GTU589916 HDQ589916 HNM589916 HXI589916 IHE589916 IRA589916 JAW589916 JKS589916 JUO589916 KEK589916 KOG589916 KYC589916 LHY589916 LRU589916 MBQ589916 MLM589916 MVI589916 NFE589916 NPA589916 NYW589916 OIS589916 OSO589916 PCK589916 PMG589916 PWC589916 QFY589916 QPU589916 QZQ589916 RJM589916 RTI589916 SDE589916 SNA589916 SWW589916 TGS589916 TQO589916 UAK589916 UKG589916 UUC589916 VDY589916 VNU589916 VXQ589916 WHM589916 WRI589916 EW655452 OS655452 YO655452 AIK655452 ASG655452 BCC655452 BLY655452 BVU655452 CFQ655452 CPM655452 CZI655452 DJE655452 DTA655452 ECW655452 EMS655452 EWO655452 FGK655452 FQG655452 GAC655452 GJY655452 GTU655452 HDQ655452 HNM655452 HXI655452 IHE655452 IRA655452 JAW655452 JKS655452 JUO655452 KEK655452 KOG655452 KYC655452 LHY655452 LRU655452 MBQ655452 MLM655452 MVI655452 NFE655452 NPA655452 NYW655452 OIS655452 OSO655452 PCK655452 PMG655452 PWC655452 QFY655452 QPU655452 QZQ655452 RJM655452 RTI655452 SDE655452 SNA655452 SWW655452 TGS655452 TQO655452 UAK655452 UKG655452 UUC655452 VDY655452 VNU655452 VXQ655452 WHM655452 WRI655452 EW720988 OS720988 YO720988 AIK720988 ASG720988 BCC720988 BLY720988 BVU720988 CFQ720988 CPM720988 CZI720988 DJE720988 DTA720988 ECW720988 EMS720988 EWO720988 FGK720988 FQG720988 GAC720988 GJY720988 GTU720988 HDQ720988 HNM720988 HXI720988 IHE720988 IRA720988 JAW720988 JKS720988 JUO720988 KEK720988 KOG720988 KYC720988 LHY720988 LRU720988 MBQ720988 MLM720988 MVI720988 NFE720988 NPA720988 NYW720988 OIS720988 OSO720988 PCK720988 PMG720988 PWC720988 QFY720988 QPU720988 QZQ720988 RJM720988 RTI720988 SDE720988 SNA720988 SWW720988 TGS720988 TQO720988 UAK720988 UKG720988 UUC720988 VDY720988 VNU720988 VXQ720988 WHM720988 WRI720988 EW786524 OS786524 YO786524 AIK786524 ASG786524 BCC786524 BLY786524 BVU786524 CFQ786524 CPM786524 CZI786524 DJE786524 DTA786524 ECW786524 EMS786524 EWO786524 FGK786524 FQG786524 GAC786524 GJY786524 GTU786524 HDQ786524 HNM786524 HXI786524 IHE786524 IRA786524 JAW786524 JKS786524 JUO786524 KEK786524 KOG786524 KYC786524 LHY786524 LRU786524 MBQ786524 MLM786524 MVI786524 NFE786524 NPA786524 NYW786524 OIS786524 OSO786524 PCK786524 PMG786524 PWC786524 QFY786524 QPU786524 QZQ786524 RJM786524 RTI786524 SDE786524 SNA786524 SWW786524 TGS786524 TQO786524 UAK786524 UKG786524 UUC786524 VDY786524 VNU786524 VXQ786524 WHM786524 WRI786524 EW852060 OS852060 YO852060 AIK852060 ASG852060 BCC852060 BLY852060 BVU852060 CFQ852060 CPM852060 CZI852060 DJE852060 DTA852060 ECW852060 EMS852060 EWO852060 FGK852060 FQG852060 GAC852060 GJY852060 GTU852060 HDQ852060 HNM852060 HXI852060 IHE852060 IRA852060 JAW852060 JKS852060 JUO852060 KEK852060 KOG852060 KYC852060 LHY852060 LRU852060 MBQ852060 MLM852060 MVI852060 NFE852060 NPA852060 NYW852060 OIS852060 OSO852060 PCK852060 PMG852060 PWC852060 QFY852060 QPU852060 QZQ852060 RJM852060 RTI852060 SDE852060 SNA852060 SWW852060 TGS852060 TQO852060 UAK852060 UKG852060 UUC852060 VDY852060 VNU852060 VXQ852060 WHM852060 WRI852060 EW917596 OS917596 YO917596 AIK917596 ASG917596 BCC917596 BLY917596 BVU917596 CFQ917596 CPM917596 CZI917596 DJE917596 DTA917596 ECW917596 EMS917596 EWO917596 FGK917596 FQG917596 GAC917596 GJY917596 GTU917596 HDQ917596 HNM917596 HXI917596 IHE917596 IRA917596 JAW917596 JKS917596 JUO917596 KEK917596 KOG917596 KYC917596 LHY917596 LRU917596 MBQ917596 MLM917596 MVI917596 NFE917596 NPA917596 NYW917596 OIS917596 OSO917596 PCK917596 PMG917596 PWC917596 QFY917596 QPU917596 QZQ917596 RJM917596 RTI917596 SDE917596 SNA917596 SWW917596 TGS917596 TQO917596 UAK917596 UKG917596 UUC917596 VDY917596 VNU917596 VXQ917596 WHM917596 WRI917596 EW983132 OS983132 YO983132 AIK983132 ASG983132 BCC983132 BLY983132 BVU983132 CFQ983132 CPM983132 CZI983132 DJE983132 DTA983132 ECW983132 EMS983132 EWO983132 FGK983132 FQG983132 GAC983132 GJY983132 GTU983132 HDQ983132 HNM983132 HXI983132 IHE983132 IRA983132 JAW983132 JKS983132 JUO983132 KEK983132 KOG983132 KYC983132 LHY983132 LRU983132 MBQ983132 MLM983132 MVI983132 NFE983132 NPA983132 NYW983132 OIS983132 OSO983132 PCK983132 PMG983132 PWC983132 QFY983132 QPU983132 QZQ983132 RJM983132 RTI983132 SDE983132 SNA983132 SWW983132 TGS983132 TQO983132 UAK983132 UKG983132 UUC983132 VDY983132 VNU983132 VXQ983132 WHM983132 WRI983132 EW65639:EW65647 OS65639:OS65647 YO65639:YO65647 AIK65639:AIK65647 ASG65639:ASG65647 BCC65639:BCC65647 BLY65639:BLY65647 BVU65639:BVU65647 CFQ65639:CFQ65647 CPM65639:CPM65647 CZI65639:CZI65647 DJE65639:DJE65647 DTA65639:DTA65647 ECW65639:ECW65647 EMS65639:EMS65647 EWO65639:EWO65647 FGK65639:FGK65647 FQG65639:FQG65647 GAC65639:GAC65647 GJY65639:GJY65647 GTU65639:GTU65647 HDQ65639:HDQ65647 HNM65639:HNM65647 HXI65639:HXI65647 IHE65639:IHE65647 IRA65639:IRA65647 JAW65639:JAW65647 JKS65639:JKS65647 JUO65639:JUO65647 KEK65639:KEK65647 KOG65639:KOG65647 KYC65639:KYC65647 LHY65639:LHY65647 LRU65639:LRU65647 MBQ65639:MBQ65647 MLM65639:MLM65647 MVI65639:MVI65647 NFE65639:NFE65647 NPA65639:NPA65647 NYW65639:NYW65647 OIS65639:OIS65647 OSO65639:OSO65647 PCK65639:PCK65647 PMG65639:PMG65647 PWC65639:PWC65647 QFY65639:QFY65647 QPU65639:QPU65647 QZQ65639:QZQ65647 RJM65639:RJM65647 RTI65639:RTI65647 SDE65639:SDE65647 SNA65639:SNA65647 SWW65639:SWW65647 TGS65639:TGS65647 TQO65639:TQO65647 UAK65639:UAK65647 UKG65639:UKG65647 UUC65639:UUC65647 VDY65639:VDY65647 VNU65639:VNU65647 VXQ65639:VXQ65647 WHM65639:WHM65647 WRI65639:WRI65647 EW131175:EW131183 OS131175:OS131183 YO131175:YO131183 AIK131175:AIK131183 ASG131175:ASG131183 BCC131175:BCC131183 BLY131175:BLY131183 BVU131175:BVU131183 CFQ131175:CFQ131183 CPM131175:CPM131183 CZI131175:CZI131183 DJE131175:DJE131183 DTA131175:DTA131183 ECW131175:ECW131183 EMS131175:EMS131183 EWO131175:EWO131183 FGK131175:FGK131183 FQG131175:FQG131183 GAC131175:GAC131183 GJY131175:GJY131183 GTU131175:GTU131183 HDQ131175:HDQ131183 HNM131175:HNM131183 HXI131175:HXI131183 IHE131175:IHE131183 IRA131175:IRA131183 JAW131175:JAW131183 JKS131175:JKS131183 JUO131175:JUO131183 KEK131175:KEK131183 KOG131175:KOG131183 KYC131175:KYC131183 LHY131175:LHY131183 LRU131175:LRU131183 MBQ131175:MBQ131183 MLM131175:MLM131183 MVI131175:MVI131183 NFE131175:NFE131183 NPA131175:NPA131183 NYW131175:NYW131183 OIS131175:OIS131183 OSO131175:OSO131183 PCK131175:PCK131183 PMG131175:PMG131183 PWC131175:PWC131183 QFY131175:QFY131183 QPU131175:QPU131183 QZQ131175:QZQ131183 RJM131175:RJM131183 RTI131175:RTI131183 SDE131175:SDE131183 SNA131175:SNA131183 SWW131175:SWW131183 TGS131175:TGS131183 TQO131175:TQO131183 UAK131175:UAK131183 UKG131175:UKG131183 UUC131175:UUC131183 VDY131175:VDY131183 VNU131175:VNU131183 VXQ131175:VXQ131183 WHM131175:WHM131183 WRI131175:WRI131183 EW196711:EW196719 OS196711:OS196719 YO196711:YO196719 AIK196711:AIK196719 ASG196711:ASG196719 BCC196711:BCC196719 BLY196711:BLY196719 BVU196711:BVU196719 CFQ196711:CFQ196719 CPM196711:CPM196719 CZI196711:CZI196719 DJE196711:DJE196719 DTA196711:DTA196719 ECW196711:ECW196719 EMS196711:EMS196719 EWO196711:EWO196719 FGK196711:FGK196719 FQG196711:FQG196719 GAC196711:GAC196719 GJY196711:GJY196719 GTU196711:GTU196719 HDQ196711:HDQ196719 HNM196711:HNM196719 HXI196711:HXI196719 IHE196711:IHE196719 IRA196711:IRA196719 JAW196711:JAW196719 JKS196711:JKS196719 JUO196711:JUO196719 KEK196711:KEK196719 KOG196711:KOG196719 KYC196711:KYC196719 LHY196711:LHY196719 LRU196711:LRU196719 MBQ196711:MBQ196719 MLM196711:MLM196719 MVI196711:MVI196719 NFE196711:NFE196719 NPA196711:NPA196719 NYW196711:NYW196719 OIS196711:OIS196719 OSO196711:OSO196719 PCK196711:PCK196719 PMG196711:PMG196719 PWC196711:PWC196719 QFY196711:QFY196719 QPU196711:QPU196719 QZQ196711:QZQ196719 RJM196711:RJM196719 RTI196711:RTI196719 SDE196711:SDE196719 SNA196711:SNA196719 SWW196711:SWW196719 TGS196711:TGS196719 TQO196711:TQO196719 UAK196711:UAK196719 UKG196711:UKG196719 UUC196711:UUC196719 VDY196711:VDY196719 VNU196711:VNU196719 VXQ196711:VXQ196719 WHM196711:WHM196719 WRI196711:WRI196719 EW262247:EW262255 OS262247:OS262255 YO262247:YO262255 AIK262247:AIK262255 ASG262247:ASG262255 BCC262247:BCC262255 BLY262247:BLY262255 BVU262247:BVU262255 CFQ262247:CFQ262255 CPM262247:CPM262255 CZI262247:CZI262255 DJE262247:DJE262255 DTA262247:DTA262255 ECW262247:ECW262255 EMS262247:EMS262255 EWO262247:EWO262255 FGK262247:FGK262255 FQG262247:FQG262255 GAC262247:GAC262255 GJY262247:GJY262255 GTU262247:GTU262255 HDQ262247:HDQ262255 HNM262247:HNM262255 HXI262247:HXI262255 IHE262247:IHE262255 IRA262247:IRA262255 JAW262247:JAW262255 JKS262247:JKS262255 JUO262247:JUO262255 KEK262247:KEK262255 KOG262247:KOG262255 KYC262247:KYC262255 LHY262247:LHY262255 LRU262247:LRU262255 MBQ262247:MBQ262255 MLM262247:MLM262255 MVI262247:MVI262255 NFE262247:NFE262255 NPA262247:NPA262255 NYW262247:NYW262255 OIS262247:OIS262255 OSO262247:OSO262255 PCK262247:PCK262255 PMG262247:PMG262255 PWC262247:PWC262255 QFY262247:QFY262255 QPU262247:QPU262255 QZQ262247:QZQ262255 RJM262247:RJM262255 RTI262247:RTI262255 SDE262247:SDE262255 SNA262247:SNA262255 SWW262247:SWW262255 TGS262247:TGS262255 TQO262247:TQO262255 UAK262247:UAK262255 UKG262247:UKG262255 UUC262247:UUC262255 VDY262247:VDY262255 VNU262247:VNU262255 VXQ262247:VXQ262255 WHM262247:WHM262255 WRI262247:WRI262255 EW327783:EW327791 OS327783:OS327791 YO327783:YO327791 AIK327783:AIK327791 ASG327783:ASG327791 BCC327783:BCC327791 BLY327783:BLY327791 BVU327783:BVU327791 CFQ327783:CFQ327791 CPM327783:CPM327791 CZI327783:CZI327791 DJE327783:DJE327791 DTA327783:DTA327791 ECW327783:ECW327791 EMS327783:EMS327791 EWO327783:EWO327791 FGK327783:FGK327791 FQG327783:FQG327791 GAC327783:GAC327791 GJY327783:GJY327791 GTU327783:GTU327791 HDQ327783:HDQ327791 HNM327783:HNM327791 HXI327783:HXI327791 IHE327783:IHE327791 IRA327783:IRA327791 JAW327783:JAW327791 JKS327783:JKS327791 JUO327783:JUO327791 KEK327783:KEK327791 KOG327783:KOG327791 KYC327783:KYC327791 LHY327783:LHY327791 LRU327783:LRU327791 MBQ327783:MBQ327791 MLM327783:MLM327791 MVI327783:MVI327791 NFE327783:NFE327791 NPA327783:NPA327791 NYW327783:NYW327791 OIS327783:OIS327791 OSO327783:OSO327791 PCK327783:PCK327791 PMG327783:PMG327791 PWC327783:PWC327791 QFY327783:QFY327791 QPU327783:QPU327791 QZQ327783:QZQ327791 RJM327783:RJM327791 RTI327783:RTI327791 SDE327783:SDE327791 SNA327783:SNA327791 SWW327783:SWW327791 TGS327783:TGS327791 TQO327783:TQO327791 UAK327783:UAK327791 UKG327783:UKG327791 UUC327783:UUC327791 VDY327783:VDY327791 VNU327783:VNU327791 VXQ327783:VXQ327791 WHM327783:WHM327791 WRI327783:WRI327791 EW393319:EW393327 OS393319:OS393327 YO393319:YO393327 AIK393319:AIK393327 ASG393319:ASG393327 BCC393319:BCC393327 BLY393319:BLY393327 BVU393319:BVU393327 CFQ393319:CFQ393327 CPM393319:CPM393327 CZI393319:CZI393327 DJE393319:DJE393327 DTA393319:DTA393327 ECW393319:ECW393327 EMS393319:EMS393327 EWO393319:EWO393327 FGK393319:FGK393327 FQG393319:FQG393327 GAC393319:GAC393327 GJY393319:GJY393327 GTU393319:GTU393327 HDQ393319:HDQ393327 HNM393319:HNM393327 HXI393319:HXI393327 IHE393319:IHE393327 IRA393319:IRA393327 JAW393319:JAW393327 JKS393319:JKS393327 JUO393319:JUO393327 KEK393319:KEK393327 KOG393319:KOG393327 KYC393319:KYC393327 LHY393319:LHY393327 LRU393319:LRU393327 MBQ393319:MBQ393327 MLM393319:MLM393327 MVI393319:MVI393327 NFE393319:NFE393327 NPA393319:NPA393327 NYW393319:NYW393327 OIS393319:OIS393327 OSO393319:OSO393327 PCK393319:PCK393327 PMG393319:PMG393327 PWC393319:PWC393327 QFY393319:QFY393327 QPU393319:QPU393327 QZQ393319:QZQ393327 RJM393319:RJM393327 RTI393319:RTI393327 SDE393319:SDE393327 SNA393319:SNA393327 SWW393319:SWW393327 TGS393319:TGS393327 TQO393319:TQO393327 UAK393319:UAK393327 UKG393319:UKG393327 UUC393319:UUC393327 VDY393319:VDY393327 VNU393319:VNU393327 VXQ393319:VXQ393327 WHM393319:WHM393327 WRI393319:WRI393327 EW458855:EW458863 OS458855:OS458863 YO458855:YO458863 AIK458855:AIK458863 ASG458855:ASG458863 BCC458855:BCC458863 BLY458855:BLY458863 BVU458855:BVU458863 CFQ458855:CFQ458863 CPM458855:CPM458863 CZI458855:CZI458863 DJE458855:DJE458863 DTA458855:DTA458863 ECW458855:ECW458863 EMS458855:EMS458863 EWO458855:EWO458863 FGK458855:FGK458863 FQG458855:FQG458863 GAC458855:GAC458863 GJY458855:GJY458863 GTU458855:GTU458863 HDQ458855:HDQ458863 HNM458855:HNM458863 HXI458855:HXI458863 IHE458855:IHE458863 IRA458855:IRA458863 JAW458855:JAW458863 JKS458855:JKS458863 JUO458855:JUO458863 KEK458855:KEK458863 KOG458855:KOG458863 KYC458855:KYC458863 LHY458855:LHY458863 LRU458855:LRU458863 MBQ458855:MBQ458863 MLM458855:MLM458863 MVI458855:MVI458863 NFE458855:NFE458863 NPA458855:NPA458863 NYW458855:NYW458863 OIS458855:OIS458863 OSO458855:OSO458863 PCK458855:PCK458863 PMG458855:PMG458863 PWC458855:PWC458863 QFY458855:QFY458863 QPU458855:QPU458863 QZQ458855:QZQ458863 RJM458855:RJM458863 RTI458855:RTI458863 SDE458855:SDE458863 SNA458855:SNA458863 SWW458855:SWW458863 TGS458855:TGS458863 TQO458855:TQO458863 UAK458855:UAK458863 UKG458855:UKG458863 UUC458855:UUC458863 VDY458855:VDY458863 VNU458855:VNU458863 VXQ458855:VXQ458863 WHM458855:WHM458863 WRI458855:WRI458863 EW524391:EW524399 OS524391:OS524399 YO524391:YO524399 AIK524391:AIK524399 ASG524391:ASG524399 BCC524391:BCC524399 BLY524391:BLY524399 BVU524391:BVU524399 CFQ524391:CFQ524399 CPM524391:CPM524399 CZI524391:CZI524399 DJE524391:DJE524399 DTA524391:DTA524399 ECW524391:ECW524399 EMS524391:EMS524399 EWO524391:EWO524399 FGK524391:FGK524399 FQG524391:FQG524399 GAC524391:GAC524399 GJY524391:GJY524399 GTU524391:GTU524399 HDQ524391:HDQ524399 HNM524391:HNM524399 HXI524391:HXI524399 IHE524391:IHE524399 IRA524391:IRA524399 JAW524391:JAW524399 JKS524391:JKS524399 JUO524391:JUO524399 KEK524391:KEK524399 KOG524391:KOG524399 KYC524391:KYC524399 LHY524391:LHY524399 LRU524391:LRU524399 MBQ524391:MBQ524399 MLM524391:MLM524399 MVI524391:MVI524399 NFE524391:NFE524399 NPA524391:NPA524399 NYW524391:NYW524399 OIS524391:OIS524399 OSO524391:OSO524399 PCK524391:PCK524399 PMG524391:PMG524399 PWC524391:PWC524399 QFY524391:QFY524399 QPU524391:QPU524399 QZQ524391:QZQ524399 RJM524391:RJM524399 RTI524391:RTI524399 SDE524391:SDE524399 SNA524391:SNA524399 SWW524391:SWW524399 TGS524391:TGS524399 TQO524391:TQO524399 UAK524391:UAK524399 UKG524391:UKG524399 UUC524391:UUC524399 VDY524391:VDY524399 VNU524391:VNU524399 VXQ524391:VXQ524399 WHM524391:WHM524399 WRI524391:WRI524399 EW589927:EW589935 OS589927:OS589935 YO589927:YO589935 AIK589927:AIK589935 ASG589927:ASG589935 BCC589927:BCC589935 BLY589927:BLY589935 BVU589927:BVU589935 CFQ589927:CFQ589935 CPM589927:CPM589935 CZI589927:CZI589935 DJE589927:DJE589935 DTA589927:DTA589935 ECW589927:ECW589935 EMS589927:EMS589935 EWO589927:EWO589935 FGK589927:FGK589935 FQG589927:FQG589935 GAC589927:GAC589935 GJY589927:GJY589935 GTU589927:GTU589935 HDQ589927:HDQ589935 HNM589927:HNM589935 HXI589927:HXI589935 IHE589927:IHE589935 IRA589927:IRA589935 JAW589927:JAW589935 JKS589927:JKS589935 JUO589927:JUO589935 KEK589927:KEK589935 KOG589927:KOG589935 KYC589927:KYC589935 LHY589927:LHY589935 LRU589927:LRU589935 MBQ589927:MBQ589935 MLM589927:MLM589935 MVI589927:MVI589935 NFE589927:NFE589935 NPA589927:NPA589935 NYW589927:NYW589935 OIS589927:OIS589935 OSO589927:OSO589935 PCK589927:PCK589935 PMG589927:PMG589935 PWC589927:PWC589935 QFY589927:QFY589935 QPU589927:QPU589935 QZQ589927:QZQ589935 RJM589927:RJM589935 RTI589927:RTI589935 SDE589927:SDE589935 SNA589927:SNA589935 SWW589927:SWW589935 TGS589927:TGS589935 TQO589927:TQO589935 UAK589927:UAK589935 UKG589927:UKG589935 UUC589927:UUC589935 VDY589927:VDY589935 VNU589927:VNU589935 VXQ589927:VXQ589935 WHM589927:WHM589935 WRI589927:WRI589935 EW655463:EW655471 OS655463:OS655471 YO655463:YO655471 AIK655463:AIK655471 ASG655463:ASG655471 BCC655463:BCC655471 BLY655463:BLY655471 BVU655463:BVU655471 CFQ655463:CFQ655471 CPM655463:CPM655471 CZI655463:CZI655471 DJE655463:DJE655471 DTA655463:DTA655471 ECW655463:ECW655471 EMS655463:EMS655471 EWO655463:EWO655471 FGK655463:FGK655471 FQG655463:FQG655471 GAC655463:GAC655471 GJY655463:GJY655471 GTU655463:GTU655471 HDQ655463:HDQ655471 HNM655463:HNM655471 HXI655463:HXI655471 IHE655463:IHE655471 IRA655463:IRA655471 JAW655463:JAW655471 JKS655463:JKS655471 JUO655463:JUO655471 KEK655463:KEK655471 KOG655463:KOG655471 KYC655463:KYC655471 LHY655463:LHY655471 LRU655463:LRU655471 MBQ655463:MBQ655471 MLM655463:MLM655471 MVI655463:MVI655471 NFE655463:NFE655471 NPA655463:NPA655471 NYW655463:NYW655471 OIS655463:OIS655471 OSO655463:OSO655471 PCK655463:PCK655471 PMG655463:PMG655471 PWC655463:PWC655471 QFY655463:QFY655471 QPU655463:QPU655471 QZQ655463:QZQ655471 RJM655463:RJM655471 RTI655463:RTI655471 SDE655463:SDE655471 SNA655463:SNA655471 SWW655463:SWW655471 TGS655463:TGS655471 TQO655463:TQO655471 UAK655463:UAK655471 UKG655463:UKG655471 UUC655463:UUC655471 VDY655463:VDY655471 VNU655463:VNU655471 VXQ655463:VXQ655471 WHM655463:WHM655471 WRI655463:WRI655471 EW720999:EW721007 OS720999:OS721007 YO720999:YO721007 AIK720999:AIK721007 ASG720999:ASG721007 BCC720999:BCC721007 BLY720999:BLY721007 BVU720999:BVU721007 CFQ720999:CFQ721007 CPM720999:CPM721007 CZI720999:CZI721007 DJE720999:DJE721007 DTA720999:DTA721007 ECW720999:ECW721007 EMS720999:EMS721007 EWO720999:EWO721007 FGK720999:FGK721007 FQG720999:FQG721007 GAC720999:GAC721007 GJY720999:GJY721007 GTU720999:GTU721007 HDQ720999:HDQ721007 HNM720999:HNM721007 HXI720999:HXI721007 IHE720999:IHE721007 IRA720999:IRA721007 JAW720999:JAW721007 JKS720999:JKS721007 JUO720999:JUO721007 KEK720999:KEK721007 KOG720999:KOG721007 KYC720999:KYC721007 LHY720999:LHY721007 LRU720999:LRU721007 MBQ720999:MBQ721007 MLM720999:MLM721007 MVI720999:MVI721007 NFE720999:NFE721007 NPA720999:NPA721007 NYW720999:NYW721007 OIS720999:OIS721007 OSO720999:OSO721007 PCK720999:PCK721007 PMG720999:PMG721007 PWC720999:PWC721007 QFY720999:QFY721007 QPU720999:QPU721007 QZQ720999:QZQ721007 RJM720999:RJM721007 RTI720999:RTI721007 SDE720999:SDE721007 SNA720999:SNA721007 SWW720999:SWW721007 TGS720999:TGS721007 TQO720999:TQO721007 UAK720999:UAK721007 UKG720999:UKG721007 UUC720999:UUC721007 VDY720999:VDY721007 VNU720999:VNU721007 VXQ720999:VXQ721007 WHM720999:WHM721007 WRI720999:WRI721007 EW786535:EW786543 OS786535:OS786543 YO786535:YO786543 AIK786535:AIK786543 ASG786535:ASG786543 BCC786535:BCC786543 BLY786535:BLY786543 BVU786535:BVU786543 CFQ786535:CFQ786543 CPM786535:CPM786543 CZI786535:CZI786543 DJE786535:DJE786543 DTA786535:DTA786543 ECW786535:ECW786543 EMS786535:EMS786543 EWO786535:EWO786543 FGK786535:FGK786543 FQG786535:FQG786543 GAC786535:GAC786543 GJY786535:GJY786543 GTU786535:GTU786543 HDQ786535:HDQ786543 HNM786535:HNM786543 HXI786535:HXI786543 IHE786535:IHE786543 IRA786535:IRA786543 JAW786535:JAW786543 JKS786535:JKS786543 JUO786535:JUO786543 KEK786535:KEK786543 KOG786535:KOG786543 KYC786535:KYC786543 LHY786535:LHY786543 LRU786535:LRU786543 MBQ786535:MBQ786543 MLM786535:MLM786543 MVI786535:MVI786543 NFE786535:NFE786543 NPA786535:NPA786543 NYW786535:NYW786543 OIS786535:OIS786543 OSO786535:OSO786543 PCK786535:PCK786543 PMG786535:PMG786543 PWC786535:PWC786543 QFY786535:QFY786543 QPU786535:QPU786543 QZQ786535:QZQ786543 RJM786535:RJM786543 RTI786535:RTI786543 SDE786535:SDE786543 SNA786535:SNA786543 SWW786535:SWW786543 TGS786535:TGS786543 TQO786535:TQO786543 UAK786535:UAK786543 UKG786535:UKG786543 UUC786535:UUC786543 VDY786535:VDY786543 VNU786535:VNU786543 VXQ786535:VXQ786543 WHM786535:WHM786543 WRI786535:WRI786543 EW852071:EW852079 OS852071:OS852079 YO852071:YO852079 AIK852071:AIK852079 ASG852071:ASG852079 BCC852071:BCC852079 BLY852071:BLY852079 BVU852071:BVU852079 CFQ852071:CFQ852079 CPM852071:CPM852079 CZI852071:CZI852079 DJE852071:DJE852079 DTA852071:DTA852079 ECW852071:ECW852079 EMS852071:EMS852079 EWO852071:EWO852079 FGK852071:FGK852079 FQG852071:FQG852079 GAC852071:GAC852079 GJY852071:GJY852079 GTU852071:GTU852079 HDQ852071:HDQ852079 HNM852071:HNM852079 HXI852071:HXI852079 IHE852071:IHE852079 IRA852071:IRA852079 JAW852071:JAW852079 JKS852071:JKS852079 JUO852071:JUO852079 KEK852071:KEK852079 KOG852071:KOG852079 KYC852071:KYC852079 LHY852071:LHY852079 LRU852071:LRU852079 MBQ852071:MBQ852079 MLM852071:MLM852079 MVI852071:MVI852079 NFE852071:NFE852079 NPA852071:NPA852079 NYW852071:NYW852079 OIS852071:OIS852079 OSO852071:OSO852079 PCK852071:PCK852079 PMG852071:PMG852079 PWC852071:PWC852079 QFY852071:QFY852079 QPU852071:QPU852079 QZQ852071:QZQ852079 RJM852071:RJM852079 RTI852071:RTI852079 SDE852071:SDE852079 SNA852071:SNA852079 SWW852071:SWW852079 TGS852071:TGS852079 TQO852071:TQO852079 UAK852071:UAK852079 UKG852071:UKG852079 UUC852071:UUC852079 VDY852071:VDY852079 VNU852071:VNU852079 VXQ852071:VXQ852079 WHM852071:WHM852079 WRI852071:WRI852079 EW917607:EW917615 OS917607:OS917615 YO917607:YO917615 AIK917607:AIK917615 ASG917607:ASG917615 BCC917607:BCC917615 BLY917607:BLY917615 BVU917607:BVU917615 CFQ917607:CFQ917615 CPM917607:CPM917615 CZI917607:CZI917615 DJE917607:DJE917615 DTA917607:DTA917615 ECW917607:ECW917615 EMS917607:EMS917615 EWO917607:EWO917615 FGK917607:FGK917615 FQG917607:FQG917615 GAC917607:GAC917615 GJY917607:GJY917615 GTU917607:GTU917615 HDQ917607:HDQ917615 HNM917607:HNM917615 HXI917607:HXI917615 IHE917607:IHE917615 IRA917607:IRA917615 JAW917607:JAW917615 JKS917607:JKS917615 JUO917607:JUO917615 KEK917607:KEK917615 KOG917607:KOG917615 KYC917607:KYC917615 LHY917607:LHY917615 LRU917607:LRU917615 MBQ917607:MBQ917615 MLM917607:MLM917615 MVI917607:MVI917615 NFE917607:NFE917615 NPA917607:NPA917615 NYW917607:NYW917615 OIS917607:OIS917615 OSO917607:OSO917615 PCK917607:PCK917615 PMG917607:PMG917615 PWC917607:PWC917615 QFY917607:QFY917615 QPU917607:QPU917615 QZQ917607:QZQ917615 RJM917607:RJM917615 RTI917607:RTI917615 SDE917607:SDE917615 SNA917607:SNA917615 SWW917607:SWW917615 TGS917607:TGS917615 TQO917607:TQO917615 UAK917607:UAK917615 UKG917607:UKG917615 UUC917607:UUC917615 VDY917607:VDY917615 VNU917607:VNU917615 VXQ917607:VXQ917615 WHM917607:WHM917615 WRI917607:WRI917615 EW983143:EW983151 OS983143:OS983151 YO983143:YO983151 AIK983143:AIK983151 ASG983143:ASG983151 BCC983143:BCC983151 BLY983143:BLY983151 BVU983143:BVU983151 CFQ983143:CFQ983151 CPM983143:CPM983151 CZI983143:CZI983151 DJE983143:DJE983151 DTA983143:DTA983151 ECW983143:ECW983151 EMS983143:EMS983151 EWO983143:EWO983151 FGK983143:FGK983151 FQG983143:FQG983151 GAC983143:GAC983151 GJY983143:GJY983151 GTU983143:GTU983151 HDQ983143:HDQ983151 HNM983143:HNM983151 HXI983143:HXI983151 IHE983143:IHE983151 IRA983143:IRA983151 JAW983143:JAW983151 JKS983143:JKS983151 JUO983143:JUO983151 KEK983143:KEK983151 KOG983143:KOG983151 KYC983143:KYC983151 LHY983143:LHY983151 LRU983143:LRU983151 MBQ983143:MBQ983151 MLM983143:MLM983151 MVI983143:MVI983151 NFE983143:NFE983151 NPA983143:NPA983151 NYW983143:NYW983151 OIS983143:OIS983151 OSO983143:OSO983151 PCK983143:PCK983151 PMG983143:PMG983151 PWC983143:PWC983151 QFY983143:QFY983151 QPU983143:QPU983151 QZQ983143:QZQ983151 RJM983143:RJM983151 RTI983143:RTI983151 SDE983143:SDE983151 SNA983143:SNA983151 SWW983143:SWW983151 TGS983143:TGS983151 TQO983143:TQO983151 UAK983143:UAK983151 UKG983143:UKG983151 UUC983143:UUC983151 VDY983143:VDY983151 VNU983143:VNU983151 VXQ983143:VXQ983151 WHM983143:WHM983151 WRI983143:WRI983151 EW65630:EW65637 OS65630:OS65637 YO65630:YO65637 AIK65630:AIK65637 ASG65630:ASG65637 BCC65630:BCC65637 BLY65630:BLY65637 BVU65630:BVU65637 CFQ65630:CFQ65637 CPM65630:CPM65637 CZI65630:CZI65637 DJE65630:DJE65637 DTA65630:DTA65637 ECW65630:ECW65637 EMS65630:EMS65637 EWO65630:EWO65637 FGK65630:FGK65637 FQG65630:FQG65637 GAC65630:GAC65637 GJY65630:GJY65637 GTU65630:GTU65637 HDQ65630:HDQ65637 HNM65630:HNM65637 HXI65630:HXI65637 IHE65630:IHE65637 IRA65630:IRA65637 JAW65630:JAW65637 JKS65630:JKS65637 JUO65630:JUO65637 KEK65630:KEK65637 KOG65630:KOG65637 KYC65630:KYC65637 LHY65630:LHY65637 LRU65630:LRU65637 MBQ65630:MBQ65637 MLM65630:MLM65637 MVI65630:MVI65637 NFE65630:NFE65637 NPA65630:NPA65637 NYW65630:NYW65637 OIS65630:OIS65637 OSO65630:OSO65637 PCK65630:PCK65637 PMG65630:PMG65637 PWC65630:PWC65637 QFY65630:QFY65637 QPU65630:QPU65637 QZQ65630:QZQ65637 RJM65630:RJM65637 RTI65630:RTI65637 SDE65630:SDE65637 SNA65630:SNA65637 SWW65630:SWW65637 TGS65630:TGS65637 TQO65630:TQO65637 UAK65630:UAK65637 UKG65630:UKG65637 UUC65630:UUC65637 VDY65630:VDY65637 VNU65630:VNU65637 VXQ65630:VXQ65637 WHM65630:WHM65637 WRI65630:WRI65637 EW131166:EW131173 OS131166:OS131173 YO131166:YO131173 AIK131166:AIK131173 ASG131166:ASG131173 BCC131166:BCC131173 BLY131166:BLY131173 BVU131166:BVU131173 CFQ131166:CFQ131173 CPM131166:CPM131173 CZI131166:CZI131173 DJE131166:DJE131173 DTA131166:DTA131173 ECW131166:ECW131173 EMS131166:EMS131173 EWO131166:EWO131173 FGK131166:FGK131173 FQG131166:FQG131173 GAC131166:GAC131173 GJY131166:GJY131173 GTU131166:GTU131173 HDQ131166:HDQ131173 HNM131166:HNM131173 HXI131166:HXI131173 IHE131166:IHE131173 IRA131166:IRA131173 JAW131166:JAW131173 JKS131166:JKS131173 JUO131166:JUO131173 KEK131166:KEK131173 KOG131166:KOG131173 KYC131166:KYC131173 LHY131166:LHY131173 LRU131166:LRU131173 MBQ131166:MBQ131173 MLM131166:MLM131173 MVI131166:MVI131173 NFE131166:NFE131173 NPA131166:NPA131173 NYW131166:NYW131173 OIS131166:OIS131173 OSO131166:OSO131173 PCK131166:PCK131173 PMG131166:PMG131173 PWC131166:PWC131173 QFY131166:QFY131173 QPU131166:QPU131173 QZQ131166:QZQ131173 RJM131166:RJM131173 RTI131166:RTI131173 SDE131166:SDE131173 SNA131166:SNA131173 SWW131166:SWW131173 TGS131166:TGS131173 TQO131166:TQO131173 UAK131166:UAK131173 UKG131166:UKG131173 UUC131166:UUC131173 VDY131166:VDY131173 VNU131166:VNU131173 VXQ131166:VXQ131173 WHM131166:WHM131173 WRI131166:WRI131173 EW196702:EW196709 OS196702:OS196709 YO196702:YO196709 AIK196702:AIK196709 ASG196702:ASG196709 BCC196702:BCC196709 BLY196702:BLY196709 BVU196702:BVU196709 CFQ196702:CFQ196709 CPM196702:CPM196709 CZI196702:CZI196709 DJE196702:DJE196709 DTA196702:DTA196709 ECW196702:ECW196709 EMS196702:EMS196709 EWO196702:EWO196709 FGK196702:FGK196709 FQG196702:FQG196709 GAC196702:GAC196709 GJY196702:GJY196709 GTU196702:GTU196709 HDQ196702:HDQ196709 HNM196702:HNM196709 HXI196702:HXI196709 IHE196702:IHE196709 IRA196702:IRA196709 JAW196702:JAW196709 JKS196702:JKS196709 JUO196702:JUO196709 KEK196702:KEK196709 KOG196702:KOG196709 KYC196702:KYC196709 LHY196702:LHY196709 LRU196702:LRU196709 MBQ196702:MBQ196709 MLM196702:MLM196709 MVI196702:MVI196709 NFE196702:NFE196709 NPA196702:NPA196709 NYW196702:NYW196709 OIS196702:OIS196709 OSO196702:OSO196709 PCK196702:PCK196709 PMG196702:PMG196709 PWC196702:PWC196709 QFY196702:QFY196709 QPU196702:QPU196709 QZQ196702:QZQ196709 RJM196702:RJM196709 RTI196702:RTI196709 SDE196702:SDE196709 SNA196702:SNA196709 SWW196702:SWW196709 TGS196702:TGS196709 TQO196702:TQO196709 UAK196702:UAK196709 UKG196702:UKG196709 UUC196702:UUC196709 VDY196702:VDY196709 VNU196702:VNU196709 VXQ196702:VXQ196709 WHM196702:WHM196709 WRI196702:WRI196709 EW262238:EW262245 OS262238:OS262245 YO262238:YO262245 AIK262238:AIK262245 ASG262238:ASG262245 BCC262238:BCC262245 BLY262238:BLY262245 BVU262238:BVU262245 CFQ262238:CFQ262245 CPM262238:CPM262245 CZI262238:CZI262245 DJE262238:DJE262245 DTA262238:DTA262245 ECW262238:ECW262245 EMS262238:EMS262245 EWO262238:EWO262245 FGK262238:FGK262245 FQG262238:FQG262245 GAC262238:GAC262245 GJY262238:GJY262245 GTU262238:GTU262245 HDQ262238:HDQ262245 HNM262238:HNM262245 HXI262238:HXI262245 IHE262238:IHE262245 IRA262238:IRA262245 JAW262238:JAW262245 JKS262238:JKS262245 JUO262238:JUO262245 KEK262238:KEK262245 KOG262238:KOG262245 KYC262238:KYC262245 LHY262238:LHY262245 LRU262238:LRU262245 MBQ262238:MBQ262245 MLM262238:MLM262245 MVI262238:MVI262245 NFE262238:NFE262245 NPA262238:NPA262245 NYW262238:NYW262245 OIS262238:OIS262245 OSO262238:OSO262245 PCK262238:PCK262245 PMG262238:PMG262245 PWC262238:PWC262245 QFY262238:QFY262245 QPU262238:QPU262245 QZQ262238:QZQ262245 RJM262238:RJM262245 RTI262238:RTI262245 SDE262238:SDE262245 SNA262238:SNA262245 SWW262238:SWW262245 TGS262238:TGS262245 TQO262238:TQO262245 UAK262238:UAK262245 UKG262238:UKG262245 UUC262238:UUC262245 VDY262238:VDY262245 VNU262238:VNU262245 VXQ262238:VXQ262245 WHM262238:WHM262245 WRI262238:WRI262245 EW327774:EW327781 OS327774:OS327781 YO327774:YO327781 AIK327774:AIK327781 ASG327774:ASG327781 BCC327774:BCC327781 BLY327774:BLY327781 BVU327774:BVU327781 CFQ327774:CFQ327781 CPM327774:CPM327781 CZI327774:CZI327781 DJE327774:DJE327781 DTA327774:DTA327781 ECW327774:ECW327781 EMS327774:EMS327781 EWO327774:EWO327781 FGK327774:FGK327781 FQG327774:FQG327781 GAC327774:GAC327781 GJY327774:GJY327781 GTU327774:GTU327781 HDQ327774:HDQ327781 HNM327774:HNM327781 HXI327774:HXI327781 IHE327774:IHE327781 IRA327774:IRA327781 JAW327774:JAW327781 JKS327774:JKS327781 JUO327774:JUO327781 KEK327774:KEK327781 KOG327774:KOG327781 KYC327774:KYC327781 LHY327774:LHY327781 LRU327774:LRU327781 MBQ327774:MBQ327781 MLM327774:MLM327781 MVI327774:MVI327781 NFE327774:NFE327781 NPA327774:NPA327781 NYW327774:NYW327781 OIS327774:OIS327781 OSO327774:OSO327781 PCK327774:PCK327781 PMG327774:PMG327781 PWC327774:PWC327781 QFY327774:QFY327781 QPU327774:QPU327781 QZQ327774:QZQ327781 RJM327774:RJM327781 RTI327774:RTI327781 SDE327774:SDE327781 SNA327774:SNA327781 SWW327774:SWW327781 TGS327774:TGS327781 TQO327774:TQO327781 UAK327774:UAK327781 UKG327774:UKG327781 UUC327774:UUC327781 VDY327774:VDY327781 VNU327774:VNU327781 VXQ327774:VXQ327781 WHM327774:WHM327781 WRI327774:WRI327781 EW393310:EW393317 OS393310:OS393317 YO393310:YO393317 AIK393310:AIK393317 ASG393310:ASG393317 BCC393310:BCC393317 BLY393310:BLY393317 BVU393310:BVU393317 CFQ393310:CFQ393317 CPM393310:CPM393317 CZI393310:CZI393317 DJE393310:DJE393317 DTA393310:DTA393317 ECW393310:ECW393317 EMS393310:EMS393317 EWO393310:EWO393317 FGK393310:FGK393317 FQG393310:FQG393317 GAC393310:GAC393317 GJY393310:GJY393317 GTU393310:GTU393317 HDQ393310:HDQ393317 HNM393310:HNM393317 HXI393310:HXI393317 IHE393310:IHE393317 IRA393310:IRA393317 JAW393310:JAW393317 JKS393310:JKS393317 JUO393310:JUO393317 KEK393310:KEK393317 KOG393310:KOG393317 KYC393310:KYC393317 LHY393310:LHY393317 LRU393310:LRU393317 MBQ393310:MBQ393317 MLM393310:MLM393317 MVI393310:MVI393317 NFE393310:NFE393317 NPA393310:NPA393317 NYW393310:NYW393317 OIS393310:OIS393317 OSO393310:OSO393317 PCK393310:PCK393317 PMG393310:PMG393317 PWC393310:PWC393317 QFY393310:QFY393317 QPU393310:QPU393317 QZQ393310:QZQ393317 RJM393310:RJM393317 RTI393310:RTI393317 SDE393310:SDE393317 SNA393310:SNA393317 SWW393310:SWW393317 TGS393310:TGS393317 TQO393310:TQO393317 UAK393310:UAK393317 UKG393310:UKG393317 UUC393310:UUC393317 VDY393310:VDY393317 VNU393310:VNU393317 VXQ393310:VXQ393317 WHM393310:WHM393317 WRI393310:WRI393317 EW458846:EW458853 OS458846:OS458853 YO458846:YO458853 AIK458846:AIK458853 ASG458846:ASG458853 BCC458846:BCC458853 BLY458846:BLY458853 BVU458846:BVU458853 CFQ458846:CFQ458853 CPM458846:CPM458853 CZI458846:CZI458853 DJE458846:DJE458853 DTA458846:DTA458853 ECW458846:ECW458853 EMS458846:EMS458853 EWO458846:EWO458853 FGK458846:FGK458853 FQG458846:FQG458853 GAC458846:GAC458853 GJY458846:GJY458853 GTU458846:GTU458853 HDQ458846:HDQ458853 HNM458846:HNM458853 HXI458846:HXI458853 IHE458846:IHE458853 IRA458846:IRA458853 JAW458846:JAW458853 JKS458846:JKS458853 JUO458846:JUO458853 KEK458846:KEK458853 KOG458846:KOG458853 KYC458846:KYC458853 LHY458846:LHY458853 LRU458846:LRU458853 MBQ458846:MBQ458853 MLM458846:MLM458853 MVI458846:MVI458853 NFE458846:NFE458853 NPA458846:NPA458853 NYW458846:NYW458853 OIS458846:OIS458853 OSO458846:OSO458853 PCK458846:PCK458853 PMG458846:PMG458853 PWC458846:PWC458853 QFY458846:QFY458853 QPU458846:QPU458853 QZQ458846:QZQ458853 RJM458846:RJM458853 RTI458846:RTI458853 SDE458846:SDE458853 SNA458846:SNA458853 SWW458846:SWW458853 TGS458846:TGS458853 TQO458846:TQO458853 UAK458846:UAK458853 UKG458846:UKG458853 UUC458846:UUC458853 VDY458846:VDY458853 VNU458846:VNU458853 VXQ458846:VXQ458853 WHM458846:WHM458853 WRI458846:WRI458853 EW524382:EW524389 OS524382:OS524389 YO524382:YO524389 AIK524382:AIK524389 ASG524382:ASG524389 BCC524382:BCC524389 BLY524382:BLY524389 BVU524382:BVU524389 CFQ524382:CFQ524389 CPM524382:CPM524389 CZI524382:CZI524389 DJE524382:DJE524389 DTA524382:DTA524389 ECW524382:ECW524389 EMS524382:EMS524389 EWO524382:EWO524389 FGK524382:FGK524389 FQG524382:FQG524389 GAC524382:GAC524389 GJY524382:GJY524389 GTU524382:GTU524389 HDQ524382:HDQ524389 HNM524382:HNM524389 HXI524382:HXI524389 IHE524382:IHE524389 IRA524382:IRA524389 JAW524382:JAW524389 JKS524382:JKS524389 JUO524382:JUO524389 KEK524382:KEK524389 KOG524382:KOG524389 KYC524382:KYC524389 LHY524382:LHY524389 LRU524382:LRU524389 MBQ524382:MBQ524389 MLM524382:MLM524389 MVI524382:MVI524389 NFE524382:NFE524389 NPA524382:NPA524389 NYW524382:NYW524389 OIS524382:OIS524389 OSO524382:OSO524389 PCK524382:PCK524389 PMG524382:PMG524389 PWC524382:PWC524389 QFY524382:QFY524389 QPU524382:QPU524389 QZQ524382:QZQ524389 RJM524382:RJM524389 RTI524382:RTI524389 SDE524382:SDE524389 SNA524382:SNA524389 SWW524382:SWW524389 TGS524382:TGS524389 TQO524382:TQO524389 UAK524382:UAK524389 UKG524382:UKG524389 UUC524382:UUC524389 VDY524382:VDY524389 VNU524382:VNU524389 VXQ524382:VXQ524389 WHM524382:WHM524389 WRI524382:WRI524389 EW589918:EW589925 OS589918:OS589925 YO589918:YO589925 AIK589918:AIK589925 ASG589918:ASG589925 BCC589918:BCC589925 BLY589918:BLY589925 BVU589918:BVU589925 CFQ589918:CFQ589925 CPM589918:CPM589925 CZI589918:CZI589925 DJE589918:DJE589925 DTA589918:DTA589925 ECW589918:ECW589925 EMS589918:EMS589925 EWO589918:EWO589925 FGK589918:FGK589925 FQG589918:FQG589925 GAC589918:GAC589925 GJY589918:GJY589925 GTU589918:GTU589925 HDQ589918:HDQ589925 HNM589918:HNM589925 HXI589918:HXI589925 IHE589918:IHE589925 IRA589918:IRA589925 JAW589918:JAW589925 JKS589918:JKS589925 JUO589918:JUO589925 KEK589918:KEK589925 KOG589918:KOG589925 KYC589918:KYC589925 LHY589918:LHY589925 LRU589918:LRU589925 MBQ589918:MBQ589925 MLM589918:MLM589925 MVI589918:MVI589925 NFE589918:NFE589925 NPA589918:NPA589925 NYW589918:NYW589925 OIS589918:OIS589925 OSO589918:OSO589925 PCK589918:PCK589925 PMG589918:PMG589925 PWC589918:PWC589925 QFY589918:QFY589925 QPU589918:QPU589925 QZQ589918:QZQ589925 RJM589918:RJM589925 RTI589918:RTI589925 SDE589918:SDE589925 SNA589918:SNA589925 SWW589918:SWW589925 TGS589918:TGS589925 TQO589918:TQO589925 UAK589918:UAK589925 UKG589918:UKG589925 UUC589918:UUC589925 VDY589918:VDY589925 VNU589918:VNU589925 VXQ589918:VXQ589925 WHM589918:WHM589925 WRI589918:WRI589925 EW655454:EW655461 OS655454:OS655461 YO655454:YO655461 AIK655454:AIK655461 ASG655454:ASG655461 BCC655454:BCC655461 BLY655454:BLY655461 BVU655454:BVU655461 CFQ655454:CFQ655461 CPM655454:CPM655461 CZI655454:CZI655461 DJE655454:DJE655461 DTA655454:DTA655461 ECW655454:ECW655461 EMS655454:EMS655461 EWO655454:EWO655461 FGK655454:FGK655461 FQG655454:FQG655461 GAC655454:GAC655461 GJY655454:GJY655461 GTU655454:GTU655461 HDQ655454:HDQ655461 HNM655454:HNM655461 HXI655454:HXI655461 IHE655454:IHE655461 IRA655454:IRA655461 JAW655454:JAW655461 JKS655454:JKS655461 JUO655454:JUO655461 KEK655454:KEK655461 KOG655454:KOG655461 KYC655454:KYC655461 LHY655454:LHY655461 LRU655454:LRU655461 MBQ655454:MBQ655461 MLM655454:MLM655461 MVI655454:MVI655461 NFE655454:NFE655461 NPA655454:NPA655461 NYW655454:NYW655461 OIS655454:OIS655461 OSO655454:OSO655461 PCK655454:PCK655461 PMG655454:PMG655461 PWC655454:PWC655461 QFY655454:QFY655461 QPU655454:QPU655461 QZQ655454:QZQ655461 RJM655454:RJM655461 RTI655454:RTI655461 SDE655454:SDE655461 SNA655454:SNA655461 SWW655454:SWW655461 TGS655454:TGS655461 TQO655454:TQO655461 UAK655454:UAK655461 UKG655454:UKG655461 UUC655454:UUC655461 VDY655454:VDY655461 VNU655454:VNU655461 VXQ655454:VXQ655461 WHM655454:WHM655461 WRI655454:WRI655461 EW720990:EW720997 OS720990:OS720997 YO720990:YO720997 AIK720990:AIK720997 ASG720990:ASG720997 BCC720990:BCC720997 BLY720990:BLY720997 BVU720990:BVU720997 CFQ720990:CFQ720997 CPM720990:CPM720997 CZI720990:CZI720997 DJE720990:DJE720997 DTA720990:DTA720997 ECW720990:ECW720997 EMS720990:EMS720997 EWO720990:EWO720997 FGK720990:FGK720997 FQG720990:FQG720997 GAC720990:GAC720997 GJY720990:GJY720997 GTU720990:GTU720997 HDQ720990:HDQ720997 HNM720990:HNM720997 HXI720990:HXI720997 IHE720990:IHE720997 IRA720990:IRA720997 JAW720990:JAW720997 JKS720990:JKS720997 JUO720990:JUO720997 KEK720990:KEK720997 KOG720990:KOG720997 KYC720990:KYC720997 LHY720990:LHY720997 LRU720990:LRU720997 MBQ720990:MBQ720997 MLM720990:MLM720997 MVI720990:MVI720997 NFE720990:NFE720997 NPA720990:NPA720997 NYW720990:NYW720997 OIS720990:OIS720997 OSO720990:OSO720997 PCK720990:PCK720997 PMG720990:PMG720997 PWC720990:PWC720997 QFY720990:QFY720997 QPU720990:QPU720997 QZQ720990:QZQ720997 RJM720990:RJM720997 RTI720990:RTI720997 SDE720990:SDE720997 SNA720990:SNA720997 SWW720990:SWW720997 TGS720990:TGS720997 TQO720990:TQO720997 UAK720990:UAK720997 UKG720990:UKG720997 UUC720990:UUC720997 VDY720990:VDY720997 VNU720990:VNU720997 VXQ720990:VXQ720997 WHM720990:WHM720997 WRI720990:WRI720997 EW786526:EW786533 OS786526:OS786533 YO786526:YO786533 AIK786526:AIK786533 ASG786526:ASG786533 BCC786526:BCC786533 BLY786526:BLY786533 BVU786526:BVU786533 CFQ786526:CFQ786533 CPM786526:CPM786533 CZI786526:CZI786533 DJE786526:DJE786533 DTA786526:DTA786533 ECW786526:ECW786533 EMS786526:EMS786533 EWO786526:EWO786533 FGK786526:FGK786533 FQG786526:FQG786533 GAC786526:GAC786533 GJY786526:GJY786533 GTU786526:GTU786533 HDQ786526:HDQ786533 HNM786526:HNM786533 HXI786526:HXI786533 IHE786526:IHE786533 IRA786526:IRA786533 JAW786526:JAW786533 JKS786526:JKS786533 JUO786526:JUO786533 KEK786526:KEK786533 KOG786526:KOG786533 KYC786526:KYC786533 LHY786526:LHY786533 LRU786526:LRU786533 MBQ786526:MBQ786533 MLM786526:MLM786533 MVI786526:MVI786533 NFE786526:NFE786533 NPA786526:NPA786533 NYW786526:NYW786533 OIS786526:OIS786533 OSO786526:OSO786533 PCK786526:PCK786533 PMG786526:PMG786533 PWC786526:PWC786533 QFY786526:QFY786533 QPU786526:QPU786533 QZQ786526:QZQ786533 RJM786526:RJM786533 RTI786526:RTI786533 SDE786526:SDE786533 SNA786526:SNA786533 SWW786526:SWW786533 TGS786526:TGS786533 TQO786526:TQO786533 UAK786526:UAK786533 UKG786526:UKG786533 UUC786526:UUC786533 VDY786526:VDY786533 VNU786526:VNU786533 VXQ786526:VXQ786533 WHM786526:WHM786533 WRI786526:WRI786533 EW852062:EW852069 OS852062:OS852069 YO852062:YO852069 AIK852062:AIK852069 ASG852062:ASG852069 BCC852062:BCC852069 BLY852062:BLY852069 BVU852062:BVU852069 CFQ852062:CFQ852069 CPM852062:CPM852069 CZI852062:CZI852069 DJE852062:DJE852069 DTA852062:DTA852069 ECW852062:ECW852069 EMS852062:EMS852069 EWO852062:EWO852069 FGK852062:FGK852069 FQG852062:FQG852069 GAC852062:GAC852069 GJY852062:GJY852069 GTU852062:GTU852069 HDQ852062:HDQ852069 HNM852062:HNM852069 HXI852062:HXI852069 IHE852062:IHE852069 IRA852062:IRA852069 JAW852062:JAW852069 JKS852062:JKS852069 JUO852062:JUO852069 KEK852062:KEK852069 KOG852062:KOG852069 KYC852062:KYC852069 LHY852062:LHY852069 LRU852062:LRU852069 MBQ852062:MBQ852069 MLM852062:MLM852069 MVI852062:MVI852069 NFE852062:NFE852069 NPA852062:NPA852069 NYW852062:NYW852069 OIS852062:OIS852069 OSO852062:OSO852069 PCK852062:PCK852069 PMG852062:PMG852069 PWC852062:PWC852069 QFY852062:QFY852069 QPU852062:QPU852069 QZQ852062:QZQ852069 RJM852062:RJM852069 RTI852062:RTI852069 SDE852062:SDE852069 SNA852062:SNA852069 SWW852062:SWW852069 TGS852062:TGS852069 TQO852062:TQO852069 UAK852062:UAK852069 UKG852062:UKG852069 UUC852062:UUC852069 VDY852062:VDY852069 VNU852062:VNU852069 VXQ852062:VXQ852069 WHM852062:WHM852069 WRI852062:WRI852069 EW917598:EW917605 OS917598:OS917605 YO917598:YO917605 AIK917598:AIK917605 ASG917598:ASG917605 BCC917598:BCC917605 BLY917598:BLY917605 BVU917598:BVU917605 CFQ917598:CFQ917605 CPM917598:CPM917605 CZI917598:CZI917605 DJE917598:DJE917605 DTA917598:DTA917605 ECW917598:ECW917605 EMS917598:EMS917605 EWO917598:EWO917605 FGK917598:FGK917605 FQG917598:FQG917605 GAC917598:GAC917605 GJY917598:GJY917605 GTU917598:GTU917605 HDQ917598:HDQ917605 HNM917598:HNM917605 HXI917598:HXI917605 IHE917598:IHE917605 IRA917598:IRA917605 JAW917598:JAW917605 JKS917598:JKS917605 JUO917598:JUO917605 KEK917598:KEK917605 KOG917598:KOG917605 KYC917598:KYC917605 LHY917598:LHY917605 LRU917598:LRU917605 MBQ917598:MBQ917605 MLM917598:MLM917605 MVI917598:MVI917605 NFE917598:NFE917605 NPA917598:NPA917605 NYW917598:NYW917605 OIS917598:OIS917605 OSO917598:OSO917605 PCK917598:PCK917605 PMG917598:PMG917605 PWC917598:PWC917605 QFY917598:QFY917605 QPU917598:QPU917605 QZQ917598:QZQ917605 RJM917598:RJM917605 RTI917598:RTI917605 SDE917598:SDE917605 SNA917598:SNA917605 SWW917598:SWW917605 TGS917598:TGS917605 TQO917598:TQO917605 UAK917598:UAK917605 UKG917598:UKG917605 UUC917598:UUC917605 VDY917598:VDY917605 VNU917598:VNU917605 VXQ917598:VXQ917605 WHM917598:WHM917605 WRI917598:WRI917605 EW983134:EW983141 OS983134:OS983141 YO983134:YO983141 AIK983134:AIK983141 ASG983134:ASG983141 BCC983134:BCC983141 BLY983134:BLY983141 BVU983134:BVU983141 CFQ983134:CFQ983141 CPM983134:CPM983141 CZI983134:CZI983141 DJE983134:DJE983141 DTA983134:DTA983141 ECW983134:ECW983141 EMS983134:EMS983141 EWO983134:EWO983141 FGK983134:FGK983141 FQG983134:FQG983141 GAC983134:GAC983141 GJY983134:GJY983141 GTU983134:GTU983141 HDQ983134:HDQ983141 HNM983134:HNM983141 HXI983134:HXI983141 IHE983134:IHE983141 IRA983134:IRA983141 JAW983134:JAW983141 JKS983134:JKS983141 JUO983134:JUO983141 KEK983134:KEK983141 KOG983134:KOG983141 KYC983134:KYC983141 LHY983134:LHY983141 LRU983134:LRU983141 MBQ983134:MBQ983141 MLM983134:MLM983141 MVI983134:MVI983141 NFE983134:NFE983141 NPA983134:NPA983141 NYW983134:NYW983141 OIS983134:OIS983141 OSO983134:OSO983141 PCK983134:PCK983141 PMG983134:PMG983141 PWC983134:PWC983141 QFY983134:QFY983141 QPU983134:QPU983141 QZQ983134:QZQ983141 RJM983134:RJM983141 RTI983134:RTI983141 SDE983134:SDE983141 SNA983134:SNA983141 SWW983134:SWW983141 TGS983134:TGS983141 TQO983134:TQO983141 UAK983134:UAK983141 UKG983134:UKG983141 UUC983134:UUC983141 VDY983134:VDY983141 VNU983134:VNU983141 VXQ983134:VXQ983141 WHM983134:WHM983141 WRI983134:WRI983141 EW65577:EW65579 OS65577:OS65579 YO65577:YO65579 AIK65577:AIK65579 ASG65577:ASG65579 BCC65577:BCC65579 BLY65577:BLY65579 BVU65577:BVU65579 CFQ65577:CFQ65579 CPM65577:CPM65579 CZI65577:CZI65579 DJE65577:DJE65579 DTA65577:DTA65579 ECW65577:ECW65579 EMS65577:EMS65579 EWO65577:EWO65579 FGK65577:FGK65579 FQG65577:FQG65579 GAC65577:GAC65579 GJY65577:GJY65579 GTU65577:GTU65579 HDQ65577:HDQ65579 HNM65577:HNM65579 HXI65577:HXI65579 IHE65577:IHE65579 IRA65577:IRA65579 JAW65577:JAW65579 JKS65577:JKS65579 JUO65577:JUO65579 KEK65577:KEK65579 KOG65577:KOG65579 KYC65577:KYC65579 LHY65577:LHY65579 LRU65577:LRU65579 MBQ65577:MBQ65579 MLM65577:MLM65579 MVI65577:MVI65579 NFE65577:NFE65579 NPA65577:NPA65579 NYW65577:NYW65579 OIS65577:OIS65579 OSO65577:OSO65579 PCK65577:PCK65579 PMG65577:PMG65579 PWC65577:PWC65579 QFY65577:QFY65579 QPU65577:QPU65579 QZQ65577:QZQ65579 RJM65577:RJM65579 RTI65577:RTI65579 SDE65577:SDE65579 SNA65577:SNA65579 SWW65577:SWW65579 TGS65577:TGS65579 TQO65577:TQO65579 UAK65577:UAK65579 UKG65577:UKG65579 UUC65577:UUC65579 VDY65577:VDY65579 VNU65577:VNU65579 VXQ65577:VXQ65579 WHM65577:WHM65579 WRI65577:WRI65579 EW131113:EW131115 OS131113:OS131115 YO131113:YO131115 AIK131113:AIK131115 ASG131113:ASG131115 BCC131113:BCC131115 BLY131113:BLY131115 BVU131113:BVU131115 CFQ131113:CFQ131115 CPM131113:CPM131115 CZI131113:CZI131115 DJE131113:DJE131115 DTA131113:DTA131115 ECW131113:ECW131115 EMS131113:EMS131115 EWO131113:EWO131115 FGK131113:FGK131115 FQG131113:FQG131115 GAC131113:GAC131115 GJY131113:GJY131115 GTU131113:GTU131115 HDQ131113:HDQ131115 HNM131113:HNM131115 HXI131113:HXI131115 IHE131113:IHE131115 IRA131113:IRA131115 JAW131113:JAW131115 JKS131113:JKS131115 JUO131113:JUO131115 KEK131113:KEK131115 KOG131113:KOG131115 KYC131113:KYC131115 LHY131113:LHY131115 LRU131113:LRU131115 MBQ131113:MBQ131115 MLM131113:MLM131115 MVI131113:MVI131115 NFE131113:NFE131115 NPA131113:NPA131115 NYW131113:NYW131115 OIS131113:OIS131115 OSO131113:OSO131115 PCK131113:PCK131115 PMG131113:PMG131115 PWC131113:PWC131115 QFY131113:QFY131115 QPU131113:QPU131115 QZQ131113:QZQ131115 RJM131113:RJM131115 RTI131113:RTI131115 SDE131113:SDE131115 SNA131113:SNA131115 SWW131113:SWW131115 TGS131113:TGS131115 TQO131113:TQO131115 UAK131113:UAK131115 UKG131113:UKG131115 UUC131113:UUC131115 VDY131113:VDY131115 VNU131113:VNU131115 VXQ131113:VXQ131115 WHM131113:WHM131115 WRI131113:WRI131115 EW196649:EW196651 OS196649:OS196651 YO196649:YO196651 AIK196649:AIK196651 ASG196649:ASG196651 BCC196649:BCC196651 BLY196649:BLY196651 BVU196649:BVU196651 CFQ196649:CFQ196651 CPM196649:CPM196651 CZI196649:CZI196651 DJE196649:DJE196651 DTA196649:DTA196651 ECW196649:ECW196651 EMS196649:EMS196651 EWO196649:EWO196651 FGK196649:FGK196651 FQG196649:FQG196651 GAC196649:GAC196651 GJY196649:GJY196651 GTU196649:GTU196651 HDQ196649:HDQ196651 HNM196649:HNM196651 HXI196649:HXI196651 IHE196649:IHE196651 IRA196649:IRA196651 JAW196649:JAW196651 JKS196649:JKS196651 JUO196649:JUO196651 KEK196649:KEK196651 KOG196649:KOG196651 KYC196649:KYC196651 LHY196649:LHY196651 LRU196649:LRU196651 MBQ196649:MBQ196651 MLM196649:MLM196651 MVI196649:MVI196651 NFE196649:NFE196651 NPA196649:NPA196651 NYW196649:NYW196651 OIS196649:OIS196651 OSO196649:OSO196651 PCK196649:PCK196651 PMG196649:PMG196651 PWC196649:PWC196651 QFY196649:QFY196651 QPU196649:QPU196651 QZQ196649:QZQ196651 RJM196649:RJM196651 RTI196649:RTI196651 SDE196649:SDE196651 SNA196649:SNA196651 SWW196649:SWW196651 TGS196649:TGS196651 TQO196649:TQO196651 UAK196649:UAK196651 UKG196649:UKG196651 UUC196649:UUC196651 VDY196649:VDY196651 VNU196649:VNU196651 VXQ196649:VXQ196651 WHM196649:WHM196651 WRI196649:WRI196651 EW262185:EW262187 OS262185:OS262187 YO262185:YO262187 AIK262185:AIK262187 ASG262185:ASG262187 BCC262185:BCC262187 BLY262185:BLY262187 BVU262185:BVU262187 CFQ262185:CFQ262187 CPM262185:CPM262187 CZI262185:CZI262187 DJE262185:DJE262187 DTA262185:DTA262187 ECW262185:ECW262187 EMS262185:EMS262187 EWO262185:EWO262187 FGK262185:FGK262187 FQG262185:FQG262187 GAC262185:GAC262187 GJY262185:GJY262187 GTU262185:GTU262187 HDQ262185:HDQ262187 HNM262185:HNM262187 HXI262185:HXI262187 IHE262185:IHE262187 IRA262185:IRA262187 JAW262185:JAW262187 JKS262185:JKS262187 JUO262185:JUO262187 KEK262185:KEK262187 KOG262185:KOG262187 KYC262185:KYC262187 LHY262185:LHY262187 LRU262185:LRU262187 MBQ262185:MBQ262187 MLM262185:MLM262187 MVI262185:MVI262187 NFE262185:NFE262187 NPA262185:NPA262187 NYW262185:NYW262187 OIS262185:OIS262187 OSO262185:OSO262187 PCK262185:PCK262187 PMG262185:PMG262187 PWC262185:PWC262187 QFY262185:QFY262187 QPU262185:QPU262187 QZQ262185:QZQ262187 RJM262185:RJM262187 RTI262185:RTI262187 SDE262185:SDE262187 SNA262185:SNA262187 SWW262185:SWW262187 TGS262185:TGS262187 TQO262185:TQO262187 UAK262185:UAK262187 UKG262185:UKG262187 UUC262185:UUC262187 VDY262185:VDY262187 VNU262185:VNU262187 VXQ262185:VXQ262187 WHM262185:WHM262187 WRI262185:WRI262187 EW327721:EW327723 OS327721:OS327723 YO327721:YO327723 AIK327721:AIK327723 ASG327721:ASG327723 BCC327721:BCC327723 BLY327721:BLY327723 BVU327721:BVU327723 CFQ327721:CFQ327723 CPM327721:CPM327723 CZI327721:CZI327723 DJE327721:DJE327723 DTA327721:DTA327723 ECW327721:ECW327723 EMS327721:EMS327723 EWO327721:EWO327723 FGK327721:FGK327723 FQG327721:FQG327723 GAC327721:GAC327723 GJY327721:GJY327723 GTU327721:GTU327723 HDQ327721:HDQ327723 HNM327721:HNM327723 HXI327721:HXI327723 IHE327721:IHE327723 IRA327721:IRA327723 JAW327721:JAW327723 JKS327721:JKS327723 JUO327721:JUO327723 KEK327721:KEK327723 KOG327721:KOG327723 KYC327721:KYC327723 LHY327721:LHY327723 LRU327721:LRU327723 MBQ327721:MBQ327723 MLM327721:MLM327723 MVI327721:MVI327723 NFE327721:NFE327723 NPA327721:NPA327723 NYW327721:NYW327723 OIS327721:OIS327723 OSO327721:OSO327723 PCK327721:PCK327723 PMG327721:PMG327723 PWC327721:PWC327723 QFY327721:QFY327723 QPU327721:QPU327723 QZQ327721:QZQ327723 RJM327721:RJM327723 RTI327721:RTI327723 SDE327721:SDE327723 SNA327721:SNA327723 SWW327721:SWW327723 TGS327721:TGS327723 TQO327721:TQO327723 UAK327721:UAK327723 UKG327721:UKG327723 UUC327721:UUC327723 VDY327721:VDY327723 VNU327721:VNU327723 VXQ327721:VXQ327723 WHM327721:WHM327723 WRI327721:WRI327723 EW393257:EW393259 OS393257:OS393259 YO393257:YO393259 AIK393257:AIK393259 ASG393257:ASG393259 BCC393257:BCC393259 BLY393257:BLY393259 BVU393257:BVU393259 CFQ393257:CFQ393259 CPM393257:CPM393259 CZI393257:CZI393259 DJE393257:DJE393259 DTA393257:DTA393259 ECW393257:ECW393259 EMS393257:EMS393259 EWO393257:EWO393259 FGK393257:FGK393259 FQG393257:FQG393259 GAC393257:GAC393259 GJY393257:GJY393259 GTU393257:GTU393259 HDQ393257:HDQ393259 HNM393257:HNM393259 HXI393257:HXI393259 IHE393257:IHE393259 IRA393257:IRA393259 JAW393257:JAW393259 JKS393257:JKS393259 JUO393257:JUO393259 KEK393257:KEK393259 KOG393257:KOG393259 KYC393257:KYC393259 LHY393257:LHY393259 LRU393257:LRU393259 MBQ393257:MBQ393259 MLM393257:MLM393259 MVI393257:MVI393259 NFE393257:NFE393259 NPA393257:NPA393259 NYW393257:NYW393259 OIS393257:OIS393259 OSO393257:OSO393259 PCK393257:PCK393259 PMG393257:PMG393259 PWC393257:PWC393259 QFY393257:QFY393259 QPU393257:QPU393259 QZQ393257:QZQ393259 RJM393257:RJM393259 RTI393257:RTI393259 SDE393257:SDE393259 SNA393257:SNA393259 SWW393257:SWW393259 TGS393257:TGS393259 TQO393257:TQO393259 UAK393257:UAK393259 UKG393257:UKG393259 UUC393257:UUC393259 VDY393257:VDY393259 VNU393257:VNU393259 VXQ393257:VXQ393259 WHM393257:WHM393259 WRI393257:WRI393259 EW458793:EW458795 OS458793:OS458795 YO458793:YO458795 AIK458793:AIK458795 ASG458793:ASG458795 BCC458793:BCC458795 BLY458793:BLY458795 BVU458793:BVU458795 CFQ458793:CFQ458795 CPM458793:CPM458795 CZI458793:CZI458795 DJE458793:DJE458795 DTA458793:DTA458795 ECW458793:ECW458795 EMS458793:EMS458795 EWO458793:EWO458795 FGK458793:FGK458795 FQG458793:FQG458795 GAC458793:GAC458795 GJY458793:GJY458795 GTU458793:GTU458795 HDQ458793:HDQ458795 HNM458793:HNM458795 HXI458793:HXI458795 IHE458793:IHE458795 IRA458793:IRA458795 JAW458793:JAW458795 JKS458793:JKS458795 JUO458793:JUO458795 KEK458793:KEK458795 KOG458793:KOG458795 KYC458793:KYC458795 LHY458793:LHY458795 LRU458793:LRU458795 MBQ458793:MBQ458795 MLM458793:MLM458795 MVI458793:MVI458795 NFE458793:NFE458795 NPA458793:NPA458795 NYW458793:NYW458795 OIS458793:OIS458795 OSO458793:OSO458795 PCK458793:PCK458795 PMG458793:PMG458795 PWC458793:PWC458795 QFY458793:QFY458795 QPU458793:QPU458795 QZQ458793:QZQ458795 RJM458793:RJM458795 RTI458793:RTI458795 SDE458793:SDE458795 SNA458793:SNA458795 SWW458793:SWW458795 TGS458793:TGS458795 TQO458793:TQO458795 UAK458793:UAK458795 UKG458793:UKG458795 UUC458793:UUC458795 VDY458793:VDY458795 VNU458793:VNU458795 VXQ458793:VXQ458795 WHM458793:WHM458795 WRI458793:WRI458795 EW524329:EW524331 OS524329:OS524331 YO524329:YO524331 AIK524329:AIK524331 ASG524329:ASG524331 BCC524329:BCC524331 BLY524329:BLY524331 BVU524329:BVU524331 CFQ524329:CFQ524331 CPM524329:CPM524331 CZI524329:CZI524331 DJE524329:DJE524331 DTA524329:DTA524331 ECW524329:ECW524331 EMS524329:EMS524331 EWO524329:EWO524331 FGK524329:FGK524331 FQG524329:FQG524331 GAC524329:GAC524331 GJY524329:GJY524331 GTU524329:GTU524331 HDQ524329:HDQ524331 HNM524329:HNM524331 HXI524329:HXI524331 IHE524329:IHE524331 IRA524329:IRA524331 JAW524329:JAW524331 JKS524329:JKS524331 JUO524329:JUO524331 KEK524329:KEK524331 KOG524329:KOG524331 KYC524329:KYC524331 LHY524329:LHY524331 LRU524329:LRU524331 MBQ524329:MBQ524331 MLM524329:MLM524331 MVI524329:MVI524331 NFE524329:NFE524331 NPA524329:NPA524331 NYW524329:NYW524331 OIS524329:OIS524331 OSO524329:OSO524331 PCK524329:PCK524331 PMG524329:PMG524331 PWC524329:PWC524331 QFY524329:QFY524331 QPU524329:QPU524331 QZQ524329:QZQ524331 RJM524329:RJM524331 RTI524329:RTI524331 SDE524329:SDE524331 SNA524329:SNA524331 SWW524329:SWW524331 TGS524329:TGS524331 TQO524329:TQO524331 UAK524329:UAK524331 UKG524329:UKG524331 UUC524329:UUC524331 VDY524329:VDY524331 VNU524329:VNU524331 VXQ524329:VXQ524331 WHM524329:WHM524331 WRI524329:WRI524331 EW589865:EW589867 OS589865:OS589867 YO589865:YO589867 AIK589865:AIK589867 ASG589865:ASG589867 BCC589865:BCC589867 BLY589865:BLY589867 BVU589865:BVU589867 CFQ589865:CFQ589867 CPM589865:CPM589867 CZI589865:CZI589867 DJE589865:DJE589867 DTA589865:DTA589867 ECW589865:ECW589867 EMS589865:EMS589867 EWO589865:EWO589867 FGK589865:FGK589867 FQG589865:FQG589867 GAC589865:GAC589867 GJY589865:GJY589867 GTU589865:GTU589867 HDQ589865:HDQ589867 HNM589865:HNM589867 HXI589865:HXI589867 IHE589865:IHE589867 IRA589865:IRA589867 JAW589865:JAW589867 JKS589865:JKS589867 JUO589865:JUO589867 KEK589865:KEK589867 KOG589865:KOG589867 KYC589865:KYC589867 LHY589865:LHY589867 LRU589865:LRU589867 MBQ589865:MBQ589867 MLM589865:MLM589867 MVI589865:MVI589867 NFE589865:NFE589867 NPA589865:NPA589867 NYW589865:NYW589867 OIS589865:OIS589867 OSO589865:OSO589867 PCK589865:PCK589867 PMG589865:PMG589867 PWC589865:PWC589867 QFY589865:QFY589867 QPU589865:QPU589867 QZQ589865:QZQ589867 RJM589865:RJM589867 RTI589865:RTI589867 SDE589865:SDE589867 SNA589865:SNA589867 SWW589865:SWW589867 TGS589865:TGS589867 TQO589865:TQO589867 UAK589865:UAK589867 UKG589865:UKG589867 UUC589865:UUC589867 VDY589865:VDY589867 VNU589865:VNU589867 VXQ589865:VXQ589867 WHM589865:WHM589867 WRI589865:WRI589867 EW655401:EW655403 OS655401:OS655403 YO655401:YO655403 AIK655401:AIK655403 ASG655401:ASG655403 BCC655401:BCC655403 BLY655401:BLY655403 BVU655401:BVU655403 CFQ655401:CFQ655403 CPM655401:CPM655403 CZI655401:CZI655403 DJE655401:DJE655403 DTA655401:DTA655403 ECW655401:ECW655403 EMS655401:EMS655403 EWO655401:EWO655403 FGK655401:FGK655403 FQG655401:FQG655403 GAC655401:GAC655403 GJY655401:GJY655403 GTU655401:GTU655403 HDQ655401:HDQ655403 HNM655401:HNM655403 HXI655401:HXI655403 IHE655401:IHE655403 IRA655401:IRA655403 JAW655401:JAW655403 JKS655401:JKS655403 JUO655401:JUO655403 KEK655401:KEK655403 KOG655401:KOG655403 KYC655401:KYC655403 LHY655401:LHY655403 LRU655401:LRU655403 MBQ655401:MBQ655403 MLM655401:MLM655403 MVI655401:MVI655403 NFE655401:NFE655403 NPA655401:NPA655403 NYW655401:NYW655403 OIS655401:OIS655403 OSO655401:OSO655403 PCK655401:PCK655403 PMG655401:PMG655403 PWC655401:PWC655403 QFY655401:QFY655403 QPU655401:QPU655403 QZQ655401:QZQ655403 RJM655401:RJM655403 RTI655401:RTI655403 SDE655401:SDE655403 SNA655401:SNA655403 SWW655401:SWW655403 TGS655401:TGS655403 TQO655401:TQO655403 UAK655401:UAK655403 UKG655401:UKG655403 UUC655401:UUC655403 VDY655401:VDY655403 VNU655401:VNU655403 VXQ655401:VXQ655403 WHM655401:WHM655403 WRI655401:WRI655403 EW720937:EW720939 OS720937:OS720939 YO720937:YO720939 AIK720937:AIK720939 ASG720937:ASG720939 BCC720937:BCC720939 BLY720937:BLY720939 BVU720937:BVU720939 CFQ720937:CFQ720939 CPM720937:CPM720939 CZI720937:CZI720939 DJE720937:DJE720939 DTA720937:DTA720939 ECW720937:ECW720939 EMS720937:EMS720939 EWO720937:EWO720939 FGK720937:FGK720939 FQG720937:FQG720939 GAC720937:GAC720939 GJY720937:GJY720939 GTU720937:GTU720939 HDQ720937:HDQ720939 HNM720937:HNM720939 HXI720937:HXI720939 IHE720937:IHE720939 IRA720937:IRA720939 JAW720937:JAW720939 JKS720937:JKS720939 JUO720937:JUO720939 KEK720937:KEK720939 KOG720937:KOG720939 KYC720937:KYC720939 LHY720937:LHY720939 LRU720937:LRU720939 MBQ720937:MBQ720939 MLM720937:MLM720939 MVI720937:MVI720939 NFE720937:NFE720939 NPA720937:NPA720939 NYW720937:NYW720939 OIS720937:OIS720939 OSO720937:OSO720939 PCK720937:PCK720939 PMG720937:PMG720939 PWC720937:PWC720939 QFY720937:QFY720939 QPU720937:QPU720939 QZQ720937:QZQ720939 RJM720937:RJM720939 RTI720937:RTI720939 SDE720937:SDE720939 SNA720937:SNA720939 SWW720937:SWW720939 TGS720937:TGS720939 TQO720937:TQO720939 UAK720937:UAK720939 UKG720937:UKG720939 UUC720937:UUC720939 VDY720937:VDY720939 VNU720937:VNU720939 VXQ720937:VXQ720939 WHM720937:WHM720939 WRI720937:WRI720939 EW786473:EW786475 OS786473:OS786475 YO786473:YO786475 AIK786473:AIK786475 ASG786473:ASG786475 BCC786473:BCC786475 BLY786473:BLY786475 BVU786473:BVU786475 CFQ786473:CFQ786475 CPM786473:CPM786475 CZI786473:CZI786475 DJE786473:DJE786475 DTA786473:DTA786475 ECW786473:ECW786475 EMS786473:EMS786475 EWO786473:EWO786475 FGK786473:FGK786475 FQG786473:FQG786475 GAC786473:GAC786475 GJY786473:GJY786475 GTU786473:GTU786475 HDQ786473:HDQ786475 HNM786473:HNM786475 HXI786473:HXI786475 IHE786473:IHE786475 IRA786473:IRA786475 JAW786473:JAW786475 JKS786473:JKS786475 JUO786473:JUO786475 KEK786473:KEK786475 KOG786473:KOG786475 KYC786473:KYC786475 LHY786473:LHY786475 LRU786473:LRU786475 MBQ786473:MBQ786475 MLM786473:MLM786475 MVI786473:MVI786475 NFE786473:NFE786475 NPA786473:NPA786475 NYW786473:NYW786475 OIS786473:OIS786475 OSO786473:OSO786475 PCK786473:PCK786475 PMG786473:PMG786475 PWC786473:PWC786475 QFY786473:QFY786475 QPU786473:QPU786475 QZQ786473:QZQ786475 RJM786473:RJM786475 RTI786473:RTI786475 SDE786473:SDE786475 SNA786473:SNA786475 SWW786473:SWW786475 TGS786473:TGS786475 TQO786473:TQO786475 UAK786473:UAK786475 UKG786473:UKG786475 UUC786473:UUC786475 VDY786473:VDY786475 VNU786473:VNU786475 VXQ786473:VXQ786475 WHM786473:WHM786475 WRI786473:WRI786475 EW852009:EW852011 OS852009:OS852011 YO852009:YO852011 AIK852009:AIK852011 ASG852009:ASG852011 BCC852009:BCC852011 BLY852009:BLY852011 BVU852009:BVU852011 CFQ852009:CFQ852011 CPM852009:CPM852011 CZI852009:CZI852011 DJE852009:DJE852011 DTA852009:DTA852011 ECW852009:ECW852011 EMS852009:EMS852011 EWO852009:EWO852011 FGK852009:FGK852011 FQG852009:FQG852011 GAC852009:GAC852011 GJY852009:GJY852011 GTU852009:GTU852011 HDQ852009:HDQ852011 HNM852009:HNM852011 HXI852009:HXI852011 IHE852009:IHE852011 IRA852009:IRA852011 JAW852009:JAW852011 JKS852009:JKS852011 JUO852009:JUO852011 KEK852009:KEK852011 KOG852009:KOG852011 KYC852009:KYC852011 LHY852009:LHY852011 LRU852009:LRU852011 MBQ852009:MBQ852011 MLM852009:MLM852011 MVI852009:MVI852011 NFE852009:NFE852011 NPA852009:NPA852011 NYW852009:NYW852011 OIS852009:OIS852011 OSO852009:OSO852011 PCK852009:PCK852011 PMG852009:PMG852011 PWC852009:PWC852011 QFY852009:QFY852011 QPU852009:QPU852011 QZQ852009:QZQ852011 RJM852009:RJM852011 RTI852009:RTI852011 SDE852009:SDE852011 SNA852009:SNA852011 SWW852009:SWW852011 TGS852009:TGS852011 TQO852009:TQO852011 UAK852009:UAK852011 UKG852009:UKG852011 UUC852009:UUC852011 VDY852009:VDY852011 VNU852009:VNU852011 VXQ852009:VXQ852011 WHM852009:WHM852011 WRI852009:WRI852011 EW917545:EW917547 OS917545:OS917547 YO917545:YO917547 AIK917545:AIK917547 ASG917545:ASG917547 BCC917545:BCC917547 BLY917545:BLY917547 BVU917545:BVU917547 CFQ917545:CFQ917547 CPM917545:CPM917547 CZI917545:CZI917547 DJE917545:DJE917547 DTA917545:DTA917547 ECW917545:ECW917547 EMS917545:EMS917547 EWO917545:EWO917547 FGK917545:FGK917547 FQG917545:FQG917547 GAC917545:GAC917547 GJY917545:GJY917547 GTU917545:GTU917547 HDQ917545:HDQ917547 HNM917545:HNM917547 HXI917545:HXI917547 IHE917545:IHE917547 IRA917545:IRA917547 JAW917545:JAW917547 JKS917545:JKS917547 JUO917545:JUO917547 KEK917545:KEK917547 KOG917545:KOG917547 KYC917545:KYC917547 LHY917545:LHY917547 LRU917545:LRU917547 MBQ917545:MBQ917547 MLM917545:MLM917547 MVI917545:MVI917547 NFE917545:NFE917547 NPA917545:NPA917547 NYW917545:NYW917547 OIS917545:OIS917547 OSO917545:OSO917547 PCK917545:PCK917547 PMG917545:PMG917547 PWC917545:PWC917547 QFY917545:QFY917547 QPU917545:QPU917547 QZQ917545:QZQ917547 RJM917545:RJM917547 RTI917545:RTI917547 SDE917545:SDE917547 SNA917545:SNA917547 SWW917545:SWW917547 TGS917545:TGS917547 TQO917545:TQO917547 UAK917545:UAK917547 UKG917545:UKG917547 UUC917545:UUC917547 VDY917545:VDY917547 VNU917545:VNU917547 VXQ917545:VXQ917547 WHM917545:WHM917547 WRI917545:WRI917547 EW983081:EW983083 OS983081:OS983083 YO983081:YO983083 AIK983081:AIK983083 ASG983081:ASG983083 BCC983081:BCC983083 BLY983081:BLY983083 BVU983081:BVU983083 CFQ983081:CFQ983083 CPM983081:CPM983083 CZI983081:CZI983083 DJE983081:DJE983083 DTA983081:DTA983083 ECW983081:ECW983083 EMS983081:EMS983083 EWO983081:EWO983083 FGK983081:FGK983083 FQG983081:FQG983083 GAC983081:GAC983083 GJY983081:GJY983083 GTU983081:GTU983083 HDQ983081:HDQ983083 HNM983081:HNM983083 HXI983081:HXI983083 IHE983081:IHE983083 IRA983081:IRA983083 JAW983081:JAW983083 JKS983081:JKS983083 JUO983081:JUO983083 KEK983081:KEK983083 KOG983081:KOG983083 KYC983081:KYC983083 LHY983081:LHY983083 LRU983081:LRU983083 MBQ983081:MBQ983083 MLM983081:MLM983083 MVI983081:MVI983083 NFE983081:NFE983083 NPA983081:NPA983083 NYW983081:NYW983083 OIS983081:OIS983083 OSO983081:OSO983083 PCK983081:PCK983083 PMG983081:PMG983083 PWC983081:PWC983083 QFY983081:QFY983083 QPU983081:QPU983083 QZQ983081:QZQ983083 RJM983081:RJM983083 RTI983081:RTI983083 SDE983081:SDE983083 SNA983081:SNA983083 SWW983081:SWW983083 TGS983081:TGS983083 TQO983081:TQO983083 UAK983081:UAK983083 UKG983081:UKG983083 UUC983081:UUC983083 VDY983081:VDY983083 VNU983081:VNU983083 VXQ983081:VXQ983083 WHM983081:WHM983083 WRI983081:WRI983083 EW65581:EW65595 OS65581:OS65595 YO65581:YO65595 AIK65581:AIK65595 ASG65581:ASG65595 BCC65581:BCC65595 BLY65581:BLY65595 BVU65581:BVU65595 CFQ65581:CFQ65595 CPM65581:CPM65595 CZI65581:CZI65595 DJE65581:DJE65595 DTA65581:DTA65595 ECW65581:ECW65595 EMS65581:EMS65595 EWO65581:EWO65595 FGK65581:FGK65595 FQG65581:FQG65595 GAC65581:GAC65595 GJY65581:GJY65595 GTU65581:GTU65595 HDQ65581:HDQ65595 HNM65581:HNM65595 HXI65581:HXI65595 IHE65581:IHE65595 IRA65581:IRA65595 JAW65581:JAW65595 JKS65581:JKS65595 JUO65581:JUO65595 KEK65581:KEK65595 KOG65581:KOG65595 KYC65581:KYC65595 LHY65581:LHY65595 LRU65581:LRU65595 MBQ65581:MBQ65595 MLM65581:MLM65595 MVI65581:MVI65595 NFE65581:NFE65595 NPA65581:NPA65595 NYW65581:NYW65595 OIS65581:OIS65595 OSO65581:OSO65595 PCK65581:PCK65595 PMG65581:PMG65595 PWC65581:PWC65595 QFY65581:QFY65595 QPU65581:QPU65595 QZQ65581:QZQ65595 RJM65581:RJM65595 RTI65581:RTI65595 SDE65581:SDE65595 SNA65581:SNA65595 SWW65581:SWW65595 TGS65581:TGS65595 TQO65581:TQO65595 UAK65581:UAK65595 UKG65581:UKG65595 UUC65581:UUC65595 VDY65581:VDY65595 VNU65581:VNU65595 VXQ65581:VXQ65595 WHM65581:WHM65595 WRI65581:WRI65595 EW131117:EW131131 OS131117:OS131131 YO131117:YO131131 AIK131117:AIK131131 ASG131117:ASG131131 BCC131117:BCC131131 BLY131117:BLY131131 BVU131117:BVU131131 CFQ131117:CFQ131131 CPM131117:CPM131131 CZI131117:CZI131131 DJE131117:DJE131131 DTA131117:DTA131131 ECW131117:ECW131131 EMS131117:EMS131131 EWO131117:EWO131131 FGK131117:FGK131131 FQG131117:FQG131131 GAC131117:GAC131131 GJY131117:GJY131131 GTU131117:GTU131131 HDQ131117:HDQ131131 HNM131117:HNM131131 HXI131117:HXI131131 IHE131117:IHE131131 IRA131117:IRA131131 JAW131117:JAW131131 JKS131117:JKS131131 JUO131117:JUO131131 KEK131117:KEK131131 KOG131117:KOG131131 KYC131117:KYC131131 LHY131117:LHY131131 LRU131117:LRU131131 MBQ131117:MBQ131131 MLM131117:MLM131131 MVI131117:MVI131131 NFE131117:NFE131131 NPA131117:NPA131131 NYW131117:NYW131131 OIS131117:OIS131131 OSO131117:OSO131131 PCK131117:PCK131131 PMG131117:PMG131131 PWC131117:PWC131131 QFY131117:QFY131131 QPU131117:QPU131131 QZQ131117:QZQ131131 RJM131117:RJM131131 RTI131117:RTI131131 SDE131117:SDE131131 SNA131117:SNA131131 SWW131117:SWW131131 TGS131117:TGS131131 TQO131117:TQO131131 UAK131117:UAK131131 UKG131117:UKG131131 UUC131117:UUC131131 VDY131117:VDY131131 VNU131117:VNU131131 VXQ131117:VXQ131131 WHM131117:WHM131131 WRI131117:WRI131131 EW196653:EW196667 OS196653:OS196667 YO196653:YO196667 AIK196653:AIK196667 ASG196653:ASG196667 BCC196653:BCC196667 BLY196653:BLY196667 BVU196653:BVU196667 CFQ196653:CFQ196667 CPM196653:CPM196667 CZI196653:CZI196667 DJE196653:DJE196667 DTA196653:DTA196667 ECW196653:ECW196667 EMS196653:EMS196667 EWO196653:EWO196667 FGK196653:FGK196667 FQG196653:FQG196667 GAC196653:GAC196667 GJY196653:GJY196667 GTU196653:GTU196667 HDQ196653:HDQ196667 HNM196653:HNM196667 HXI196653:HXI196667 IHE196653:IHE196667 IRA196653:IRA196667 JAW196653:JAW196667 JKS196653:JKS196667 JUO196653:JUO196667 KEK196653:KEK196667 KOG196653:KOG196667 KYC196653:KYC196667 LHY196653:LHY196667 LRU196653:LRU196667 MBQ196653:MBQ196667 MLM196653:MLM196667 MVI196653:MVI196667 NFE196653:NFE196667 NPA196653:NPA196667 NYW196653:NYW196667 OIS196653:OIS196667 OSO196653:OSO196667 PCK196653:PCK196667 PMG196653:PMG196667 PWC196653:PWC196667 QFY196653:QFY196667 QPU196653:QPU196667 QZQ196653:QZQ196667 RJM196653:RJM196667 RTI196653:RTI196667 SDE196653:SDE196667 SNA196653:SNA196667 SWW196653:SWW196667 TGS196653:TGS196667 TQO196653:TQO196667 UAK196653:UAK196667 UKG196653:UKG196667 UUC196653:UUC196667 VDY196653:VDY196667 VNU196653:VNU196667 VXQ196653:VXQ196667 WHM196653:WHM196667 WRI196653:WRI196667 EW262189:EW262203 OS262189:OS262203 YO262189:YO262203 AIK262189:AIK262203 ASG262189:ASG262203 BCC262189:BCC262203 BLY262189:BLY262203 BVU262189:BVU262203 CFQ262189:CFQ262203 CPM262189:CPM262203 CZI262189:CZI262203 DJE262189:DJE262203 DTA262189:DTA262203 ECW262189:ECW262203 EMS262189:EMS262203 EWO262189:EWO262203 FGK262189:FGK262203 FQG262189:FQG262203 GAC262189:GAC262203 GJY262189:GJY262203 GTU262189:GTU262203 HDQ262189:HDQ262203 HNM262189:HNM262203 HXI262189:HXI262203 IHE262189:IHE262203 IRA262189:IRA262203 JAW262189:JAW262203 JKS262189:JKS262203 JUO262189:JUO262203 KEK262189:KEK262203 KOG262189:KOG262203 KYC262189:KYC262203 LHY262189:LHY262203 LRU262189:LRU262203 MBQ262189:MBQ262203 MLM262189:MLM262203 MVI262189:MVI262203 NFE262189:NFE262203 NPA262189:NPA262203 NYW262189:NYW262203 OIS262189:OIS262203 OSO262189:OSO262203 PCK262189:PCK262203 PMG262189:PMG262203 PWC262189:PWC262203 QFY262189:QFY262203 QPU262189:QPU262203 QZQ262189:QZQ262203 RJM262189:RJM262203 RTI262189:RTI262203 SDE262189:SDE262203 SNA262189:SNA262203 SWW262189:SWW262203 TGS262189:TGS262203 TQO262189:TQO262203 UAK262189:UAK262203 UKG262189:UKG262203 UUC262189:UUC262203 VDY262189:VDY262203 VNU262189:VNU262203 VXQ262189:VXQ262203 WHM262189:WHM262203 WRI262189:WRI262203 EW327725:EW327739 OS327725:OS327739 YO327725:YO327739 AIK327725:AIK327739 ASG327725:ASG327739 BCC327725:BCC327739 BLY327725:BLY327739 BVU327725:BVU327739 CFQ327725:CFQ327739 CPM327725:CPM327739 CZI327725:CZI327739 DJE327725:DJE327739 DTA327725:DTA327739 ECW327725:ECW327739 EMS327725:EMS327739 EWO327725:EWO327739 FGK327725:FGK327739 FQG327725:FQG327739 GAC327725:GAC327739 GJY327725:GJY327739 GTU327725:GTU327739 HDQ327725:HDQ327739 HNM327725:HNM327739 HXI327725:HXI327739 IHE327725:IHE327739 IRA327725:IRA327739 JAW327725:JAW327739 JKS327725:JKS327739 JUO327725:JUO327739 KEK327725:KEK327739 KOG327725:KOG327739 KYC327725:KYC327739 LHY327725:LHY327739 LRU327725:LRU327739 MBQ327725:MBQ327739 MLM327725:MLM327739 MVI327725:MVI327739 NFE327725:NFE327739 NPA327725:NPA327739 NYW327725:NYW327739 OIS327725:OIS327739 OSO327725:OSO327739 PCK327725:PCK327739 PMG327725:PMG327739 PWC327725:PWC327739 QFY327725:QFY327739 QPU327725:QPU327739 QZQ327725:QZQ327739 RJM327725:RJM327739 RTI327725:RTI327739 SDE327725:SDE327739 SNA327725:SNA327739 SWW327725:SWW327739 TGS327725:TGS327739 TQO327725:TQO327739 UAK327725:UAK327739 UKG327725:UKG327739 UUC327725:UUC327739 VDY327725:VDY327739 VNU327725:VNU327739 VXQ327725:VXQ327739 WHM327725:WHM327739 WRI327725:WRI327739 EW393261:EW393275 OS393261:OS393275 YO393261:YO393275 AIK393261:AIK393275 ASG393261:ASG393275 BCC393261:BCC393275 BLY393261:BLY393275 BVU393261:BVU393275 CFQ393261:CFQ393275 CPM393261:CPM393275 CZI393261:CZI393275 DJE393261:DJE393275 DTA393261:DTA393275 ECW393261:ECW393275 EMS393261:EMS393275 EWO393261:EWO393275 FGK393261:FGK393275 FQG393261:FQG393275 GAC393261:GAC393275 GJY393261:GJY393275 GTU393261:GTU393275 HDQ393261:HDQ393275 HNM393261:HNM393275 HXI393261:HXI393275 IHE393261:IHE393275 IRA393261:IRA393275 JAW393261:JAW393275 JKS393261:JKS393275 JUO393261:JUO393275 KEK393261:KEK393275 KOG393261:KOG393275 KYC393261:KYC393275 LHY393261:LHY393275 LRU393261:LRU393275 MBQ393261:MBQ393275 MLM393261:MLM393275 MVI393261:MVI393275 NFE393261:NFE393275 NPA393261:NPA393275 NYW393261:NYW393275 OIS393261:OIS393275 OSO393261:OSO393275 PCK393261:PCK393275 PMG393261:PMG393275 PWC393261:PWC393275 QFY393261:QFY393275 QPU393261:QPU393275 QZQ393261:QZQ393275 RJM393261:RJM393275 RTI393261:RTI393275 SDE393261:SDE393275 SNA393261:SNA393275 SWW393261:SWW393275 TGS393261:TGS393275 TQO393261:TQO393275 UAK393261:UAK393275 UKG393261:UKG393275 UUC393261:UUC393275 VDY393261:VDY393275 VNU393261:VNU393275 VXQ393261:VXQ393275 WHM393261:WHM393275 WRI393261:WRI393275 EW458797:EW458811 OS458797:OS458811 YO458797:YO458811 AIK458797:AIK458811 ASG458797:ASG458811 BCC458797:BCC458811 BLY458797:BLY458811 BVU458797:BVU458811 CFQ458797:CFQ458811 CPM458797:CPM458811 CZI458797:CZI458811 DJE458797:DJE458811 DTA458797:DTA458811 ECW458797:ECW458811 EMS458797:EMS458811 EWO458797:EWO458811 FGK458797:FGK458811 FQG458797:FQG458811 GAC458797:GAC458811 GJY458797:GJY458811 GTU458797:GTU458811 HDQ458797:HDQ458811 HNM458797:HNM458811 HXI458797:HXI458811 IHE458797:IHE458811 IRA458797:IRA458811 JAW458797:JAW458811 JKS458797:JKS458811 JUO458797:JUO458811 KEK458797:KEK458811 KOG458797:KOG458811 KYC458797:KYC458811 LHY458797:LHY458811 LRU458797:LRU458811 MBQ458797:MBQ458811 MLM458797:MLM458811 MVI458797:MVI458811 NFE458797:NFE458811 NPA458797:NPA458811 NYW458797:NYW458811 OIS458797:OIS458811 OSO458797:OSO458811 PCK458797:PCK458811 PMG458797:PMG458811 PWC458797:PWC458811 QFY458797:QFY458811 QPU458797:QPU458811 QZQ458797:QZQ458811 RJM458797:RJM458811 RTI458797:RTI458811 SDE458797:SDE458811 SNA458797:SNA458811 SWW458797:SWW458811 TGS458797:TGS458811 TQO458797:TQO458811 UAK458797:UAK458811 UKG458797:UKG458811 UUC458797:UUC458811 VDY458797:VDY458811 VNU458797:VNU458811 VXQ458797:VXQ458811 WHM458797:WHM458811 WRI458797:WRI458811 EW524333:EW524347 OS524333:OS524347 YO524333:YO524347 AIK524333:AIK524347 ASG524333:ASG524347 BCC524333:BCC524347 BLY524333:BLY524347 BVU524333:BVU524347 CFQ524333:CFQ524347 CPM524333:CPM524347 CZI524333:CZI524347 DJE524333:DJE524347 DTA524333:DTA524347 ECW524333:ECW524347 EMS524333:EMS524347 EWO524333:EWO524347 FGK524333:FGK524347 FQG524333:FQG524347 GAC524333:GAC524347 GJY524333:GJY524347 GTU524333:GTU524347 HDQ524333:HDQ524347 HNM524333:HNM524347 HXI524333:HXI524347 IHE524333:IHE524347 IRA524333:IRA524347 JAW524333:JAW524347 JKS524333:JKS524347 JUO524333:JUO524347 KEK524333:KEK524347 KOG524333:KOG524347 KYC524333:KYC524347 LHY524333:LHY524347 LRU524333:LRU524347 MBQ524333:MBQ524347 MLM524333:MLM524347 MVI524333:MVI524347 NFE524333:NFE524347 NPA524333:NPA524347 NYW524333:NYW524347 OIS524333:OIS524347 OSO524333:OSO524347 PCK524333:PCK524347 PMG524333:PMG524347 PWC524333:PWC524347 QFY524333:QFY524347 QPU524333:QPU524347 QZQ524333:QZQ524347 RJM524333:RJM524347 RTI524333:RTI524347 SDE524333:SDE524347 SNA524333:SNA524347 SWW524333:SWW524347 TGS524333:TGS524347 TQO524333:TQO524347 UAK524333:UAK524347 UKG524333:UKG524347 UUC524333:UUC524347 VDY524333:VDY524347 VNU524333:VNU524347 VXQ524333:VXQ524347 WHM524333:WHM524347 WRI524333:WRI524347 EW589869:EW589883 OS589869:OS589883 YO589869:YO589883 AIK589869:AIK589883 ASG589869:ASG589883 BCC589869:BCC589883 BLY589869:BLY589883 BVU589869:BVU589883 CFQ589869:CFQ589883 CPM589869:CPM589883 CZI589869:CZI589883 DJE589869:DJE589883 DTA589869:DTA589883 ECW589869:ECW589883 EMS589869:EMS589883 EWO589869:EWO589883 FGK589869:FGK589883 FQG589869:FQG589883 GAC589869:GAC589883 GJY589869:GJY589883 GTU589869:GTU589883 HDQ589869:HDQ589883 HNM589869:HNM589883 HXI589869:HXI589883 IHE589869:IHE589883 IRA589869:IRA589883 JAW589869:JAW589883 JKS589869:JKS589883 JUO589869:JUO589883 KEK589869:KEK589883 KOG589869:KOG589883 KYC589869:KYC589883 LHY589869:LHY589883 LRU589869:LRU589883 MBQ589869:MBQ589883 MLM589869:MLM589883 MVI589869:MVI589883 NFE589869:NFE589883 NPA589869:NPA589883 NYW589869:NYW589883 OIS589869:OIS589883 OSO589869:OSO589883 PCK589869:PCK589883 PMG589869:PMG589883 PWC589869:PWC589883 QFY589869:QFY589883 QPU589869:QPU589883 QZQ589869:QZQ589883 RJM589869:RJM589883 RTI589869:RTI589883 SDE589869:SDE589883 SNA589869:SNA589883 SWW589869:SWW589883 TGS589869:TGS589883 TQO589869:TQO589883 UAK589869:UAK589883 UKG589869:UKG589883 UUC589869:UUC589883 VDY589869:VDY589883 VNU589869:VNU589883 VXQ589869:VXQ589883 WHM589869:WHM589883 WRI589869:WRI589883 EW655405:EW655419 OS655405:OS655419 YO655405:YO655419 AIK655405:AIK655419 ASG655405:ASG655419 BCC655405:BCC655419 BLY655405:BLY655419 BVU655405:BVU655419 CFQ655405:CFQ655419 CPM655405:CPM655419 CZI655405:CZI655419 DJE655405:DJE655419 DTA655405:DTA655419 ECW655405:ECW655419 EMS655405:EMS655419 EWO655405:EWO655419 FGK655405:FGK655419 FQG655405:FQG655419 GAC655405:GAC655419 GJY655405:GJY655419 GTU655405:GTU655419 HDQ655405:HDQ655419 HNM655405:HNM655419 HXI655405:HXI655419 IHE655405:IHE655419 IRA655405:IRA655419 JAW655405:JAW655419 JKS655405:JKS655419 JUO655405:JUO655419 KEK655405:KEK655419 KOG655405:KOG655419 KYC655405:KYC655419 LHY655405:LHY655419 LRU655405:LRU655419 MBQ655405:MBQ655419 MLM655405:MLM655419 MVI655405:MVI655419 NFE655405:NFE655419 NPA655405:NPA655419 NYW655405:NYW655419 OIS655405:OIS655419 OSO655405:OSO655419 PCK655405:PCK655419 PMG655405:PMG655419 PWC655405:PWC655419 QFY655405:QFY655419 QPU655405:QPU655419 QZQ655405:QZQ655419 RJM655405:RJM655419 RTI655405:RTI655419 SDE655405:SDE655419 SNA655405:SNA655419 SWW655405:SWW655419 TGS655405:TGS655419 TQO655405:TQO655419 UAK655405:UAK655419 UKG655405:UKG655419 UUC655405:UUC655419 VDY655405:VDY655419 VNU655405:VNU655419 VXQ655405:VXQ655419 WHM655405:WHM655419 WRI655405:WRI655419 EW720941:EW720955 OS720941:OS720955 YO720941:YO720955 AIK720941:AIK720955 ASG720941:ASG720955 BCC720941:BCC720955 BLY720941:BLY720955 BVU720941:BVU720955 CFQ720941:CFQ720955 CPM720941:CPM720955 CZI720941:CZI720955 DJE720941:DJE720955 DTA720941:DTA720955 ECW720941:ECW720955 EMS720941:EMS720955 EWO720941:EWO720955 FGK720941:FGK720955 FQG720941:FQG720955 GAC720941:GAC720955 GJY720941:GJY720955 GTU720941:GTU720955 HDQ720941:HDQ720955 HNM720941:HNM720955 HXI720941:HXI720955 IHE720941:IHE720955 IRA720941:IRA720955 JAW720941:JAW720955 JKS720941:JKS720955 JUO720941:JUO720955 KEK720941:KEK720955 KOG720941:KOG720955 KYC720941:KYC720955 LHY720941:LHY720955 LRU720941:LRU720955 MBQ720941:MBQ720955 MLM720941:MLM720955 MVI720941:MVI720955 NFE720941:NFE720955 NPA720941:NPA720955 NYW720941:NYW720955 OIS720941:OIS720955 OSO720941:OSO720955 PCK720941:PCK720955 PMG720941:PMG720955 PWC720941:PWC720955 QFY720941:QFY720955 QPU720941:QPU720955 QZQ720941:QZQ720955 RJM720941:RJM720955 RTI720941:RTI720955 SDE720941:SDE720955 SNA720941:SNA720955 SWW720941:SWW720955 TGS720941:TGS720955 TQO720941:TQO720955 UAK720941:UAK720955 UKG720941:UKG720955 UUC720941:UUC720955 VDY720941:VDY720955 VNU720941:VNU720955 VXQ720941:VXQ720955 WHM720941:WHM720955 WRI720941:WRI720955 EW786477:EW786491 OS786477:OS786491 YO786477:YO786491 AIK786477:AIK786491 ASG786477:ASG786491 BCC786477:BCC786491 BLY786477:BLY786491 BVU786477:BVU786491 CFQ786477:CFQ786491 CPM786477:CPM786491 CZI786477:CZI786491 DJE786477:DJE786491 DTA786477:DTA786491 ECW786477:ECW786491 EMS786477:EMS786491 EWO786477:EWO786491 FGK786477:FGK786491 FQG786477:FQG786491 GAC786477:GAC786491 GJY786477:GJY786491 GTU786477:GTU786491 HDQ786477:HDQ786491 HNM786477:HNM786491 HXI786477:HXI786491 IHE786477:IHE786491 IRA786477:IRA786491 JAW786477:JAW786491 JKS786477:JKS786491 JUO786477:JUO786491 KEK786477:KEK786491 KOG786477:KOG786491 KYC786477:KYC786491 LHY786477:LHY786491 LRU786477:LRU786491 MBQ786477:MBQ786491 MLM786477:MLM786491 MVI786477:MVI786491 NFE786477:NFE786491 NPA786477:NPA786491 NYW786477:NYW786491 OIS786477:OIS786491 OSO786477:OSO786491 PCK786477:PCK786491 PMG786477:PMG786491 PWC786477:PWC786491 QFY786477:QFY786491 QPU786477:QPU786491 QZQ786477:QZQ786491 RJM786477:RJM786491 RTI786477:RTI786491 SDE786477:SDE786491 SNA786477:SNA786491 SWW786477:SWW786491 TGS786477:TGS786491 TQO786477:TQO786491 UAK786477:UAK786491 UKG786477:UKG786491 UUC786477:UUC786491 VDY786477:VDY786491 VNU786477:VNU786491 VXQ786477:VXQ786491 WHM786477:WHM786491 WRI786477:WRI786491 EW852013:EW852027 OS852013:OS852027 YO852013:YO852027 AIK852013:AIK852027 ASG852013:ASG852027 BCC852013:BCC852027 BLY852013:BLY852027 BVU852013:BVU852027 CFQ852013:CFQ852027 CPM852013:CPM852027 CZI852013:CZI852027 DJE852013:DJE852027 DTA852013:DTA852027 ECW852013:ECW852027 EMS852013:EMS852027 EWO852013:EWO852027 FGK852013:FGK852027 FQG852013:FQG852027 GAC852013:GAC852027 GJY852013:GJY852027 GTU852013:GTU852027 HDQ852013:HDQ852027 HNM852013:HNM852027 HXI852013:HXI852027 IHE852013:IHE852027 IRA852013:IRA852027 JAW852013:JAW852027 JKS852013:JKS852027 JUO852013:JUO852027 KEK852013:KEK852027 KOG852013:KOG852027 KYC852013:KYC852027 LHY852013:LHY852027 LRU852013:LRU852027 MBQ852013:MBQ852027 MLM852013:MLM852027 MVI852013:MVI852027 NFE852013:NFE852027 NPA852013:NPA852027 NYW852013:NYW852027 OIS852013:OIS852027 OSO852013:OSO852027 PCK852013:PCK852027 PMG852013:PMG852027 PWC852013:PWC852027 QFY852013:QFY852027 QPU852013:QPU852027 QZQ852013:QZQ852027 RJM852013:RJM852027 RTI852013:RTI852027 SDE852013:SDE852027 SNA852013:SNA852027 SWW852013:SWW852027 TGS852013:TGS852027 TQO852013:TQO852027 UAK852013:UAK852027 UKG852013:UKG852027 UUC852013:UUC852027 VDY852013:VDY852027 VNU852013:VNU852027 VXQ852013:VXQ852027 WHM852013:WHM852027 WRI852013:WRI852027 EW917549:EW917563 OS917549:OS917563 YO917549:YO917563 AIK917549:AIK917563 ASG917549:ASG917563 BCC917549:BCC917563 BLY917549:BLY917563 BVU917549:BVU917563 CFQ917549:CFQ917563 CPM917549:CPM917563 CZI917549:CZI917563 DJE917549:DJE917563 DTA917549:DTA917563 ECW917549:ECW917563 EMS917549:EMS917563 EWO917549:EWO917563 FGK917549:FGK917563 FQG917549:FQG917563 GAC917549:GAC917563 GJY917549:GJY917563 GTU917549:GTU917563 HDQ917549:HDQ917563 HNM917549:HNM917563 HXI917549:HXI917563 IHE917549:IHE917563 IRA917549:IRA917563 JAW917549:JAW917563 JKS917549:JKS917563 JUO917549:JUO917563 KEK917549:KEK917563 KOG917549:KOG917563 KYC917549:KYC917563 LHY917549:LHY917563 LRU917549:LRU917563 MBQ917549:MBQ917563 MLM917549:MLM917563 MVI917549:MVI917563 NFE917549:NFE917563 NPA917549:NPA917563 NYW917549:NYW917563 OIS917549:OIS917563 OSO917549:OSO917563 PCK917549:PCK917563 PMG917549:PMG917563 PWC917549:PWC917563 QFY917549:QFY917563 QPU917549:QPU917563 QZQ917549:QZQ917563 RJM917549:RJM917563 RTI917549:RTI917563 SDE917549:SDE917563 SNA917549:SNA917563 SWW917549:SWW917563 TGS917549:TGS917563 TQO917549:TQO917563 UAK917549:UAK917563 UKG917549:UKG917563 UUC917549:UUC917563 VDY917549:VDY917563 VNU917549:VNU917563 VXQ917549:VXQ917563 WHM917549:WHM917563 WRI917549:WRI917563 EW983085:EW983099 OS983085:OS983099 YO983085:YO983099 AIK983085:AIK983099 ASG983085:ASG983099 BCC983085:BCC983099 BLY983085:BLY983099 BVU983085:BVU983099 CFQ983085:CFQ983099 CPM983085:CPM983099 CZI983085:CZI983099 DJE983085:DJE983099 DTA983085:DTA983099 ECW983085:ECW983099 EMS983085:EMS983099 EWO983085:EWO983099 FGK983085:FGK983099 FQG983085:FQG983099 GAC983085:GAC983099 GJY983085:GJY983099 GTU983085:GTU983099 HDQ983085:HDQ983099 HNM983085:HNM983099 HXI983085:HXI983099 IHE983085:IHE983099 IRA983085:IRA983099 JAW983085:JAW983099 JKS983085:JKS983099 JUO983085:JUO983099 KEK983085:KEK983099 KOG983085:KOG983099 KYC983085:KYC983099 LHY983085:LHY983099 LRU983085:LRU983099 MBQ983085:MBQ983099 MLM983085:MLM983099 MVI983085:MVI983099 NFE983085:NFE983099 NPA983085:NPA983099 NYW983085:NYW983099 OIS983085:OIS983099 OSO983085:OSO983099 PCK983085:PCK983099 PMG983085:PMG983099 PWC983085:PWC983099 QFY983085:QFY983099 QPU983085:QPU983099 QZQ983085:QZQ983099 RJM983085:RJM983099 RTI983085:RTI983099 SDE983085:SDE983099 SNA983085:SNA983099 SWW983085:SWW983099 TGS983085:TGS983099 TQO983085:TQO983099 UAK983085:UAK983099 UKG983085:UKG983099 UUC983085:UUC983099 VDY983085:VDY983099 VNU983085:VNU983099 VXQ983085:VXQ983099 WHM983085:WHM983099 WRI983085:WRI983099 EW65568:EW65569 OS65568:OS65569 YO65568:YO65569 AIK65568:AIK65569 ASG65568:ASG65569 BCC65568:BCC65569 BLY65568:BLY65569 BVU65568:BVU65569 CFQ65568:CFQ65569 CPM65568:CPM65569 CZI65568:CZI65569 DJE65568:DJE65569 DTA65568:DTA65569 ECW65568:ECW65569 EMS65568:EMS65569 EWO65568:EWO65569 FGK65568:FGK65569 FQG65568:FQG65569 GAC65568:GAC65569 GJY65568:GJY65569 GTU65568:GTU65569 HDQ65568:HDQ65569 HNM65568:HNM65569 HXI65568:HXI65569 IHE65568:IHE65569 IRA65568:IRA65569 JAW65568:JAW65569 JKS65568:JKS65569 JUO65568:JUO65569 KEK65568:KEK65569 KOG65568:KOG65569 KYC65568:KYC65569 LHY65568:LHY65569 LRU65568:LRU65569 MBQ65568:MBQ65569 MLM65568:MLM65569 MVI65568:MVI65569 NFE65568:NFE65569 NPA65568:NPA65569 NYW65568:NYW65569 OIS65568:OIS65569 OSO65568:OSO65569 PCK65568:PCK65569 PMG65568:PMG65569 PWC65568:PWC65569 QFY65568:QFY65569 QPU65568:QPU65569 QZQ65568:QZQ65569 RJM65568:RJM65569 RTI65568:RTI65569 SDE65568:SDE65569 SNA65568:SNA65569 SWW65568:SWW65569 TGS65568:TGS65569 TQO65568:TQO65569 UAK65568:UAK65569 UKG65568:UKG65569 UUC65568:UUC65569 VDY65568:VDY65569 VNU65568:VNU65569 VXQ65568:VXQ65569 WHM65568:WHM65569 WRI65568:WRI65569 EW131104:EW131105 OS131104:OS131105 YO131104:YO131105 AIK131104:AIK131105 ASG131104:ASG131105 BCC131104:BCC131105 BLY131104:BLY131105 BVU131104:BVU131105 CFQ131104:CFQ131105 CPM131104:CPM131105 CZI131104:CZI131105 DJE131104:DJE131105 DTA131104:DTA131105 ECW131104:ECW131105 EMS131104:EMS131105 EWO131104:EWO131105 FGK131104:FGK131105 FQG131104:FQG131105 GAC131104:GAC131105 GJY131104:GJY131105 GTU131104:GTU131105 HDQ131104:HDQ131105 HNM131104:HNM131105 HXI131104:HXI131105 IHE131104:IHE131105 IRA131104:IRA131105 JAW131104:JAW131105 JKS131104:JKS131105 JUO131104:JUO131105 KEK131104:KEK131105 KOG131104:KOG131105 KYC131104:KYC131105 LHY131104:LHY131105 LRU131104:LRU131105 MBQ131104:MBQ131105 MLM131104:MLM131105 MVI131104:MVI131105 NFE131104:NFE131105 NPA131104:NPA131105 NYW131104:NYW131105 OIS131104:OIS131105 OSO131104:OSO131105 PCK131104:PCK131105 PMG131104:PMG131105 PWC131104:PWC131105 QFY131104:QFY131105 QPU131104:QPU131105 QZQ131104:QZQ131105 RJM131104:RJM131105 RTI131104:RTI131105 SDE131104:SDE131105 SNA131104:SNA131105 SWW131104:SWW131105 TGS131104:TGS131105 TQO131104:TQO131105 UAK131104:UAK131105 UKG131104:UKG131105 UUC131104:UUC131105 VDY131104:VDY131105 VNU131104:VNU131105 VXQ131104:VXQ131105 WHM131104:WHM131105 WRI131104:WRI131105 EW196640:EW196641 OS196640:OS196641 YO196640:YO196641 AIK196640:AIK196641 ASG196640:ASG196641 BCC196640:BCC196641 BLY196640:BLY196641 BVU196640:BVU196641 CFQ196640:CFQ196641 CPM196640:CPM196641 CZI196640:CZI196641 DJE196640:DJE196641 DTA196640:DTA196641 ECW196640:ECW196641 EMS196640:EMS196641 EWO196640:EWO196641 FGK196640:FGK196641 FQG196640:FQG196641 GAC196640:GAC196641 GJY196640:GJY196641 GTU196640:GTU196641 HDQ196640:HDQ196641 HNM196640:HNM196641 HXI196640:HXI196641 IHE196640:IHE196641 IRA196640:IRA196641 JAW196640:JAW196641 JKS196640:JKS196641 JUO196640:JUO196641 KEK196640:KEK196641 KOG196640:KOG196641 KYC196640:KYC196641 LHY196640:LHY196641 LRU196640:LRU196641 MBQ196640:MBQ196641 MLM196640:MLM196641 MVI196640:MVI196641 NFE196640:NFE196641 NPA196640:NPA196641 NYW196640:NYW196641 OIS196640:OIS196641 OSO196640:OSO196641 PCK196640:PCK196641 PMG196640:PMG196641 PWC196640:PWC196641 QFY196640:QFY196641 QPU196640:QPU196641 QZQ196640:QZQ196641 RJM196640:RJM196641 RTI196640:RTI196641 SDE196640:SDE196641 SNA196640:SNA196641 SWW196640:SWW196641 TGS196640:TGS196641 TQO196640:TQO196641 UAK196640:UAK196641 UKG196640:UKG196641 UUC196640:UUC196641 VDY196640:VDY196641 VNU196640:VNU196641 VXQ196640:VXQ196641 WHM196640:WHM196641 WRI196640:WRI196641 EW262176:EW262177 OS262176:OS262177 YO262176:YO262177 AIK262176:AIK262177 ASG262176:ASG262177 BCC262176:BCC262177 BLY262176:BLY262177 BVU262176:BVU262177 CFQ262176:CFQ262177 CPM262176:CPM262177 CZI262176:CZI262177 DJE262176:DJE262177 DTA262176:DTA262177 ECW262176:ECW262177 EMS262176:EMS262177 EWO262176:EWO262177 FGK262176:FGK262177 FQG262176:FQG262177 GAC262176:GAC262177 GJY262176:GJY262177 GTU262176:GTU262177 HDQ262176:HDQ262177 HNM262176:HNM262177 HXI262176:HXI262177 IHE262176:IHE262177 IRA262176:IRA262177 JAW262176:JAW262177 JKS262176:JKS262177 JUO262176:JUO262177 KEK262176:KEK262177 KOG262176:KOG262177 KYC262176:KYC262177 LHY262176:LHY262177 LRU262176:LRU262177 MBQ262176:MBQ262177 MLM262176:MLM262177 MVI262176:MVI262177 NFE262176:NFE262177 NPA262176:NPA262177 NYW262176:NYW262177 OIS262176:OIS262177 OSO262176:OSO262177 PCK262176:PCK262177 PMG262176:PMG262177 PWC262176:PWC262177 QFY262176:QFY262177 QPU262176:QPU262177 QZQ262176:QZQ262177 RJM262176:RJM262177 RTI262176:RTI262177 SDE262176:SDE262177 SNA262176:SNA262177 SWW262176:SWW262177 TGS262176:TGS262177 TQO262176:TQO262177 UAK262176:UAK262177 UKG262176:UKG262177 UUC262176:UUC262177 VDY262176:VDY262177 VNU262176:VNU262177 VXQ262176:VXQ262177 WHM262176:WHM262177 WRI262176:WRI262177 EW327712:EW327713 OS327712:OS327713 YO327712:YO327713 AIK327712:AIK327713 ASG327712:ASG327713 BCC327712:BCC327713 BLY327712:BLY327713 BVU327712:BVU327713 CFQ327712:CFQ327713 CPM327712:CPM327713 CZI327712:CZI327713 DJE327712:DJE327713 DTA327712:DTA327713 ECW327712:ECW327713 EMS327712:EMS327713 EWO327712:EWO327713 FGK327712:FGK327713 FQG327712:FQG327713 GAC327712:GAC327713 GJY327712:GJY327713 GTU327712:GTU327713 HDQ327712:HDQ327713 HNM327712:HNM327713 HXI327712:HXI327713 IHE327712:IHE327713 IRA327712:IRA327713 JAW327712:JAW327713 JKS327712:JKS327713 JUO327712:JUO327713 KEK327712:KEK327713 KOG327712:KOG327713 KYC327712:KYC327713 LHY327712:LHY327713 LRU327712:LRU327713 MBQ327712:MBQ327713 MLM327712:MLM327713 MVI327712:MVI327713 NFE327712:NFE327713 NPA327712:NPA327713 NYW327712:NYW327713 OIS327712:OIS327713 OSO327712:OSO327713 PCK327712:PCK327713 PMG327712:PMG327713 PWC327712:PWC327713 QFY327712:QFY327713 QPU327712:QPU327713 QZQ327712:QZQ327713 RJM327712:RJM327713 RTI327712:RTI327713 SDE327712:SDE327713 SNA327712:SNA327713 SWW327712:SWW327713 TGS327712:TGS327713 TQO327712:TQO327713 UAK327712:UAK327713 UKG327712:UKG327713 UUC327712:UUC327713 VDY327712:VDY327713 VNU327712:VNU327713 VXQ327712:VXQ327713 WHM327712:WHM327713 WRI327712:WRI327713 EW393248:EW393249 OS393248:OS393249 YO393248:YO393249 AIK393248:AIK393249 ASG393248:ASG393249 BCC393248:BCC393249 BLY393248:BLY393249 BVU393248:BVU393249 CFQ393248:CFQ393249 CPM393248:CPM393249 CZI393248:CZI393249 DJE393248:DJE393249 DTA393248:DTA393249 ECW393248:ECW393249 EMS393248:EMS393249 EWO393248:EWO393249 FGK393248:FGK393249 FQG393248:FQG393249 GAC393248:GAC393249 GJY393248:GJY393249 GTU393248:GTU393249 HDQ393248:HDQ393249 HNM393248:HNM393249 HXI393248:HXI393249 IHE393248:IHE393249 IRA393248:IRA393249 JAW393248:JAW393249 JKS393248:JKS393249 JUO393248:JUO393249 KEK393248:KEK393249 KOG393248:KOG393249 KYC393248:KYC393249 LHY393248:LHY393249 LRU393248:LRU393249 MBQ393248:MBQ393249 MLM393248:MLM393249 MVI393248:MVI393249 NFE393248:NFE393249 NPA393248:NPA393249 NYW393248:NYW393249 OIS393248:OIS393249 OSO393248:OSO393249 PCK393248:PCK393249 PMG393248:PMG393249 PWC393248:PWC393249 QFY393248:QFY393249 QPU393248:QPU393249 QZQ393248:QZQ393249 RJM393248:RJM393249 RTI393248:RTI393249 SDE393248:SDE393249 SNA393248:SNA393249 SWW393248:SWW393249 TGS393248:TGS393249 TQO393248:TQO393249 UAK393248:UAK393249 UKG393248:UKG393249 UUC393248:UUC393249 VDY393248:VDY393249 VNU393248:VNU393249 VXQ393248:VXQ393249 WHM393248:WHM393249 WRI393248:WRI393249 EW458784:EW458785 OS458784:OS458785 YO458784:YO458785 AIK458784:AIK458785 ASG458784:ASG458785 BCC458784:BCC458785 BLY458784:BLY458785 BVU458784:BVU458785 CFQ458784:CFQ458785 CPM458784:CPM458785 CZI458784:CZI458785 DJE458784:DJE458785 DTA458784:DTA458785 ECW458784:ECW458785 EMS458784:EMS458785 EWO458784:EWO458785 FGK458784:FGK458785 FQG458784:FQG458785 GAC458784:GAC458785 GJY458784:GJY458785 GTU458784:GTU458785 HDQ458784:HDQ458785 HNM458784:HNM458785 HXI458784:HXI458785 IHE458784:IHE458785 IRA458784:IRA458785 JAW458784:JAW458785 JKS458784:JKS458785 JUO458784:JUO458785 KEK458784:KEK458785 KOG458784:KOG458785 KYC458784:KYC458785 LHY458784:LHY458785 LRU458784:LRU458785 MBQ458784:MBQ458785 MLM458784:MLM458785 MVI458784:MVI458785 NFE458784:NFE458785 NPA458784:NPA458785 NYW458784:NYW458785 OIS458784:OIS458785 OSO458784:OSO458785 PCK458784:PCK458785 PMG458784:PMG458785 PWC458784:PWC458785 QFY458784:QFY458785 QPU458784:QPU458785 QZQ458784:QZQ458785 RJM458784:RJM458785 RTI458784:RTI458785 SDE458784:SDE458785 SNA458784:SNA458785 SWW458784:SWW458785 TGS458784:TGS458785 TQO458784:TQO458785 UAK458784:UAK458785 UKG458784:UKG458785 UUC458784:UUC458785 VDY458784:VDY458785 VNU458784:VNU458785 VXQ458784:VXQ458785 WHM458784:WHM458785 WRI458784:WRI458785 EW524320:EW524321 OS524320:OS524321 YO524320:YO524321 AIK524320:AIK524321 ASG524320:ASG524321 BCC524320:BCC524321 BLY524320:BLY524321 BVU524320:BVU524321 CFQ524320:CFQ524321 CPM524320:CPM524321 CZI524320:CZI524321 DJE524320:DJE524321 DTA524320:DTA524321 ECW524320:ECW524321 EMS524320:EMS524321 EWO524320:EWO524321 FGK524320:FGK524321 FQG524320:FQG524321 GAC524320:GAC524321 GJY524320:GJY524321 GTU524320:GTU524321 HDQ524320:HDQ524321 HNM524320:HNM524321 HXI524320:HXI524321 IHE524320:IHE524321 IRA524320:IRA524321 JAW524320:JAW524321 JKS524320:JKS524321 JUO524320:JUO524321 KEK524320:KEK524321 KOG524320:KOG524321 KYC524320:KYC524321 LHY524320:LHY524321 LRU524320:LRU524321 MBQ524320:MBQ524321 MLM524320:MLM524321 MVI524320:MVI524321 NFE524320:NFE524321 NPA524320:NPA524321 NYW524320:NYW524321 OIS524320:OIS524321 OSO524320:OSO524321 PCK524320:PCK524321 PMG524320:PMG524321 PWC524320:PWC524321 QFY524320:QFY524321 QPU524320:QPU524321 QZQ524320:QZQ524321 RJM524320:RJM524321 RTI524320:RTI524321 SDE524320:SDE524321 SNA524320:SNA524321 SWW524320:SWW524321 TGS524320:TGS524321 TQO524320:TQO524321 UAK524320:UAK524321 UKG524320:UKG524321 UUC524320:UUC524321 VDY524320:VDY524321 VNU524320:VNU524321 VXQ524320:VXQ524321 WHM524320:WHM524321 WRI524320:WRI524321 EW589856:EW589857 OS589856:OS589857 YO589856:YO589857 AIK589856:AIK589857 ASG589856:ASG589857 BCC589856:BCC589857 BLY589856:BLY589857 BVU589856:BVU589857 CFQ589856:CFQ589857 CPM589856:CPM589857 CZI589856:CZI589857 DJE589856:DJE589857 DTA589856:DTA589857 ECW589856:ECW589857 EMS589856:EMS589857 EWO589856:EWO589857 FGK589856:FGK589857 FQG589856:FQG589857 GAC589856:GAC589857 GJY589856:GJY589857 GTU589856:GTU589857 HDQ589856:HDQ589857 HNM589856:HNM589857 HXI589856:HXI589857 IHE589856:IHE589857 IRA589856:IRA589857 JAW589856:JAW589857 JKS589856:JKS589857 JUO589856:JUO589857 KEK589856:KEK589857 KOG589856:KOG589857 KYC589856:KYC589857 LHY589856:LHY589857 LRU589856:LRU589857 MBQ589856:MBQ589857 MLM589856:MLM589857 MVI589856:MVI589857 NFE589856:NFE589857 NPA589856:NPA589857 NYW589856:NYW589857 OIS589856:OIS589857 OSO589856:OSO589857 PCK589856:PCK589857 PMG589856:PMG589857 PWC589856:PWC589857 QFY589856:QFY589857 QPU589856:QPU589857 QZQ589856:QZQ589857 RJM589856:RJM589857 RTI589856:RTI589857 SDE589856:SDE589857 SNA589856:SNA589857 SWW589856:SWW589857 TGS589856:TGS589857 TQO589856:TQO589857 UAK589856:UAK589857 UKG589856:UKG589857 UUC589856:UUC589857 VDY589856:VDY589857 VNU589856:VNU589857 VXQ589856:VXQ589857 WHM589856:WHM589857 WRI589856:WRI589857 EW655392:EW655393 OS655392:OS655393 YO655392:YO655393 AIK655392:AIK655393 ASG655392:ASG655393 BCC655392:BCC655393 BLY655392:BLY655393 BVU655392:BVU655393 CFQ655392:CFQ655393 CPM655392:CPM655393 CZI655392:CZI655393 DJE655392:DJE655393 DTA655392:DTA655393 ECW655392:ECW655393 EMS655392:EMS655393 EWO655392:EWO655393 FGK655392:FGK655393 FQG655392:FQG655393 GAC655392:GAC655393 GJY655392:GJY655393 GTU655392:GTU655393 HDQ655392:HDQ655393 HNM655392:HNM655393 HXI655392:HXI655393 IHE655392:IHE655393 IRA655392:IRA655393 JAW655392:JAW655393 JKS655392:JKS655393 JUO655392:JUO655393 KEK655392:KEK655393 KOG655392:KOG655393 KYC655392:KYC655393 LHY655392:LHY655393 LRU655392:LRU655393 MBQ655392:MBQ655393 MLM655392:MLM655393 MVI655392:MVI655393 NFE655392:NFE655393 NPA655392:NPA655393 NYW655392:NYW655393 OIS655392:OIS655393 OSO655392:OSO655393 PCK655392:PCK655393 PMG655392:PMG655393 PWC655392:PWC655393 QFY655392:QFY655393 QPU655392:QPU655393 QZQ655392:QZQ655393 RJM655392:RJM655393 RTI655392:RTI655393 SDE655392:SDE655393 SNA655392:SNA655393 SWW655392:SWW655393 TGS655392:TGS655393 TQO655392:TQO655393 UAK655392:UAK655393 UKG655392:UKG655393 UUC655392:UUC655393 VDY655392:VDY655393 VNU655392:VNU655393 VXQ655392:VXQ655393 WHM655392:WHM655393 WRI655392:WRI655393 EW720928:EW720929 OS720928:OS720929 YO720928:YO720929 AIK720928:AIK720929 ASG720928:ASG720929 BCC720928:BCC720929 BLY720928:BLY720929 BVU720928:BVU720929 CFQ720928:CFQ720929 CPM720928:CPM720929 CZI720928:CZI720929 DJE720928:DJE720929 DTA720928:DTA720929 ECW720928:ECW720929 EMS720928:EMS720929 EWO720928:EWO720929 FGK720928:FGK720929 FQG720928:FQG720929 GAC720928:GAC720929 GJY720928:GJY720929 GTU720928:GTU720929 HDQ720928:HDQ720929 HNM720928:HNM720929 HXI720928:HXI720929 IHE720928:IHE720929 IRA720928:IRA720929 JAW720928:JAW720929 JKS720928:JKS720929 JUO720928:JUO720929 KEK720928:KEK720929 KOG720928:KOG720929 KYC720928:KYC720929 LHY720928:LHY720929 LRU720928:LRU720929 MBQ720928:MBQ720929 MLM720928:MLM720929 MVI720928:MVI720929 NFE720928:NFE720929 NPA720928:NPA720929 NYW720928:NYW720929 OIS720928:OIS720929 OSO720928:OSO720929 PCK720928:PCK720929 PMG720928:PMG720929 PWC720928:PWC720929 QFY720928:QFY720929 QPU720928:QPU720929 QZQ720928:QZQ720929 RJM720928:RJM720929 RTI720928:RTI720929 SDE720928:SDE720929 SNA720928:SNA720929 SWW720928:SWW720929 TGS720928:TGS720929 TQO720928:TQO720929 UAK720928:UAK720929 UKG720928:UKG720929 UUC720928:UUC720929 VDY720928:VDY720929 VNU720928:VNU720929 VXQ720928:VXQ720929 WHM720928:WHM720929 WRI720928:WRI720929 EW786464:EW786465 OS786464:OS786465 YO786464:YO786465 AIK786464:AIK786465 ASG786464:ASG786465 BCC786464:BCC786465 BLY786464:BLY786465 BVU786464:BVU786465 CFQ786464:CFQ786465 CPM786464:CPM786465 CZI786464:CZI786465 DJE786464:DJE786465 DTA786464:DTA786465 ECW786464:ECW786465 EMS786464:EMS786465 EWO786464:EWO786465 FGK786464:FGK786465 FQG786464:FQG786465 GAC786464:GAC786465 GJY786464:GJY786465 GTU786464:GTU786465 HDQ786464:HDQ786465 HNM786464:HNM786465 HXI786464:HXI786465 IHE786464:IHE786465 IRA786464:IRA786465 JAW786464:JAW786465 JKS786464:JKS786465 JUO786464:JUO786465 KEK786464:KEK786465 KOG786464:KOG786465 KYC786464:KYC786465 LHY786464:LHY786465 LRU786464:LRU786465 MBQ786464:MBQ786465 MLM786464:MLM786465 MVI786464:MVI786465 NFE786464:NFE786465 NPA786464:NPA786465 NYW786464:NYW786465 OIS786464:OIS786465 OSO786464:OSO786465 PCK786464:PCK786465 PMG786464:PMG786465 PWC786464:PWC786465 QFY786464:QFY786465 QPU786464:QPU786465 QZQ786464:QZQ786465 RJM786464:RJM786465 RTI786464:RTI786465 SDE786464:SDE786465 SNA786464:SNA786465 SWW786464:SWW786465 TGS786464:TGS786465 TQO786464:TQO786465 UAK786464:UAK786465 UKG786464:UKG786465 UUC786464:UUC786465 VDY786464:VDY786465 VNU786464:VNU786465 VXQ786464:VXQ786465 WHM786464:WHM786465 WRI786464:WRI786465 EW852000:EW852001 OS852000:OS852001 YO852000:YO852001 AIK852000:AIK852001 ASG852000:ASG852001 BCC852000:BCC852001 BLY852000:BLY852001 BVU852000:BVU852001 CFQ852000:CFQ852001 CPM852000:CPM852001 CZI852000:CZI852001 DJE852000:DJE852001 DTA852000:DTA852001 ECW852000:ECW852001 EMS852000:EMS852001 EWO852000:EWO852001 FGK852000:FGK852001 FQG852000:FQG852001 GAC852000:GAC852001 GJY852000:GJY852001 GTU852000:GTU852001 HDQ852000:HDQ852001 HNM852000:HNM852001 HXI852000:HXI852001 IHE852000:IHE852001 IRA852000:IRA852001 JAW852000:JAW852001 JKS852000:JKS852001 JUO852000:JUO852001 KEK852000:KEK852001 KOG852000:KOG852001 KYC852000:KYC852001 LHY852000:LHY852001 LRU852000:LRU852001 MBQ852000:MBQ852001 MLM852000:MLM852001 MVI852000:MVI852001 NFE852000:NFE852001 NPA852000:NPA852001 NYW852000:NYW852001 OIS852000:OIS852001 OSO852000:OSO852001 PCK852000:PCK852001 PMG852000:PMG852001 PWC852000:PWC852001 QFY852000:QFY852001 QPU852000:QPU852001 QZQ852000:QZQ852001 RJM852000:RJM852001 RTI852000:RTI852001 SDE852000:SDE852001 SNA852000:SNA852001 SWW852000:SWW852001 TGS852000:TGS852001 TQO852000:TQO852001 UAK852000:UAK852001 UKG852000:UKG852001 UUC852000:UUC852001 VDY852000:VDY852001 VNU852000:VNU852001 VXQ852000:VXQ852001 WHM852000:WHM852001 WRI852000:WRI852001 EW917536:EW917537 OS917536:OS917537 YO917536:YO917537 AIK917536:AIK917537 ASG917536:ASG917537 BCC917536:BCC917537 BLY917536:BLY917537 BVU917536:BVU917537 CFQ917536:CFQ917537 CPM917536:CPM917537 CZI917536:CZI917537 DJE917536:DJE917537 DTA917536:DTA917537 ECW917536:ECW917537 EMS917536:EMS917537 EWO917536:EWO917537 FGK917536:FGK917537 FQG917536:FQG917537 GAC917536:GAC917537 GJY917536:GJY917537 GTU917536:GTU917537 HDQ917536:HDQ917537 HNM917536:HNM917537 HXI917536:HXI917537 IHE917536:IHE917537 IRA917536:IRA917537 JAW917536:JAW917537 JKS917536:JKS917537 JUO917536:JUO917537 KEK917536:KEK917537 KOG917536:KOG917537 KYC917536:KYC917537 LHY917536:LHY917537 LRU917536:LRU917537 MBQ917536:MBQ917537 MLM917536:MLM917537 MVI917536:MVI917537 NFE917536:NFE917537 NPA917536:NPA917537 NYW917536:NYW917537 OIS917536:OIS917537 OSO917536:OSO917537 PCK917536:PCK917537 PMG917536:PMG917537 PWC917536:PWC917537 QFY917536:QFY917537 QPU917536:QPU917537 QZQ917536:QZQ917537 RJM917536:RJM917537 RTI917536:RTI917537 SDE917536:SDE917537 SNA917536:SNA917537 SWW917536:SWW917537 TGS917536:TGS917537 TQO917536:TQO917537 UAK917536:UAK917537 UKG917536:UKG917537 UUC917536:UUC917537 VDY917536:VDY917537 VNU917536:VNU917537 VXQ917536:VXQ917537 WHM917536:WHM917537 WRI917536:WRI917537 EW983072:EW983073 OS983072:OS983073 YO983072:YO983073 AIK983072:AIK983073 ASG983072:ASG983073 BCC983072:BCC983073 BLY983072:BLY983073 BVU983072:BVU983073 CFQ983072:CFQ983073 CPM983072:CPM983073 CZI983072:CZI983073 DJE983072:DJE983073 DTA983072:DTA983073 ECW983072:ECW983073 EMS983072:EMS983073 EWO983072:EWO983073 FGK983072:FGK983073 FQG983072:FQG983073 GAC983072:GAC983073 GJY983072:GJY983073 GTU983072:GTU983073 HDQ983072:HDQ983073 HNM983072:HNM983073 HXI983072:HXI983073 IHE983072:IHE983073 IRA983072:IRA983073 JAW983072:JAW983073 JKS983072:JKS983073 JUO983072:JUO983073 KEK983072:KEK983073 KOG983072:KOG983073 KYC983072:KYC983073 LHY983072:LHY983073 LRU983072:LRU983073 MBQ983072:MBQ983073 MLM983072:MLM983073 MVI983072:MVI983073 NFE983072:NFE983073 NPA983072:NPA983073 NYW983072:NYW983073 OIS983072:OIS983073 OSO983072:OSO983073 PCK983072:PCK983073 PMG983072:PMG983073 PWC983072:PWC983073 QFY983072:QFY983073 QPU983072:QPU983073 QZQ983072:QZQ983073 RJM983072:RJM983073 RTI983072:RTI983073 SDE983072:SDE983073 SNA983072:SNA983073 SWW983072:SWW983073 TGS983072:TGS983073 TQO983072:TQO983073 UAK983072:UAK983073 UKG983072:UKG983073 UUC983072:UUC983073 VDY983072:VDY983073 VNU983072:VNU983073 VXQ983072:VXQ983073 WHM983072:WHM983073 WRI983072:WRI983073 EW65600:EW65604 OS65600:OS65604 YO65600:YO65604 AIK65600:AIK65604 ASG65600:ASG65604 BCC65600:BCC65604 BLY65600:BLY65604 BVU65600:BVU65604 CFQ65600:CFQ65604 CPM65600:CPM65604 CZI65600:CZI65604 DJE65600:DJE65604 DTA65600:DTA65604 ECW65600:ECW65604 EMS65600:EMS65604 EWO65600:EWO65604 FGK65600:FGK65604 FQG65600:FQG65604 GAC65600:GAC65604 GJY65600:GJY65604 GTU65600:GTU65604 HDQ65600:HDQ65604 HNM65600:HNM65604 HXI65600:HXI65604 IHE65600:IHE65604 IRA65600:IRA65604 JAW65600:JAW65604 JKS65600:JKS65604 JUO65600:JUO65604 KEK65600:KEK65604 KOG65600:KOG65604 KYC65600:KYC65604 LHY65600:LHY65604 LRU65600:LRU65604 MBQ65600:MBQ65604 MLM65600:MLM65604 MVI65600:MVI65604 NFE65600:NFE65604 NPA65600:NPA65604 NYW65600:NYW65604 OIS65600:OIS65604 OSO65600:OSO65604 PCK65600:PCK65604 PMG65600:PMG65604 PWC65600:PWC65604 QFY65600:QFY65604 QPU65600:QPU65604 QZQ65600:QZQ65604 RJM65600:RJM65604 RTI65600:RTI65604 SDE65600:SDE65604 SNA65600:SNA65604 SWW65600:SWW65604 TGS65600:TGS65604 TQO65600:TQO65604 UAK65600:UAK65604 UKG65600:UKG65604 UUC65600:UUC65604 VDY65600:VDY65604 VNU65600:VNU65604 VXQ65600:VXQ65604 WHM65600:WHM65604 WRI65600:WRI65604 EW131136:EW131140 OS131136:OS131140 YO131136:YO131140 AIK131136:AIK131140 ASG131136:ASG131140 BCC131136:BCC131140 BLY131136:BLY131140 BVU131136:BVU131140 CFQ131136:CFQ131140 CPM131136:CPM131140 CZI131136:CZI131140 DJE131136:DJE131140 DTA131136:DTA131140 ECW131136:ECW131140 EMS131136:EMS131140 EWO131136:EWO131140 FGK131136:FGK131140 FQG131136:FQG131140 GAC131136:GAC131140 GJY131136:GJY131140 GTU131136:GTU131140 HDQ131136:HDQ131140 HNM131136:HNM131140 HXI131136:HXI131140 IHE131136:IHE131140 IRA131136:IRA131140 JAW131136:JAW131140 JKS131136:JKS131140 JUO131136:JUO131140 KEK131136:KEK131140 KOG131136:KOG131140 KYC131136:KYC131140 LHY131136:LHY131140 LRU131136:LRU131140 MBQ131136:MBQ131140 MLM131136:MLM131140 MVI131136:MVI131140 NFE131136:NFE131140 NPA131136:NPA131140 NYW131136:NYW131140 OIS131136:OIS131140 OSO131136:OSO131140 PCK131136:PCK131140 PMG131136:PMG131140 PWC131136:PWC131140 QFY131136:QFY131140 QPU131136:QPU131140 QZQ131136:QZQ131140 RJM131136:RJM131140 RTI131136:RTI131140 SDE131136:SDE131140 SNA131136:SNA131140 SWW131136:SWW131140 TGS131136:TGS131140 TQO131136:TQO131140 UAK131136:UAK131140 UKG131136:UKG131140 UUC131136:UUC131140 VDY131136:VDY131140 VNU131136:VNU131140 VXQ131136:VXQ131140 WHM131136:WHM131140 WRI131136:WRI131140 EW196672:EW196676 OS196672:OS196676 YO196672:YO196676 AIK196672:AIK196676 ASG196672:ASG196676 BCC196672:BCC196676 BLY196672:BLY196676 BVU196672:BVU196676 CFQ196672:CFQ196676 CPM196672:CPM196676 CZI196672:CZI196676 DJE196672:DJE196676 DTA196672:DTA196676 ECW196672:ECW196676 EMS196672:EMS196676 EWO196672:EWO196676 FGK196672:FGK196676 FQG196672:FQG196676 GAC196672:GAC196676 GJY196672:GJY196676 GTU196672:GTU196676 HDQ196672:HDQ196676 HNM196672:HNM196676 HXI196672:HXI196676 IHE196672:IHE196676 IRA196672:IRA196676 JAW196672:JAW196676 JKS196672:JKS196676 JUO196672:JUO196676 KEK196672:KEK196676 KOG196672:KOG196676 KYC196672:KYC196676 LHY196672:LHY196676 LRU196672:LRU196676 MBQ196672:MBQ196676 MLM196672:MLM196676 MVI196672:MVI196676 NFE196672:NFE196676 NPA196672:NPA196676 NYW196672:NYW196676 OIS196672:OIS196676 OSO196672:OSO196676 PCK196672:PCK196676 PMG196672:PMG196676 PWC196672:PWC196676 QFY196672:QFY196676 QPU196672:QPU196676 QZQ196672:QZQ196676 RJM196672:RJM196676 RTI196672:RTI196676 SDE196672:SDE196676 SNA196672:SNA196676 SWW196672:SWW196676 TGS196672:TGS196676 TQO196672:TQO196676 UAK196672:UAK196676 UKG196672:UKG196676 UUC196672:UUC196676 VDY196672:VDY196676 VNU196672:VNU196676 VXQ196672:VXQ196676 WHM196672:WHM196676 WRI196672:WRI196676 EW262208:EW262212 OS262208:OS262212 YO262208:YO262212 AIK262208:AIK262212 ASG262208:ASG262212 BCC262208:BCC262212 BLY262208:BLY262212 BVU262208:BVU262212 CFQ262208:CFQ262212 CPM262208:CPM262212 CZI262208:CZI262212 DJE262208:DJE262212 DTA262208:DTA262212 ECW262208:ECW262212 EMS262208:EMS262212 EWO262208:EWO262212 FGK262208:FGK262212 FQG262208:FQG262212 GAC262208:GAC262212 GJY262208:GJY262212 GTU262208:GTU262212 HDQ262208:HDQ262212 HNM262208:HNM262212 HXI262208:HXI262212 IHE262208:IHE262212 IRA262208:IRA262212 JAW262208:JAW262212 JKS262208:JKS262212 JUO262208:JUO262212 KEK262208:KEK262212 KOG262208:KOG262212 KYC262208:KYC262212 LHY262208:LHY262212 LRU262208:LRU262212 MBQ262208:MBQ262212 MLM262208:MLM262212 MVI262208:MVI262212 NFE262208:NFE262212 NPA262208:NPA262212 NYW262208:NYW262212 OIS262208:OIS262212 OSO262208:OSO262212 PCK262208:PCK262212 PMG262208:PMG262212 PWC262208:PWC262212 QFY262208:QFY262212 QPU262208:QPU262212 QZQ262208:QZQ262212 RJM262208:RJM262212 RTI262208:RTI262212 SDE262208:SDE262212 SNA262208:SNA262212 SWW262208:SWW262212 TGS262208:TGS262212 TQO262208:TQO262212 UAK262208:UAK262212 UKG262208:UKG262212 UUC262208:UUC262212 VDY262208:VDY262212 VNU262208:VNU262212 VXQ262208:VXQ262212 WHM262208:WHM262212 WRI262208:WRI262212 EW327744:EW327748 OS327744:OS327748 YO327744:YO327748 AIK327744:AIK327748 ASG327744:ASG327748 BCC327744:BCC327748 BLY327744:BLY327748 BVU327744:BVU327748 CFQ327744:CFQ327748 CPM327744:CPM327748 CZI327744:CZI327748 DJE327744:DJE327748 DTA327744:DTA327748 ECW327744:ECW327748 EMS327744:EMS327748 EWO327744:EWO327748 FGK327744:FGK327748 FQG327744:FQG327748 GAC327744:GAC327748 GJY327744:GJY327748 GTU327744:GTU327748 HDQ327744:HDQ327748 HNM327744:HNM327748 HXI327744:HXI327748 IHE327744:IHE327748 IRA327744:IRA327748 JAW327744:JAW327748 JKS327744:JKS327748 JUO327744:JUO327748 KEK327744:KEK327748 KOG327744:KOG327748 KYC327744:KYC327748 LHY327744:LHY327748 LRU327744:LRU327748 MBQ327744:MBQ327748 MLM327744:MLM327748 MVI327744:MVI327748 NFE327744:NFE327748 NPA327744:NPA327748 NYW327744:NYW327748 OIS327744:OIS327748 OSO327744:OSO327748 PCK327744:PCK327748 PMG327744:PMG327748 PWC327744:PWC327748 QFY327744:QFY327748 QPU327744:QPU327748 QZQ327744:QZQ327748 RJM327744:RJM327748 RTI327744:RTI327748 SDE327744:SDE327748 SNA327744:SNA327748 SWW327744:SWW327748 TGS327744:TGS327748 TQO327744:TQO327748 UAK327744:UAK327748 UKG327744:UKG327748 UUC327744:UUC327748 VDY327744:VDY327748 VNU327744:VNU327748 VXQ327744:VXQ327748 WHM327744:WHM327748 WRI327744:WRI327748 EW393280:EW393284 OS393280:OS393284 YO393280:YO393284 AIK393280:AIK393284 ASG393280:ASG393284 BCC393280:BCC393284 BLY393280:BLY393284 BVU393280:BVU393284 CFQ393280:CFQ393284 CPM393280:CPM393284 CZI393280:CZI393284 DJE393280:DJE393284 DTA393280:DTA393284 ECW393280:ECW393284 EMS393280:EMS393284 EWO393280:EWO393284 FGK393280:FGK393284 FQG393280:FQG393284 GAC393280:GAC393284 GJY393280:GJY393284 GTU393280:GTU393284 HDQ393280:HDQ393284 HNM393280:HNM393284 HXI393280:HXI393284 IHE393280:IHE393284 IRA393280:IRA393284 JAW393280:JAW393284 JKS393280:JKS393284 JUO393280:JUO393284 KEK393280:KEK393284 KOG393280:KOG393284 KYC393280:KYC393284 LHY393280:LHY393284 LRU393280:LRU393284 MBQ393280:MBQ393284 MLM393280:MLM393284 MVI393280:MVI393284 NFE393280:NFE393284 NPA393280:NPA393284 NYW393280:NYW393284 OIS393280:OIS393284 OSO393280:OSO393284 PCK393280:PCK393284 PMG393280:PMG393284 PWC393280:PWC393284 QFY393280:QFY393284 QPU393280:QPU393284 QZQ393280:QZQ393284 RJM393280:RJM393284 RTI393280:RTI393284 SDE393280:SDE393284 SNA393280:SNA393284 SWW393280:SWW393284 TGS393280:TGS393284 TQO393280:TQO393284 UAK393280:UAK393284 UKG393280:UKG393284 UUC393280:UUC393284 VDY393280:VDY393284 VNU393280:VNU393284 VXQ393280:VXQ393284 WHM393280:WHM393284 WRI393280:WRI393284 EW458816:EW458820 OS458816:OS458820 YO458816:YO458820 AIK458816:AIK458820 ASG458816:ASG458820 BCC458816:BCC458820 BLY458816:BLY458820 BVU458816:BVU458820 CFQ458816:CFQ458820 CPM458816:CPM458820 CZI458816:CZI458820 DJE458816:DJE458820 DTA458816:DTA458820 ECW458816:ECW458820 EMS458816:EMS458820 EWO458816:EWO458820 FGK458816:FGK458820 FQG458816:FQG458820 GAC458816:GAC458820 GJY458816:GJY458820 GTU458816:GTU458820 HDQ458816:HDQ458820 HNM458816:HNM458820 HXI458816:HXI458820 IHE458816:IHE458820 IRA458816:IRA458820 JAW458816:JAW458820 JKS458816:JKS458820 JUO458816:JUO458820 KEK458816:KEK458820 KOG458816:KOG458820 KYC458816:KYC458820 LHY458816:LHY458820 LRU458816:LRU458820 MBQ458816:MBQ458820 MLM458816:MLM458820 MVI458816:MVI458820 NFE458816:NFE458820 NPA458816:NPA458820 NYW458816:NYW458820 OIS458816:OIS458820 OSO458816:OSO458820 PCK458816:PCK458820 PMG458816:PMG458820 PWC458816:PWC458820 QFY458816:QFY458820 QPU458816:QPU458820 QZQ458816:QZQ458820 RJM458816:RJM458820 RTI458816:RTI458820 SDE458816:SDE458820 SNA458816:SNA458820 SWW458816:SWW458820 TGS458816:TGS458820 TQO458816:TQO458820 UAK458816:UAK458820 UKG458816:UKG458820 UUC458816:UUC458820 VDY458816:VDY458820 VNU458816:VNU458820 VXQ458816:VXQ458820 WHM458816:WHM458820 WRI458816:WRI458820 EW524352:EW524356 OS524352:OS524356 YO524352:YO524356 AIK524352:AIK524356 ASG524352:ASG524356 BCC524352:BCC524356 BLY524352:BLY524356 BVU524352:BVU524356 CFQ524352:CFQ524356 CPM524352:CPM524356 CZI524352:CZI524356 DJE524352:DJE524356 DTA524352:DTA524356 ECW524352:ECW524356 EMS524352:EMS524356 EWO524352:EWO524356 FGK524352:FGK524356 FQG524352:FQG524356 GAC524352:GAC524356 GJY524352:GJY524356 GTU524352:GTU524356 HDQ524352:HDQ524356 HNM524352:HNM524356 HXI524352:HXI524356 IHE524352:IHE524356 IRA524352:IRA524356 JAW524352:JAW524356 JKS524352:JKS524356 JUO524352:JUO524356 KEK524352:KEK524356 KOG524352:KOG524356 KYC524352:KYC524356 LHY524352:LHY524356 LRU524352:LRU524356 MBQ524352:MBQ524356 MLM524352:MLM524356 MVI524352:MVI524356 NFE524352:NFE524356 NPA524352:NPA524356 NYW524352:NYW524356 OIS524352:OIS524356 OSO524352:OSO524356 PCK524352:PCK524356 PMG524352:PMG524356 PWC524352:PWC524356 QFY524352:QFY524356 QPU524352:QPU524356 QZQ524352:QZQ524356 RJM524352:RJM524356 RTI524352:RTI524356 SDE524352:SDE524356 SNA524352:SNA524356 SWW524352:SWW524356 TGS524352:TGS524356 TQO524352:TQO524356 UAK524352:UAK524356 UKG524352:UKG524356 UUC524352:UUC524356 VDY524352:VDY524356 VNU524352:VNU524356 VXQ524352:VXQ524356 WHM524352:WHM524356 WRI524352:WRI524356 EW589888:EW589892 OS589888:OS589892 YO589888:YO589892 AIK589888:AIK589892 ASG589888:ASG589892 BCC589888:BCC589892 BLY589888:BLY589892 BVU589888:BVU589892 CFQ589888:CFQ589892 CPM589888:CPM589892 CZI589888:CZI589892 DJE589888:DJE589892 DTA589888:DTA589892 ECW589888:ECW589892 EMS589888:EMS589892 EWO589888:EWO589892 FGK589888:FGK589892 FQG589888:FQG589892 GAC589888:GAC589892 GJY589888:GJY589892 GTU589888:GTU589892 HDQ589888:HDQ589892 HNM589888:HNM589892 HXI589888:HXI589892 IHE589888:IHE589892 IRA589888:IRA589892 JAW589888:JAW589892 JKS589888:JKS589892 JUO589888:JUO589892 KEK589888:KEK589892 KOG589888:KOG589892 KYC589888:KYC589892 LHY589888:LHY589892 LRU589888:LRU589892 MBQ589888:MBQ589892 MLM589888:MLM589892 MVI589888:MVI589892 NFE589888:NFE589892 NPA589888:NPA589892 NYW589888:NYW589892 OIS589888:OIS589892 OSO589888:OSO589892 PCK589888:PCK589892 PMG589888:PMG589892 PWC589888:PWC589892 QFY589888:QFY589892 QPU589888:QPU589892 QZQ589888:QZQ589892 RJM589888:RJM589892 RTI589888:RTI589892 SDE589888:SDE589892 SNA589888:SNA589892 SWW589888:SWW589892 TGS589888:TGS589892 TQO589888:TQO589892 UAK589888:UAK589892 UKG589888:UKG589892 UUC589888:UUC589892 VDY589888:VDY589892 VNU589888:VNU589892 VXQ589888:VXQ589892 WHM589888:WHM589892 WRI589888:WRI589892 EW655424:EW655428 OS655424:OS655428 YO655424:YO655428 AIK655424:AIK655428 ASG655424:ASG655428 BCC655424:BCC655428 BLY655424:BLY655428 BVU655424:BVU655428 CFQ655424:CFQ655428 CPM655424:CPM655428 CZI655424:CZI655428 DJE655424:DJE655428 DTA655424:DTA655428 ECW655424:ECW655428 EMS655424:EMS655428 EWO655424:EWO655428 FGK655424:FGK655428 FQG655424:FQG655428 GAC655424:GAC655428 GJY655424:GJY655428 GTU655424:GTU655428 HDQ655424:HDQ655428 HNM655424:HNM655428 HXI655424:HXI655428 IHE655424:IHE655428 IRA655424:IRA655428 JAW655424:JAW655428 JKS655424:JKS655428 JUO655424:JUO655428 KEK655424:KEK655428 KOG655424:KOG655428 KYC655424:KYC655428 LHY655424:LHY655428 LRU655424:LRU655428 MBQ655424:MBQ655428 MLM655424:MLM655428 MVI655424:MVI655428 NFE655424:NFE655428 NPA655424:NPA655428 NYW655424:NYW655428 OIS655424:OIS655428 OSO655424:OSO655428 PCK655424:PCK655428 PMG655424:PMG655428 PWC655424:PWC655428 QFY655424:QFY655428 QPU655424:QPU655428 QZQ655424:QZQ655428 RJM655424:RJM655428 RTI655424:RTI655428 SDE655424:SDE655428 SNA655424:SNA655428 SWW655424:SWW655428 TGS655424:TGS655428 TQO655424:TQO655428 UAK655424:UAK655428 UKG655424:UKG655428 UUC655424:UUC655428 VDY655424:VDY655428 VNU655424:VNU655428 VXQ655424:VXQ655428 WHM655424:WHM655428 WRI655424:WRI655428 EW720960:EW720964 OS720960:OS720964 YO720960:YO720964 AIK720960:AIK720964 ASG720960:ASG720964 BCC720960:BCC720964 BLY720960:BLY720964 BVU720960:BVU720964 CFQ720960:CFQ720964 CPM720960:CPM720964 CZI720960:CZI720964 DJE720960:DJE720964 DTA720960:DTA720964 ECW720960:ECW720964 EMS720960:EMS720964 EWO720960:EWO720964 FGK720960:FGK720964 FQG720960:FQG720964 GAC720960:GAC720964 GJY720960:GJY720964 GTU720960:GTU720964 HDQ720960:HDQ720964 HNM720960:HNM720964 HXI720960:HXI720964 IHE720960:IHE720964 IRA720960:IRA720964 JAW720960:JAW720964 JKS720960:JKS720964 JUO720960:JUO720964 KEK720960:KEK720964 KOG720960:KOG720964 KYC720960:KYC720964 LHY720960:LHY720964 LRU720960:LRU720964 MBQ720960:MBQ720964 MLM720960:MLM720964 MVI720960:MVI720964 NFE720960:NFE720964 NPA720960:NPA720964 NYW720960:NYW720964 OIS720960:OIS720964 OSO720960:OSO720964 PCK720960:PCK720964 PMG720960:PMG720964 PWC720960:PWC720964 QFY720960:QFY720964 QPU720960:QPU720964 QZQ720960:QZQ720964 RJM720960:RJM720964 RTI720960:RTI720964 SDE720960:SDE720964 SNA720960:SNA720964 SWW720960:SWW720964 TGS720960:TGS720964 TQO720960:TQO720964 UAK720960:UAK720964 UKG720960:UKG720964 UUC720960:UUC720964 VDY720960:VDY720964 VNU720960:VNU720964 VXQ720960:VXQ720964 WHM720960:WHM720964 WRI720960:WRI720964 EW786496:EW786500 OS786496:OS786500 YO786496:YO786500 AIK786496:AIK786500 ASG786496:ASG786500 BCC786496:BCC786500 BLY786496:BLY786500 BVU786496:BVU786500 CFQ786496:CFQ786500 CPM786496:CPM786500 CZI786496:CZI786500 DJE786496:DJE786500 DTA786496:DTA786500 ECW786496:ECW786500 EMS786496:EMS786500 EWO786496:EWO786500 FGK786496:FGK786500 FQG786496:FQG786500 GAC786496:GAC786500 GJY786496:GJY786500 GTU786496:GTU786500 HDQ786496:HDQ786500 HNM786496:HNM786500 HXI786496:HXI786500 IHE786496:IHE786500 IRA786496:IRA786500 JAW786496:JAW786500 JKS786496:JKS786500 JUO786496:JUO786500 KEK786496:KEK786500 KOG786496:KOG786500 KYC786496:KYC786500 LHY786496:LHY786500 LRU786496:LRU786500 MBQ786496:MBQ786500 MLM786496:MLM786500 MVI786496:MVI786500 NFE786496:NFE786500 NPA786496:NPA786500 NYW786496:NYW786500 OIS786496:OIS786500 OSO786496:OSO786500 PCK786496:PCK786500 PMG786496:PMG786500 PWC786496:PWC786500 QFY786496:QFY786500 QPU786496:QPU786500 QZQ786496:QZQ786500 RJM786496:RJM786500 RTI786496:RTI786500 SDE786496:SDE786500 SNA786496:SNA786500 SWW786496:SWW786500 TGS786496:TGS786500 TQO786496:TQO786500 UAK786496:UAK786500 UKG786496:UKG786500 UUC786496:UUC786500 VDY786496:VDY786500 VNU786496:VNU786500 VXQ786496:VXQ786500 WHM786496:WHM786500 WRI786496:WRI786500 EW852032:EW852036 OS852032:OS852036 YO852032:YO852036 AIK852032:AIK852036 ASG852032:ASG852036 BCC852032:BCC852036 BLY852032:BLY852036 BVU852032:BVU852036 CFQ852032:CFQ852036 CPM852032:CPM852036 CZI852032:CZI852036 DJE852032:DJE852036 DTA852032:DTA852036 ECW852032:ECW852036 EMS852032:EMS852036 EWO852032:EWO852036 FGK852032:FGK852036 FQG852032:FQG852036 GAC852032:GAC852036 GJY852032:GJY852036 GTU852032:GTU852036 HDQ852032:HDQ852036 HNM852032:HNM852036 HXI852032:HXI852036 IHE852032:IHE852036 IRA852032:IRA852036 JAW852032:JAW852036 JKS852032:JKS852036 JUO852032:JUO852036 KEK852032:KEK852036 KOG852032:KOG852036 KYC852032:KYC852036 LHY852032:LHY852036 LRU852032:LRU852036 MBQ852032:MBQ852036 MLM852032:MLM852036 MVI852032:MVI852036 NFE852032:NFE852036 NPA852032:NPA852036 NYW852032:NYW852036 OIS852032:OIS852036 OSO852032:OSO852036 PCK852032:PCK852036 PMG852032:PMG852036 PWC852032:PWC852036 QFY852032:QFY852036 QPU852032:QPU852036 QZQ852032:QZQ852036 RJM852032:RJM852036 RTI852032:RTI852036 SDE852032:SDE852036 SNA852032:SNA852036 SWW852032:SWW852036 TGS852032:TGS852036 TQO852032:TQO852036 UAK852032:UAK852036 UKG852032:UKG852036 UUC852032:UUC852036 VDY852032:VDY852036 VNU852032:VNU852036 VXQ852032:VXQ852036 WHM852032:WHM852036 WRI852032:WRI852036 EW917568:EW917572 OS917568:OS917572 YO917568:YO917572 AIK917568:AIK917572 ASG917568:ASG917572 BCC917568:BCC917572 BLY917568:BLY917572 BVU917568:BVU917572 CFQ917568:CFQ917572 CPM917568:CPM917572 CZI917568:CZI917572 DJE917568:DJE917572 DTA917568:DTA917572 ECW917568:ECW917572 EMS917568:EMS917572 EWO917568:EWO917572 FGK917568:FGK917572 FQG917568:FQG917572 GAC917568:GAC917572 GJY917568:GJY917572 GTU917568:GTU917572 HDQ917568:HDQ917572 HNM917568:HNM917572 HXI917568:HXI917572 IHE917568:IHE917572 IRA917568:IRA917572 JAW917568:JAW917572 JKS917568:JKS917572 JUO917568:JUO917572 KEK917568:KEK917572 KOG917568:KOG917572 KYC917568:KYC917572 LHY917568:LHY917572 LRU917568:LRU917572 MBQ917568:MBQ917572 MLM917568:MLM917572 MVI917568:MVI917572 NFE917568:NFE917572 NPA917568:NPA917572 NYW917568:NYW917572 OIS917568:OIS917572 OSO917568:OSO917572 PCK917568:PCK917572 PMG917568:PMG917572 PWC917568:PWC917572 QFY917568:QFY917572 QPU917568:QPU917572 QZQ917568:QZQ917572 RJM917568:RJM917572 RTI917568:RTI917572 SDE917568:SDE917572 SNA917568:SNA917572 SWW917568:SWW917572 TGS917568:TGS917572 TQO917568:TQO917572 UAK917568:UAK917572 UKG917568:UKG917572 UUC917568:UUC917572 VDY917568:VDY917572 VNU917568:VNU917572 VXQ917568:VXQ917572 WHM917568:WHM917572 WRI917568:WRI917572 EW983104:EW983108 OS983104:OS983108 YO983104:YO983108 AIK983104:AIK983108 ASG983104:ASG983108 BCC983104:BCC983108 BLY983104:BLY983108 BVU983104:BVU983108 CFQ983104:CFQ983108 CPM983104:CPM983108 CZI983104:CZI983108 DJE983104:DJE983108 DTA983104:DTA983108 ECW983104:ECW983108 EMS983104:EMS983108 EWO983104:EWO983108 FGK983104:FGK983108 FQG983104:FQG983108 GAC983104:GAC983108 GJY983104:GJY983108 GTU983104:GTU983108 HDQ983104:HDQ983108 HNM983104:HNM983108 HXI983104:HXI983108 IHE983104:IHE983108 IRA983104:IRA983108 JAW983104:JAW983108 JKS983104:JKS983108 JUO983104:JUO983108 KEK983104:KEK983108 KOG983104:KOG983108 KYC983104:KYC983108 LHY983104:LHY983108 LRU983104:LRU983108 MBQ983104:MBQ983108 MLM983104:MLM983108 MVI983104:MVI983108 NFE983104:NFE983108 NPA983104:NPA983108 NYW983104:NYW983108 OIS983104:OIS983108 OSO983104:OSO983108 PCK983104:PCK983108 PMG983104:PMG983108 PWC983104:PWC983108 QFY983104:QFY983108 QPU983104:QPU983108 QZQ983104:QZQ983108 RJM983104:RJM983108 RTI983104:RTI983108 SDE983104:SDE983108 SNA983104:SNA983108 SWW983104:SWW983108 TGS983104:TGS983108 TQO983104:TQO983108 UAK983104:UAK983108 UKG983104:UKG983108 UUC983104:UUC983108 VDY983104:VDY983108 VNU983104:VNU983108 VXQ983104:VXQ983108 WHM983104:WHM983108 WRI983104:WRI983108 EW65651 OS65651 YO65651 AIK65651 ASG65651 BCC65651 BLY65651 BVU65651 CFQ65651 CPM65651 CZI65651 DJE65651 DTA65651 ECW65651 EMS65651 EWO65651 FGK65651 FQG65651 GAC65651 GJY65651 GTU65651 HDQ65651 HNM65651 HXI65651 IHE65651 IRA65651 JAW65651 JKS65651 JUO65651 KEK65651 KOG65651 KYC65651 LHY65651 LRU65651 MBQ65651 MLM65651 MVI65651 NFE65651 NPA65651 NYW65651 OIS65651 OSO65651 PCK65651 PMG65651 PWC65651 QFY65651 QPU65651 QZQ65651 RJM65651 RTI65651 SDE65651 SNA65651 SWW65651 TGS65651 TQO65651 UAK65651 UKG65651 UUC65651 VDY65651 VNU65651 VXQ65651 WHM65651 WRI65651 EW131187 OS131187 YO131187 AIK131187 ASG131187 BCC131187 BLY131187 BVU131187 CFQ131187 CPM131187 CZI131187 DJE131187 DTA131187 ECW131187 EMS131187 EWO131187 FGK131187 FQG131187 GAC131187 GJY131187 GTU131187 HDQ131187 HNM131187 HXI131187 IHE131187 IRA131187 JAW131187 JKS131187 JUO131187 KEK131187 KOG131187 KYC131187 LHY131187 LRU131187 MBQ131187 MLM131187 MVI131187 NFE131187 NPA131187 NYW131187 OIS131187 OSO131187 PCK131187 PMG131187 PWC131187 QFY131187 QPU131187 QZQ131187 RJM131187 RTI131187 SDE131187 SNA131187 SWW131187 TGS131187 TQO131187 UAK131187 UKG131187 UUC131187 VDY131187 VNU131187 VXQ131187 WHM131187 WRI131187 EW196723 OS196723 YO196723 AIK196723 ASG196723 BCC196723 BLY196723 BVU196723 CFQ196723 CPM196723 CZI196723 DJE196723 DTA196723 ECW196723 EMS196723 EWO196723 FGK196723 FQG196723 GAC196723 GJY196723 GTU196723 HDQ196723 HNM196723 HXI196723 IHE196723 IRA196723 JAW196723 JKS196723 JUO196723 KEK196723 KOG196723 KYC196723 LHY196723 LRU196723 MBQ196723 MLM196723 MVI196723 NFE196723 NPA196723 NYW196723 OIS196723 OSO196723 PCK196723 PMG196723 PWC196723 QFY196723 QPU196723 QZQ196723 RJM196723 RTI196723 SDE196723 SNA196723 SWW196723 TGS196723 TQO196723 UAK196723 UKG196723 UUC196723 VDY196723 VNU196723 VXQ196723 WHM196723 WRI196723 EW262259 OS262259 YO262259 AIK262259 ASG262259 BCC262259 BLY262259 BVU262259 CFQ262259 CPM262259 CZI262259 DJE262259 DTA262259 ECW262259 EMS262259 EWO262259 FGK262259 FQG262259 GAC262259 GJY262259 GTU262259 HDQ262259 HNM262259 HXI262259 IHE262259 IRA262259 JAW262259 JKS262259 JUO262259 KEK262259 KOG262259 KYC262259 LHY262259 LRU262259 MBQ262259 MLM262259 MVI262259 NFE262259 NPA262259 NYW262259 OIS262259 OSO262259 PCK262259 PMG262259 PWC262259 QFY262259 QPU262259 QZQ262259 RJM262259 RTI262259 SDE262259 SNA262259 SWW262259 TGS262259 TQO262259 UAK262259 UKG262259 UUC262259 VDY262259 VNU262259 VXQ262259 WHM262259 WRI262259 EW327795 OS327795 YO327795 AIK327795 ASG327795 BCC327795 BLY327795 BVU327795 CFQ327795 CPM327795 CZI327795 DJE327795 DTA327795 ECW327795 EMS327795 EWO327795 FGK327795 FQG327795 GAC327795 GJY327795 GTU327795 HDQ327795 HNM327795 HXI327795 IHE327795 IRA327795 JAW327795 JKS327795 JUO327795 KEK327795 KOG327795 KYC327795 LHY327795 LRU327795 MBQ327795 MLM327795 MVI327795 NFE327795 NPA327795 NYW327795 OIS327795 OSO327795 PCK327795 PMG327795 PWC327795 QFY327795 QPU327795 QZQ327795 RJM327795 RTI327795 SDE327795 SNA327795 SWW327795 TGS327795 TQO327795 UAK327795 UKG327795 UUC327795 VDY327795 VNU327795 VXQ327795 WHM327795 WRI327795 EW393331 OS393331 YO393331 AIK393331 ASG393331 BCC393331 BLY393331 BVU393331 CFQ393331 CPM393331 CZI393331 DJE393331 DTA393331 ECW393331 EMS393331 EWO393331 FGK393331 FQG393331 GAC393331 GJY393331 GTU393331 HDQ393331 HNM393331 HXI393331 IHE393331 IRA393331 JAW393331 JKS393331 JUO393331 KEK393331 KOG393331 KYC393331 LHY393331 LRU393331 MBQ393331 MLM393331 MVI393331 NFE393331 NPA393331 NYW393331 OIS393331 OSO393331 PCK393331 PMG393331 PWC393331 QFY393331 QPU393331 QZQ393331 RJM393331 RTI393331 SDE393331 SNA393331 SWW393331 TGS393331 TQO393331 UAK393331 UKG393331 UUC393331 VDY393331 VNU393331 VXQ393331 WHM393331 WRI393331 EW458867 OS458867 YO458867 AIK458867 ASG458867 BCC458867 BLY458867 BVU458867 CFQ458867 CPM458867 CZI458867 DJE458867 DTA458867 ECW458867 EMS458867 EWO458867 FGK458867 FQG458867 GAC458867 GJY458867 GTU458867 HDQ458867 HNM458867 HXI458867 IHE458867 IRA458867 JAW458867 JKS458867 JUO458867 KEK458867 KOG458867 KYC458867 LHY458867 LRU458867 MBQ458867 MLM458867 MVI458867 NFE458867 NPA458867 NYW458867 OIS458867 OSO458867 PCK458867 PMG458867 PWC458867 QFY458867 QPU458867 QZQ458867 RJM458867 RTI458867 SDE458867 SNA458867 SWW458867 TGS458867 TQO458867 UAK458867 UKG458867 UUC458867 VDY458867 VNU458867 VXQ458867 WHM458867 WRI458867 EW524403 OS524403 YO524403 AIK524403 ASG524403 BCC524403 BLY524403 BVU524403 CFQ524403 CPM524403 CZI524403 DJE524403 DTA524403 ECW524403 EMS524403 EWO524403 FGK524403 FQG524403 GAC524403 GJY524403 GTU524403 HDQ524403 HNM524403 HXI524403 IHE524403 IRA524403 JAW524403 JKS524403 JUO524403 KEK524403 KOG524403 KYC524403 LHY524403 LRU524403 MBQ524403 MLM524403 MVI524403 NFE524403 NPA524403 NYW524403 OIS524403 OSO524403 PCK524403 PMG524403 PWC524403 QFY524403 QPU524403 QZQ524403 RJM524403 RTI524403 SDE524403 SNA524403 SWW524403 TGS524403 TQO524403 UAK524403 UKG524403 UUC524403 VDY524403 VNU524403 VXQ524403 WHM524403 WRI524403 EW589939 OS589939 YO589939 AIK589939 ASG589939 BCC589939 BLY589939 BVU589939 CFQ589939 CPM589939 CZI589939 DJE589939 DTA589939 ECW589939 EMS589939 EWO589939 FGK589939 FQG589939 GAC589939 GJY589939 GTU589939 HDQ589939 HNM589939 HXI589939 IHE589939 IRA589939 JAW589939 JKS589939 JUO589939 KEK589939 KOG589939 KYC589939 LHY589939 LRU589939 MBQ589939 MLM589939 MVI589939 NFE589939 NPA589939 NYW589939 OIS589939 OSO589939 PCK589939 PMG589939 PWC589939 QFY589939 QPU589939 QZQ589939 RJM589939 RTI589939 SDE589939 SNA589939 SWW589939 TGS589939 TQO589939 UAK589939 UKG589939 UUC589939 VDY589939 VNU589939 VXQ589939 WHM589939 WRI589939 EW655475 OS655475 YO655475 AIK655475 ASG655475 BCC655475 BLY655475 BVU655475 CFQ655475 CPM655475 CZI655475 DJE655475 DTA655475 ECW655475 EMS655475 EWO655475 FGK655475 FQG655475 GAC655475 GJY655475 GTU655475 HDQ655475 HNM655475 HXI655475 IHE655475 IRA655475 JAW655475 JKS655475 JUO655475 KEK655475 KOG655475 KYC655475 LHY655475 LRU655475 MBQ655475 MLM655475 MVI655475 NFE655475 NPA655475 NYW655475 OIS655475 OSO655475 PCK655475 PMG655475 PWC655475 QFY655475 QPU655475 QZQ655475 RJM655475 RTI655475 SDE655475 SNA655475 SWW655475 TGS655475 TQO655475 UAK655475 UKG655475 UUC655475 VDY655475 VNU655475 VXQ655475 WHM655475 WRI655475 EW721011 OS721011 YO721011 AIK721011 ASG721011 BCC721011 BLY721011 BVU721011 CFQ721011 CPM721011 CZI721011 DJE721011 DTA721011 ECW721011 EMS721011 EWO721011 FGK721011 FQG721011 GAC721011 GJY721011 GTU721011 HDQ721011 HNM721011 HXI721011 IHE721011 IRA721011 JAW721011 JKS721011 JUO721011 KEK721011 KOG721011 KYC721011 LHY721011 LRU721011 MBQ721011 MLM721011 MVI721011 NFE721011 NPA721011 NYW721011 OIS721011 OSO721011 PCK721011 PMG721011 PWC721011 QFY721011 QPU721011 QZQ721011 RJM721011 RTI721011 SDE721011 SNA721011 SWW721011 TGS721011 TQO721011 UAK721011 UKG721011 UUC721011 VDY721011 VNU721011 VXQ721011 WHM721011 WRI721011 EW786547 OS786547 YO786547 AIK786547 ASG786547 BCC786547 BLY786547 BVU786547 CFQ786547 CPM786547 CZI786547 DJE786547 DTA786547 ECW786547 EMS786547 EWO786547 FGK786547 FQG786547 GAC786547 GJY786547 GTU786547 HDQ786547 HNM786547 HXI786547 IHE786547 IRA786547 JAW786547 JKS786547 JUO786547 KEK786547 KOG786547 KYC786547 LHY786547 LRU786547 MBQ786547 MLM786547 MVI786547 NFE786547 NPA786547 NYW786547 OIS786547 OSO786547 PCK786547 PMG786547 PWC786547 QFY786547 QPU786547 QZQ786547 RJM786547 RTI786547 SDE786547 SNA786547 SWW786547 TGS786547 TQO786547 UAK786547 UKG786547 UUC786547 VDY786547 VNU786547 VXQ786547 WHM786547 WRI786547 EW852083 OS852083 YO852083 AIK852083 ASG852083 BCC852083 BLY852083 BVU852083 CFQ852083 CPM852083 CZI852083 DJE852083 DTA852083 ECW852083 EMS852083 EWO852083 FGK852083 FQG852083 GAC852083 GJY852083 GTU852083 HDQ852083 HNM852083 HXI852083 IHE852083 IRA852083 JAW852083 JKS852083 JUO852083 KEK852083 KOG852083 KYC852083 LHY852083 LRU852083 MBQ852083 MLM852083 MVI852083 NFE852083 NPA852083 NYW852083 OIS852083 OSO852083 PCK852083 PMG852083 PWC852083 QFY852083 QPU852083 QZQ852083 RJM852083 RTI852083 SDE852083 SNA852083 SWW852083 TGS852083 TQO852083 UAK852083 UKG852083 UUC852083 VDY852083 VNU852083 VXQ852083 WHM852083 WRI852083 EW917619 OS917619 YO917619 AIK917619 ASG917619 BCC917619 BLY917619 BVU917619 CFQ917619 CPM917619 CZI917619 DJE917619 DTA917619 ECW917619 EMS917619 EWO917619 FGK917619 FQG917619 GAC917619 GJY917619 GTU917619 HDQ917619 HNM917619 HXI917619 IHE917619 IRA917619 JAW917619 JKS917619 JUO917619 KEK917619 KOG917619 KYC917619 LHY917619 LRU917619 MBQ917619 MLM917619 MVI917619 NFE917619 NPA917619 NYW917619 OIS917619 OSO917619 PCK917619 PMG917619 PWC917619 QFY917619 QPU917619 QZQ917619 RJM917619 RTI917619 SDE917619 SNA917619 SWW917619 TGS917619 TQO917619 UAK917619 UKG917619 UUC917619 VDY917619 VNU917619 VXQ917619 WHM917619 WRI917619 EW983155 OS983155 YO983155 AIK983155 ASG983155 BCC983155 BLY983155 BVU983155 CFQ983155 CPM983155 CZI983155 DJE983155 DTA983155 ECW983155 EMS983155 EWO983155 FGK983155 FQG983155 GAC983155 GJY983155 GTU983155 HDQ983155 HNM983155 HXI983155 IHE983155 IRA983155 JAW983155 JKS983155 JUO983155 KEK983155 KOG983155 KYC983155 LHY983155 LRU983155 MBQ983155 MLM983155 MVI983155 NFE983155 NPA983155 NYW983155 OIS983155 OSO983155 PCK983155 PMG983155 PWC983155 QFY983155 QPU983155 QZQ983155 RJM983155 RTI983155 SDE983155 SNA983155 SWW983155 TGS983155 TQO983155 UAK983155 UKG983155 UUC983155 VDY983155 VNU983155 VXQ983155 WHM983155 OS9 YO9 AIK9 ASG9 BCC9 BLY9 BVU9 CFQ9 CPM9 CZI9 DJE9 DTA9 ECW9 EMS9 EWO9 FGK9 FQG9 GAC9 GJY9 GTU9 HDQ9 HNM9 HXI9 IHE9 IRA9 JAW9 JKS9 JUO9 KEK9 KOG9 KYC9 LHY9 LRU9 MBQ9 MLM9 MVI9 NFE9 NPA9 NYW9 OIS9 OSO9 PCK9 PMG9 PWC9 QFY9 QPU9 QZQ9 RJM9 RTI9 SDE9 SNA9 SWW9 TGS9 TQO9 UAK9 UKG9 UUC9 VDY9 VNU9 VXQ9 WHM9 WRI9 EW9 EW12:EW18 WRI12:WRI18 WHM12:WHM18 VXQ12:VXQ18 VNU12:VNU18 VDY12:VDY18 UUC12:UUC18 UKG12:UKG18 UAK12:UAK18 TQO12:TQO18 TGS12:TGS18 SWW12:SWW18 SNA12:SNA18 SDE12:SDE18 RTI12:RTI18 RJM12:RJM18 QZQ12:QZQ18 QPU12:QPU18 QFY12:QFY18 PWC12:PWC18 PMG12:PMG18 PCK12:PCK18 OSO12:OSO18 OIS12:OIS18 NYW12:NYW18 NPA12:NPA18 NFE12:NFE18 MVI12:MVI18 MLM12:MLM18 MBQ12:MBQ18 LRU12:LRU18 LHY12:LHY18 KYC12:KYC18 KOG12:KOG18 KEK12:KEK18 JUO12:JUO18 JKS12:JKS18 JAW12:JAW18 IRA12:IRA18 IHE12:IHE18 HXI12:HXI18 HNM12:HNM18 HDQ12:HDQ18 GTU12:GTU18 GJY12:GJY18 GAC12:GAC18 FQG12:FQG18 FGK12:FGK18 EWO12:EWO18 EMS12:EMS18 ECW12:ECW18 DTA12:DTA18 DJE12:DJE18 CZI12:CZI18 CPM12:CPM18 CFQ12:CFQ18 BVU12:BVU18 BLY12:BLY18 BCC12:BCC18 ASG12:ASG18 AIK12:AIK18 YO12:YO18 OS12:OS18 BCC51:BCC87 BLY51:BLY87 BVU51:BVU87 CFQ51:CFQ87 CPM51:CPM87 CZI51:CZI87 DJE51:DJE87 DTA51:DTA87 ECW51:ECW87 EMS51:EMS87 EWO51:EWO87 FGK51:FGK87 FQG51:FQG87 GAC51:GAC87 GJY51:GJY87 GTU51:GTU87 HDQ51:HDQ87 HNM51:HNM87 HXI51:HXI87 IHE51:IHE87 IRA51:IRA87 JAW51:JAW87 JKS51:JKS87 JUO51:JUO87 KEK51:KEK87 KOG51:KOG87 KYC51:KYC87 LHY51:LHY87 LRU51:LRU87 MBQ51:MBQ87 MLM51:MLM87 MVI51:MVI87 NFE51:NFE87 NPA51:NPA87 NYW51:NYW87 OIS51:OIS87 OSO51:OSO87 PCK51:PCK87 PMG51:PMG87 PWC51:PWC87 QFY51:QFY87 QPU51:QPU87 QZQ51:QZQ87 RJM51:RJM87 RTI51:RTI87 SDE51:SDE87 SNA51:SNA87 SWW51:SWW87 TGS51:TGS87 TQO51:TQO87 UAK51:UAK87 UKG51:UKG87 UUC51:UUC87 VDY51:VDY87 VNU51:VNU87 VXQ51:VXQ87 WHM51:WHM87 WRI51:WRI87 EW51:EW87 OS51:OS87 YO51:YO87 AIK51:AIK87 ASG51:ASG87 BCC94:BCC124 BLY94:BLY124 BVU94:BVU124 CFQ94:CFQ124 CPM94:CPM124 CZI94:CZI124 DJE94:DJE124 DTA94:DTA124 ECW94:ECW124 EMS94:EMS124 EWO94:EWO124 FGK94:FGK124 FQG94:FQG124 GAC94:GAC124 GJY94:GJY124 GTU94:GTU124 HDQ94:HDQ124 HNM94:HNM124 HXI94:HXI124 IHE94:IHE124 IRA94:IRA124 JAW94:JAW124 JKS94:JKS124 JUO94:JUO124 KEK94:KEK124 KOG94:KOG124 KYC94:KYC124 LHY94:LHY124 LRU94:LRU124 MBQ94:MBQ124 MLM94:MLM124 MVI94:MVI124 NFE94:NFE124 NPA94:NPA124 NYW94:NYW124 OIS94:OIS124 OSO94:OSO124 PCK94:PCK124 PMG94:PMG124 PWC94:PWC124 QFY94:QFY124 QPU94:QPU124 QZQ94:QZQ124 RJM94:RJM124 RTI94:RTI124 SDE94:SDE124 SNA94:SNA124 SWW94:SWW124 TGS94:TGS124 TQO94:TQO124 UAK94:UAK124 UKG94:UKG124 UUC94:UUC124 VDY94:VDY124 VNU94:VNU124 VXQ94:VXQ124 WHM94:WHM124 WRI94:WRI124 EW94:EW124 OS94:OS124 YO94:YO124 AIK94:AIK124 ASG94:ASG124 ASG21:ASG48 ASG49 AIK21:AIK48 AIK49 YO21:YO48 YO49 OS21:OS48 OS49 EW21:EW48 EW49 WRI21:WRI48 WRI49 WHM21:WHM48 WHM49 VXQ21:VXQ48 VXQ49 VNU21:VNU48 VNU49 VDY21:VDY48 VDY49 UUC21:UUC48 UUC49 UKG21:UKG48 UKG49 UAK21:UAK48 UAK49 TQO21:TQO48 TQO49 TGS21:TGS48 TGS49 SWW21:SWW48 SWW49 SNA21:SNA48 SNA49 SDE21:SDE48 SDE49 RTI21:RTI48 RTI49 RJM21:RJM48 RJM49 QZQ21:QZQ48 QZQ49 QPU21:QPU48 QPU49 QFY21:QFY48 QFY49 PWC21:PWC48 PWC49 PMG21:PMG48 PMG49 PCK21:PCK48 PCK49 OSO21:OSO48 OSO49 OIS21:OIS48 OIS49 NYW21:NYW48 NYW49 NPA21:NPA48 NPA49 NFE21:NFE48 NFE49 MVI21:MVI48 MVI49 MLM21:MLM48 MLM49 MBQ21:MBQ48 MBQ49 LRU21:LRU48 LRU49 LHY21:LHY48 LHY49 KYC21:KYC48 KYC49 KOG21:KOG48 KOG49 KEK21:KEK48 KEK49 JUO21:JUO48 JUO49 JKS21:JKS48 JKS49 JAW21:JAW48 JAW49 IRA21:IRA48 IRA49 IHE21:IHE48 IHE49 HXI21:HXI48 HXI49 HNM21:HNM48 HNM49 HDQ21:HDQ48 HDQ49 GTU21:GTU48 GTU49 GJY21:GJY48 GJY49 GAC21:GAC48 GAC49 FQG21:FQG48 FQG49 FGK21:FGK48 FGK49 EWO21:EWO48 EWO49 EMS21:EMS48 EMS49 ECW21:ECW48 ECW49 DTA21:DTA48 DTA49 DJE21:DJE48 DJE49 CZI21:CZI48 CZI49 CPM21:CPM48 CPM49 CFQ21:CFQ48 CFQ49 BVU21:BVU48 BVU49 BLY21:BLY48 BLY49 BCC21:BCC48 BCC49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theme="9" tint="-0.249977111117893"/>
  </sheetPr>
  <dimension ref="A1:AS57"/>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9" defaultRowHeight="12"/>
  <cols>
    <col min="1" max="1" width="3.42578125" style="475" customWidth="1"/>
    <col min="2" max="2" width="20.7109375" style="475" customWidth="1"/>
    <col min="3" max="3" width="18.7109375" style="475" customWidth="1"/>
    <col min="4" max="4" width="52.42578125" style="475" customWidth="1"/>
    <col min="5" max="5" width="54" style="475" customWidth="1"/>
    <col min="6" max="11" width="18.7109375" style="474" customWidth="1"/>
    <col min="12" max="12" width="186.7109375" style="475" customWidth="1"/>
    <col min="13" max="13" width="2.7109375" style="475" customWidth="1"/>
    <col min="14" max="16" width="9" style="475"/>
    <col min="17" max="18" width="10.7109375" style="475" customWidth="1"/>
    <col min="19" max="19" width="1.7109375" style="475" customWidth="1"/>
    <col min="20" max="16384" width="9" style="475"/>
  </cols>
  <sheetData>
    <row r="1" spans="1:45" ht="14.25">
      <c r="B1" s="433" t="s">
        <v>0</v>
      </c>
      <c r="C1" s="433"/>
      <c r="D1" s="520"/>
      <c r="E1" s="734"/>
      <c r="L1" s="474"/>
    </row>
    <row r="2" spans="1:45" ht="18" customHeight="1">
      <c r="B2" s="286" t="s">
        <v>256</v>
      </c>
      <c r="C2" s="476" t="s">
        <v>1515</v>
      </c>
      <c r="D2" s="735"/>
      <c r="E2" s="735"/>
      <c r="F2" s="735"/>
      <c r="G2" s="735"/>
      <c r="H2" s="735"/>
      <c r="I2" s="735"/>
      <c r="J2" s="735"/>
      <c r="K2" s="735"/>
      <c r="M2" s="474"/>
      <c r="N2" s="474"/>
      <c r="O2" s="474"/>
    </row>
    <row r="3" spans="1:45" ht="18" customHeight="1">
      <c r="B3" s="644">
        <f>K57</f>
        <v>0</v>
      </c>
      <c r="C3" s="736" t="s">
        <v>1516</v>
      </c>
      <c r="I3" s="737"/>
      <c r="M3" s="474"/>
      <c r="N3" s="474"/>
      <c r="O3" s="474"/>
    </row>
    <row r="4" spans="1:45" ht="18" customHeight="1">
      <c r="B4" s="738">
        <f>Summary!$G$122</f>
        <v>0</v>
      </c>
      <c r="C4" s="736" t="s">
        <v>1484</v>
      </c>
      <c r="I4" s="737"/>
      <c r="M4" s="474"/>
      <c r="N4" s="474"/>
      <c r="O4" s="474"/>
    </row>
    <row r="5" spans="1:45" ht="102.75" customHeight="1">
      <c r="F5" s="475"/>
      <c r="G5" s="475"/>
      <c r="H5" s="475"/>
      <c r="M5" s="474"/>
      <c r="N5" s="474"/>
      <c r="O5" s="474"/>
    </row>
    <row r="6" spans="1:45" s="434" customFormat="1" ht="14.1" customHeight="1" thickBot="1">
      <c r="A6" s="739"/>
      <c r="B6" s="739"/>
      <c r="C6" s="739"/>
      <c r="D6" s="739"/>
      <c r="J6" s="740"/>
      <c r="K6" s="741"/>
      <c r="L6" s="495"/>
      <c r="AR6" s="475"/>
      <c r="AS6" s="475"/>
    </row>
    <row r="7" spans="1:45" ht="30.6" customHeight="1">
      <c r="A7" s="639"/>
      <c r="B7" s="639"/>
      <c r="C7" s="742" t="s">
        <v>1517</v>
      </c>
      <c r="D7" s="742" t="s">
        <v>1518</v>
      </c>
      <c r="E7" s="742" t="s">
        <v>1519</v>
      </c>
      <c r="F7" s="743" t="s">
        <v>1520</v>
      </c>
      <c r="G7" s="743" t="s">
        <v>1521</v>
      </c>
      <c r="H7" s="743" t="s">
        <v>1522</v>
      </c>
      <c r="I7" s="743" t="s">
        <v>1523</v>
      </c>
      <c r="J7" s="743" t="s">
        <v>1524</v>
      </c>
      <c r="K7" s="744" t="s">
        <v>1525</v>
      </c>
      <c r="L7" s="745" t="s">
        <v>1526</v>
      </c>
      <c r="N7" s="746"/>
      <c r="O7" s="474"/>
      <c r="P7" s="474"/>
      <c r="Q7" s="747"/>
      <c r="R7" s="747"/>
    </row>
    <row r="8" spans="1:45">
      <c r="F8" s="475"/>
      <c r="G8" s="475"/>
      <c r="H8" s="475"/>
      <c r="I8" s="475"/>
      <c r="J8" s="475"/>
      <c r="K8" s="475"/>
      <c r="L8" s="748"/>
      <c r="N8" s="746"/>
      <c r="O8" s="474"/>
      <c r="P8" s="474"/>
      <c r="Q8" s="747"/>
      <c r="R8" s="747"/>
    </row>
    <row r="9" spans="1:45" ht="60">
      <c r="B9" s="749" t="s">
        <v>611</v>
      </c>
      <c r="C9" s="302"/>
      <c r="D9" s="750" t="str">
        <f>VLOOKUP($G9,TOV!$C$8:$G$39,TOV!$E$1,FALSE)</f>
        <v>Exploration disturbance Includes costeans, sumps and general disturbance</v>
      </c>
      <c r="E9" s="751" t="str">
        <f>VLOOKUP($G9,TOV!$C$8:$I$39,TOV!$I$1,FALSE)</f>
        <v xml:space="preserve">
Backfill costeans/sumps with removed material (to 1.5m). Rip. No allowance for seed. Add any area to be seeded to rates #1.31 and #1.32.
</v>
      </c>
      <c r="F9" s="316"/>
      <c r="G9" s="752" t="str">
        <f>TOV!C8</f>
        <v>#1.01</v>
      </c>
      <c r="H9" s="90">
        <f>VLOOKUP($G9,TOV!$C$8:$G$39,TOV!$F$1,FALSE)</f>
        <v>2.7727146272402745</v>
      </c>
      <c r="I9" s="27"/>
      <c r="J9" s="91" t="str">
        <f>VLOOKUP($G9,TOV!$C$8:$G$39,TOV!$G$1,FALSE)</f>
        <v>m2</v>
      </c>
      <c r="K9" s="753">
        <f>IF(I9="",H9,I9)*F9</f>
        <v>0</v>
      </c>
      <c r="L9" s="216"/>
    </row>
    <row r="10" spans="1:45" ht="48">
      <c r="B10" s="754"/>
      <c r="C10" s="302" t="s">
        <v>1527</v>
      </c>
      <c r="D10" s="750" t="str">
        <f>VLOOKUP($G10,TOV!$C$8:$G$39,TOV!$E$1,FALSE)</f>
        <v>Exploration drill holes</v>
      </c>
      <c r="E10" s="751" t="str">
        <f>VLOOKUP($G10,TOV!$C$8:$I$39,TOV!$I$1,FALSE)</f>
        <v xml:space="preserve">
Cap and seal open bore holes. No allowance for seed. Add any area to be seeded to rates #1.03 and #1.04.
</v>
      </c>
      <c r="F10" s="316"/>
      <c r="G10" s="752" t="str">
        <f>TOV!C9</f>
        <v>#1.02</v>
      </c>
      <c r="H10" s="90">
        <f>VLOOKUP($G10,TOV!$C$8:$G$39,TOV!$F$1,FALSE)</f>
        <v>216.28474125459849</v>
      </c>
      <c r="I10" s="27"/>
      <c r="J10" s="91" t="str">
        <f>VLOOKUP($G10,TOV!$C$8:$G$39,TOV!$G$1,FALSE)</f>
        <v>hole</v>
      </c>
      <c r="K10" s="753">
        <f>IF(I10="",H10,I10)*F10</f>
        <v>0</v>
      </c>
      <c r="L10" s="216"/>
    </row>
    <row r="11" spans="1:45" ht="36">
      <c r="B11" s="755"/>
      <c r="C11" s="302" t="s">
        <v>1528</v>
      </c>
      <c r="D11" s="750" t="str">
        <f>VLOOKUP($G11,TOV!$C$8:$G$39,TOV!$E$1,FALSE)</f>
        <v>Seeding of drill holes in pasture</v>
      </c>
      <c r="E11" s="751" t="str">
        <f>VLOOKUP($G11,TOV!$C$8:$I$39,TOV!$I$1,FALSE)</f>
        <v xml:space="preserve">
Allowance for purchase of pasture seed and hand casting.
</v>
      </c>
      <c r="F11" s="316"/>
      <c r="G11" s="752" t="str">
        <f>TOV!C10</f>
        <v>#1.03</v>
      </c>
      <c r="H11" s="90">
        <f>VLOOKUP($G11,TOV!$C$8:$G$39,TOV!$F$1,FALSE)</f>
        <v>22</v>
      </c>
      <c r="I11" s="27"/>
      <c r="J11" s="91" t="str">
        <f>VLOOKUP($G11,TOV!$C$8:$G$39,TOV!$G$1,FALSE)</f>
        <v>hole</v>
      </c>
      <c r="K11" s="753">
        <f t="shared" ref="K11:K36" si="0">IF(I11="",H11,I11)*F11</f>
        <v>0</v>
      </c>
      <c r="L11" s="216"/>
    </row>
    <row r="12" spans="1:45" ht="36">
      <c r="B12" s="756"/>
      <c r="C12" s="302" t="s">
        <v>1528</v>
      </c>
      <c r="D12" s="750" t="str">
        <f>VLOOKUP($G12,TOV!$C$8:$G$39,TOV!$E$1,FALSE)</f>
        <v>Seeding of drill holes in native</v>
      </c>
      <c r="E12" s="751" t="str">
        <f>VLOOKUP($G12,TOV!$C$8:$I$39,TOV!$I$1,FALSE)</f>
        <v xml:space="preserve">
Allowance for purchase of native seed and hand casting.
</v>
      </c>
      <c r="F12" s="316"/>
      <c r="G12" s="752" t="str">
        <f>TOV!C11</f>
        <v>#1.04</v>
      </c>
      <c r="H12" s="90">
        <f>VLOOKUP($G12,TOV!$C$8:$G$39,TOV!$F$1,FALSE)</f>
        <v>24.200000000000003</v>
      </c>
      <c r="I12" s="27"/>
      <c r="J12" s="91" t="str">
        <f>VLOOKUP($G12,TOV!$C$8:$G$39,TOV!$G$1,FALSE)</f>
        <v>hole</v>
      </c>
      <c r="K12" s="753">
        <f t="shared" si="0"/>
        <v>0</v>
      </c>
      <c r="L12" s="216"/>
    </row>
    <row r="13" spans="1:45" ht="72">
      <c r="B13" s="749" t="s">
        <v>1225</v>
      </c>
      <c r="C13" s="303" t="s">
        <v>1529</v>
      </c>
      <c r="D13" s="750" t="str">
        <f>VLOOKUP($G13,TOV!$C$8:$G$39,TOV!$E$1,FALSE)</f>
        <v>Open Pit Abandonment Bunds</v>
      </c>
      <c r="E13" s="751" t="str">
        <f>VLOOKUP($G13,TOV!$C$8:$I$39,TOV!$I$1,FALSE)</f>
        <v xml:space="preserve">
Suitable rock sourced from stockpile, includes load, haul and dump using medium fleet (CAT 777 or smaller). Includes fresh rock truck dumped. No allowance for seed. Add any area to be seeded to rates #1.31 and #1.32.
</v>
      </c>
      <c r="F13" s="316"/>
      <c r="G13" s="752" t="str">
        <f>TOV!C12</f>
        <v>#1.05</v>
      </c>
      <c r="H13" s="90">
        <f>VLOOKUP($G13,TOV!$C$8:$G$39,TOV!$F$1,FALSE)</f>
        <v>47.775250750387507</v>
      </c>
      <c r="I13" s="27"/>
      <c r="J13" s="91" t="str">
        <f>VLOOKUP($G13,TOV!$C$8:$G$39,TOV!$G$1,FALSE)</f>
        <v>m</v>
      </c>
      <c r="K13" s="753">
        <f t="shared" si="0"/>
        <v>0</v>
      </c>
      <c r="L13" s="216"/>
    </row>
    <row r="14" spans="1:45" ht="48">
      <c r="B14" s="757"/>
      <c r="C14" s="302" t="s">
        <v>1528</v>
      </c>
      <c r="D14" s="750" t="str">
        <f>VLOOKUP($G14,TOV!$C$8:$G$39,TOV!$E$1,FALSE)</f>
        <v>Open Pit Fencing and Signage</v>
      </c>
      <c r="E14" s="751" t="str">
        <f>VLOOKUP($G14,TOV!$C$8:$I$39,TOV!$I$1,FALSE)</f>
        <v xml:space="preserve">
Fencing and signage (5 strand x 12m high). Allows for purchase of signs and fencing material and installation.
</v>
      </c>
      <c r="F14" s="316"/>
      <c r="G14" s="752" t="str">
        <f>TOV!C13</f>
        <v>#1.06</v>
      </c>
      <c r="H14" s="90">
        <f>VLOOKUP($G14,TOV!$C$8:$G$39,TOV!$F$1,FALSE)</f>
        <v>21.395</v>
      </c>
      <c r="I14" s="27"/>
      <c r="J14" s="91" t="str">
        <f>VLOOKUP($G14,TOV!$C$8:$G$39,TOV!$G$1,FALSE)</f>
        <v>m</v>
      </c>
      <c r="K14" s="753">
        <f t="shared" si="0"/>
        <v>0</v>
      </c>
      <c r="L14" s="216"/>
    </row>
    <row r="15" spans="1:45" ht="60">
      <c r="A15" s="639"/>
      <c r="B15" s="755"/>
      <c r="C15" s="302" t="s">
        <v>1529</v>
      </c>
      <c r="D15" s="750" t="str">
        <f>VLOOKUP($G15,TOV!$C$8:$G$39,TOV!$E$1,FALSE)</f>
        <v>Backfill Pits and Voids</v>
      </c>
      <c r="E15" s="751" t="str">
        <f>VLOOKUP($G15,TOV!$C$8:$I$39,TOV!$I$1,FALSE)</f>
        <v xml:space="preserve">
Source local material, cart and backfill (&gt;1000 m to &lt;=1500 m Rock) - small fleet. No allowance for seed. Add any area to be seeded to rates #1.31 and #1.32.
</v>
      </c>
      <c r="F15" s="316"/>
      <c r="G15" s="752" t="str">
        <f>TOV!C14</f>
        <v>#1.07</v>
      </c>
      <c r="H15" s="90">
        <f>VLOOKUP($G15,TOV!$C$8:$G$39,TOV!$F$1,FALSE)</f>
        <v>4.9842406321722104</v>
      </c>
      <c r="I15" s="27"/>
      <c r="J15" s="91" t="str">
        <f>VLOOKUP($G15,TOV!$C$8:$G$39,TOV!$G$1,FALSE)</f>
        <v>m3</v>
      </c>
      <c r="K15" s="753">
        <f t="shared" si="0"/>
        <v>0</v>
      </c>
      <c r="L15" s="216"/>
    </row>
    <row r="16" spans="1:45" ht="60">
      <c r="A16" s="639"/>
      <c r="B16" s="756"/>
      <c r="C16" s="302" t="s">
        <v>1527</v>
      </c>
      <c r="D16" s="750" t="str">
        <f>VLOOKUP($G16,TOV!$C$8:$G$39,TOV!$E$1,FALSE)</f>
        <v>Grade backfilled areas</v>
      </c>
      <c r="E16" s="751" t="str">
        <f>VLOOKUP($G16,TOV!$C$8:$I$39,TOV!$I$1,FALSE)</f>
        <v xml:space="preserve">
Source local growth material (200mm GM) - small fleet. No allowance for seed. Add any area to be seeded to rates #1.31 and #1.32.
</v>
      </c>
      <c r="F16" s="316"/>
      <c r="G16" s="752" t="str">
        <f>TOV!C15</f>
        <v>#1.08</v>
      </c>
      <c r="H16" s="90">
        <f>VLOOKUP($G16,TOV!$C$8:$G$39,TOV!$F$1,FALSE)</f>
        <v>0.87695520790869952</v>
      </c>
      <c r="I16" s="27"/>
      <c r="J16" s="91" t="str">
        <f>VLOOKUP($G16,TOV!$C$8:$G$39,TOV!$G$1,FALSE)</f>
        <v>m2</v>
      </c>
      <c r="K16" s="753">
        <f t="shared" si="0"/>
        <v>0</v>
      </c>
      <c r="L16" s="216"/>
    </row>
    <row r="17" spans="2:12" ht="84">
      <c r="B17" s="749" t="s">
        <v>1530</v>
      </c>
      <c r="C17" s="302"/>
      <c r="D17" s="750" t="str">
        <f>VLOOKUP($G17,TOV!$C$8:$G$39,TOV!$E$1,FALSE)</f>
        <v>HIGH RISK Waste Rock Dump / Low-grade Ore Stockpile 
The unoxidized zone has been mined.</v>
      </c>
      <c r="E17" s="751" t="str">
        <f>VLOOKUP($G17,TOV!$C$8:$I$39,TOV!$I$1,FALSE)</f>
        <v xml:space="preserve">
Recontouring, rip and trim. Capillary break rock cover @ 0.6m thick. Clay cover, compacted @ 0.5m thick. Rock cover @ 1.5m thick. Spread growth media @ 0.15m thick (haulage &lt; 1km). No allowance for seed. Add any area to be seeded to rates #1.31 and #1.32.
</v>
      </c>
      <c r="F17" s="316"/>
      <c r="G17" s="752" t="str">
        <f>TOV!C16</f>
        <v>#1.09</v>
      </c>
      <c r="H17" s="90">
        <f>VLOOKUP($G17,TOV!$C$8:$G$39,TOV!$F$1,FALSE)</f>
        <v>16.306625076315655</v>
      </c>
      <c r="I17" s="27"/>
      <c r="J17" s="91" t="str">
        <f>VLOOKUP($G17,TOV!$C$8:$G$39,TOV!$G$1,FALSE)</f>
        <v>m2</v>
      </c>
      <c r="K17" s="753">
        <f t="shared" si="0"/>
        <v>0</v>
      </c>
      <c r="L17" s="216"/>
    </row>
    <row r="18" spans="2:12" ht="84">
      <c r="B18" s="757"/>
      <c r="C18" s="302"/>
      <c r="D18" s="750" t="str">
        <f>VLOOKUP($G18,TOV!$C$8:$G$39,TOV!$E$1,FALSE)</f>
        <v xml:space="preserve">HIGH RISK Tailings Storage Facility The unoxidized zone has been mined; processing utilises hazardous chemicals (e.g. cyanide, sulfuric acid etc.) </v>
      </c>
      <c r="E18" s="751" t="str">
        <f>VLOOKUP($G18,TOV!$C$8:$I$39,TOV!$I$1,FALSE)</f>
        <v xml:space="preserve">
Recontouring, rip and trim. Working cover @ 0.5m thick. Capillary break rock cover @ 0.6m thick. Clay cover, compacted @ 0.5m thick. Rock cover @ 1.5m thick. Spread growth media @ 0.15m thick (haulage &lt; 1km). No allowance for seed. Add any area to be seeded to rates #1.31 and #1.32.
</v>
      </c>
      <c r="F18" s="316"/>
      <c r="G18" s="752" t="str">
        <f>TOV!C17</f>
        <v>#1.10</v>
      </c>
      <c r="H18" s="90">
        <f>VLOOKUP($G18,TOV!$C$8:$G$39,TOV!$F$1,FALSE)</f>
        <v>19.63152877254964</v>
      </c>
      <c r="I18" s="27"/>
      <c r="J18" s="91" t="str">
        <f>VLOOKUP($G18,TOV!$C$8:$G$39,TOV!$G$1,FALSE)</f>
        <v>m2</v>
      </c>
      <c r="K18" s="753">
        <f t="shared" si="0"/>
        <v>0</v>
      </c>
      <c r="L18" s="216"/>
    </row>
    <row r="19" spans="2:12" ht="72">
      <c r="B19" s="757"/>
      <c r="C19" s="302"/>
      <c r="D19" s="750" t="str">
        <f>VLOOKUP($G19,TOV!$C$8:$G$39,TOV!$E$1,FALSE)</f>
        <v>HIGH RISK Heap Leach Pads</v>
      </c>
      <c r="E19" s="751" t="str">
        <f>VLOOKUP($G19,TOV!$C$8:$I$39,TOV!$I$1,FALSE)</f>
        <v xml:space="preserve">
Recontouring, rip and trim. Capillary break rock cover @ 0.6m thick. Clay cover, compacted @ 0.5m thick. Spread growth media @ 0.15m thick (haulage &lt; 1km). No allowance for seed. Add any area to be seeded to rates #1.31 and #1.32.
</v>
      </c>
      <c r="F19" s="316"/>
      <c r="G19" s="752" t="str">
        <f>TOV!C18</f>
        <v>#1.11</v>
      </c>
      <c r="H19" s="90">
        <f>VLOOKUP($G19,TOV!$C$8:$G$39,TOV!$F$1,FALSE)</f>
        <v>16.331625076315653</v>
      </c>
      <c r="I19" s="27"/>
      <c r="J19" s="91" t="str">
        <f>VLOOKUP($G19,TOV!$C$8:$G$39,TOV!$G$1,FALSE)</f>
        <v>m2</v>
      </c>
      <c r="K19" s="753">
        <f t="shared" si="0"/>
        <v>0</v>
      </c>
      <c r="L19" s="216"/>
    </row>
    <row r="20" spans="2:12" ht="48">
      <c r="B20" s="755"/>
      <c r="C20" s="302"/>
      <c r="D20" s="750" t="str">
        <f>VLOOKUP($G20,TOV!$C$8:$G$39,TOV!$E$1,FALSE)</f>
        <v xml:space="preserve">LOW RISK Waste Rock Dump/Low-grade Ore Stockpile The oxidised zone only has been mined 
</v>
      </c>
      <c r="E20" s="751" t="str">
        <f>VLOOKUP($G20,TOV!$C$8:$I$39,TOV!$I$1,FALSE)</f>
        <v xml:space="preserve">
Recontouring, rip and trim. No allowance for seed. Add any area to be seeded to rates #1.31 and #1.32.
</v>
      </c>
      <c r="F20" s="316"/>
      <c r="G20" s="752" t="str">
        <f>TOV!C19</f>
        <v>#1.12</v>
      </c>
      <c r="H20" s="90">
        <f>VLOOKUP($G20,TOV!$C$8:$G$39,TOV!$F$1,FALSE)</f>
        <v>4.590973492029697</v>
      </c>
      <c r="I20" s="27"/>
      <c r="J20" s="91" t="str">
        <f>VLOOKUP($G20,TOV!$C$8:$G$39,TOV!$G$1,FALSE)</f>
        <v>m2</v>
      </c>
      <c r="K20" s="753">
        <f t="shared" si="0"/>
        <v>0</v>
      </c>
      <c r="L20" s="216"/>
    </row>
    <row r="21" spans="2:12" ht="48">
      <c r="B21" s="756"/>
      <c r="C21" s="302"/>
      <c r="D21" s="750" t="str">
        <f>VLOOKUP($G21,TOV!$C$8:$G$39,TOV!$E$1,FALSE)</f>
        <v>LOW RISK Tailings Storage Facility The oxidised zone has been mined only; no chemicals used for processing.</v>
      </c>
      <c r="E21" s="751" t="str">
        <f>VLOOKUP($G21,TOV!$C$8:$I$39,TOV!$I$1,FALSE)</f>
        <v xml:space="preserve">
Shape, recontour, doze, rip and trim. No allowance for seed. Add any area to be seeded to rates    #1.31 and #1.32.
</v>
      </c>
      <c r="F21" s="316"/>
      <c r="G21" s="752" t="str">
        <f>TOV!C20</f>
        <v>#1.13</v>
      </c>
      <c r="H21" s="90">
        <f>VLOOKUP($G21,TOV!$C$8:$G$39,TOV!$F$1,FALSE)</f>
        <v>7.1058042169959883</v>
      </c>
      <c r="I21" s="27"/>
      <c r="J21" s="91" t="str">
        <f>VLOOKUP($G21,TOV!$C$8:$G$39,TOV!$G$1,FALSE)</f>
        <v>m2</v>
      </c>
      <c r="K21" s="753">
        <f t="shared" si="0"/>
        <v>0</v>
      </c>
      <c r="L21" s="216"/>
    </row>
    <row r="22" spans="2:12" ht="84">
      <c r="B22" s="757" t="s">
        <v>1531</v>
      </c>
      <c r="C22" s="302"/>
      <c r="D22" s="750" t="str">
        <f>VLOOKUP($G22,TOV!$C$8:$G$39,TOV!$E$1,FALSE)</f>
        <v>HIGH RISK Processing Plant Chemical processing or non-gravity / magnetic separation</v>
      </c>
      <c r="E22" s="751" t="str">
        <f>VLOOKUP($G22,TOV!$C$8:$I$39,TOV!$I$1,FALSE)</f>
        <v xml:space="preserve">
Demolish equipment and remove footings. Excavate footprint area (to 0.3 m depth). Backfill (to 0.3m). Rip and trim with grader. Spread growth media @0.15m thick (haulage &lt; 1km). No allowance for seed. Add any area to be seeded to rates #1.31 and #1.32.
</v>
      </c>
      <c r="F22" s="316"/>
      <c r="G22" s="752" t="str">
        <f>TOV!C21</f>
        <v>#1.14</v>
      </c>
      <c r="H22" s="90">
        <f>VLOOKUP($G22,TOV!$C$8:$G$39,TOV!$F$1,FALSE)</f>
        <v>33.383636423182622</v>
      </c>
      <c r="I22" s="27"/>
      <c r="J22" s="91" t="str">
        <f>VLOOKUP($G22,TOV!$C$8:$G$39,TOV!$G$1,FALSE)</f>
        <v>m2</v>
      </c>
      <c r="K22" s="753">
        <f t="shared" si="0"/>
        <v>0</v>
      </c>
      <c r="L22" s="216"/>
    </row>
    <row r="23" spans="2:12" ht="84">
      <c r="B23" s="757"/>
      <c r="C23" s="302" t="s">
        <v>1532</v>
      </c>
      <c r="D23" s="750" t="str">
        <f>VLOOKUP($G23,TOV!$C$8:$G$39,TOV!$E$1,FALSE)</f>
        <v xml:space="preserve">LOW RISK Processing plant - Fixed Gravity / magnetic separation or non-chemical processing
</v>
      </c>
      <c r="E23" s="751" t="str">
        <f>VLOOKUP($G23,TOV!$C$8:$I$39,TOV!$I$1,FALSE)</f>
        <v xml:space="preserve">
Demolish equipment and remove footings. Reshape to establish drainage. Spread growth media @0.15 m thick (haulage &lt; 1km). No allowance for seed. Add any area to be seeded to rates #1.31 and #1.32.
</v>
      </c>
      <c r="F23" s="316"/>
      <c r="G23" s="752" t="str">
        <f>TOV!C22</f>
        <v>#1.15</v>
      </c>
      <c r="H23" s="90">
        <f>VLOOKUP($G23,TOV!$C$8:$G$39,TOV!$F$1,FALSE)</f>
        <v>19.69729618106193</v>
      </c>
      <c r="I23" s="27"/>
      <c r="J23" s="91" t="str">
        <f>VLOOKUP($G23,TOV!$C$8:$G$39,TOV!$G$1,FALSE)</f>
        <v>m2</v>
      </c>
      <c r="K23" s="753">
        <f t="shared" si="0"/>
        <v>0</v>
      </c>
      <c r="L23" s="216"/>
    </row>
    <row r="24" spans="2:12" ht="72">
      <c r="B24" s="757"/>
      <c r="C24" s="302"/>
      <c r="D24" s="750" t="str">
        <f>VLOOKUP($G24,TOV!$C$8:$G$39,TOV!$E$1,FALSE)</f>
        <v xml:space="preserve">LOW RISK Processing plant - Mobile (without footings) Gravity / magnetic separation or non-chemical processing
</v>
      </c>
      <c r="E24" s="751" t="str">
        <f>VLOOKUP($G24,TOV!$C$8:$I$39,TOV!$I$1,FALSE)</f>
        <v xml:space="preserve">
Reshape to establish drainage. Less intensive than above as mobile equipment. Spread growth media @0.15 m thick (haulage &lt; 1km). No allowance for seed. Add any area to be seeded to rates #1.31 and #1.32.
</v>
      </c>
      <c r="F24" s="316"/>
      <c r="G24" s="752" t="str">
        <f>TOV!C23</f>
        <v>#1.16</v>
      </c>
      <c r="H24" s="90">
        <f>VLOOKUP($G24,TOV!$C$8:$G$39,TOV!$F$1,FALSE)</f>
        <v>18.220945450936121</v>
      </c>
      <c r="I24" s="27"/>
      <c r="J24" s="91" t="str">
        <f>VLOOKUP($G24,TOV!$C$8:$G$39,TOV!$G$1,FALSE)</f>
        <v>m2</v>
      </c>
      <c r="K24" s="753">
        <f t="shared" si="0"/>
        <v>0</v>
      </c>
      <c r="L24" s="216"/>
    </row>
    <row r="25" spans="2:12" ht="60">
      <c r="B25" s="749" t="s">
        <v>1533</v>
      </c>
      <c r="C25" s="302"/>
      <c r="D25" s="750" t="str">
        <f>VLOOKUP($G25,TOV!$C$8:$G$39,TOV!$E$1,FALSE)</f>
        <v xml:space="preserve">
Infrastructure Includes buildings (camps, administration buildings, accommodation, caravans, bath house etc.), plant and equipment, pipes, general waste
</v>
      </c>
      <c r="E25" s="751" t="str">
        <f>VLOOKUP($G25,TOV!$C$8:$I$39,TOV!$I$1,FALSE)</f>
        <v xml:space="preserve">
Dismantle and remove all demountable buildings and associated infrastructure. No allowance for seed. Add any area to be seeded to rates #1.31 and #1.32.
</v>
      </c>
      <c r="F25" s="316"/>
      <c r="G25" s="752" t="str">
        <f>TOV!C24</f>
        <v>#1.17</v>
      </c>
      <c r="H25" s="90">
        <f>VLOOKUP($G25,TOV!$C$8:$G$39,TOV!$F$1,FALSE)</f>
        <v>125.45897627239363</v>
      </c>
      <c r="I25" s="27"/>
      <c r="J25" s="91" t="str">
        <f>VLOOKUP($G25,TOV!$C$8:$G$39,TOV!$G$1,FALSE)</f>
        <v>m2</v>
      </c>
      <c r="K25" s="753">
        <f t="shared" si="0"/>
        <v>0</v>
      </c>
      <c r="L25" s="216"/>
    </row>
    <row r="26" spans="2:12" ht="48">
      <c r="B26" s="757"/>
      <c r="C26" s="302"/>
      <c r="D26" s="750" t="str">
        <f>VLOOKUP($G26,TOV!$C$8:$G$39,TOV!$E$1,FALSE)</f>
        <v>Rehabilitate infrastructure footprint</v>
      </c>
      <c r="E26" s="751" t="str">
        <f>VLOOKUP($G26,TOV!$C$8:$I$39,TOV!$I$1,FALSE)</f>
        <v xml:space="preserve">
Shape and doze for drainage. Rip and trim. No allowance for seed. Add any area to be seeded to rates #1.31 and #1.32.
</v>
      </c>
      <c r="F26" s="316"/>
      <c r="G26" s="752" t="str">
        <f>TOV!C25</f>
        <v>#1.18</v>
      </c>
      <c r="H26" s="90">
        <f>VLOOKUP($G26,TOV!$C$8:$G$39,TOV!$F$1,FALSE)</f>
        <v>1.5469376056891913</v>
      </c>
      <c r="I26" s="27"/>
      <c r="J26" s="91" t="str">
        <f>VLOOKUP($G26,TOV!$C$8:$G$39,TOV!$G$1,FALSE)</f>
        <v>m2</v>
      </c>
      <c r="K26" s="753">
        <f t="shared" si="0"/>
        <v>0</v>
      </c>
      <c r="L26" s="216"/>
    </row>
    <row r="27" spans="2:12" ht="60">
      <c r="B27" s="757"/>
      <c r="C27" s="302" t="s">
        <v>1534</v>
      </c>
      <c r="D27" s="750" t="str">
        <f>VLOOKUP($G27,TOV!$C$8:$G$39,TOV!$E$1,FALSE)</f>
        <v xml:space="preserve">Run of mine areas </v>
      </c>
      <c r="E27" s="751" t="str">
        <f>VLOOKUP($G27,TOV!$C$8:$I$39,TOV!$I$1,FALSE)</f>
        <v xml:space="preserve">
Excavate footprint area (to 0.3m depth). Rip and trim. No allowance for seed. Add any area to be seeded to rates #1.31 and #1.32.
</v>
      </c>
      <c r="F27" s="316"/>
      <c r="G27" s="752" t="str">
        <f>TOV!C26</f>
        <v>#1.19</v>
      </c>
      <c r="H27" s="90">
        <f>VLOOKUP($G27,TOV!$C$8:$G$39,TOV!$F$1,FALSE)</f>
        <v>2.2573993370640308</v>
      </c>
      <c r="I27" s="27"/>
      <c r="J27" s="91" t="str">
        <f>VLOOKUP($G27,TOV!$C$8:$G$39,TOV!$G$1,FALSE)</f>
        <v>m2</v>
      </c>
      <c r="K27" s="753">
        <f t="shared" si="0"/>
        <v>0</v>
      </c>
      <c r="L27" s="216"/>
    </row>
    <row r="28" spans="2:12" ht="84">
      <c r="B28" s="757"/>
      <c r="C28" s="302" t="s">
        <v>1532</v>
      </c>
      <c r="D28" s="750" t="str">
        <f>VLOOKUP($G28,TOV!$C$8:$G$39,TOV!$E$1,FALSE)</f>
        <v>Fuel and chemical storage areas (land area)</v>
      </c>
      <c r="E28" s="751" t="str">
        <f>VLOOKUP($G28,TOV!$C$8:$I$39,TOV!$I$1,FALSE)</f>
        <v xml:space="preserve">
Excavate footprint area (to 0.5m depth). Backfill (to 0.5m)Rip and trim.  No allowance for seed. Add any area to be seeded to rates #1.31 and #1.32.
</v>
      </c>
      <c r="F28" s="316"/>
      <c r="G28" s="752" t="str">
        <f>TOV!C27</f>
        <v>#1.20</v>
      </c>
      <c r="H28" s="90">
        <f>VLOOKUP($G28,TOV!$C$8:$G$39,TOV!$F$1,FALSE)</f>
        <v>4.1936036537163623</v>
      </c>
      <c r="I28" s="27"/>
      <c r="J28" s="91" t="str">
        <f>VLOOKUP($G28,TOV!$C$8:$G$39,TOV!$G$1,FALSE)</f>
        <v>m2</v>
      </c>
      <c r="K28" s="753">
        <f t="shared" si="0"/>
        <v>0</v>
      </c>
      <c r="L28" s="216"/>
    </row>
    <row r="29" spans="2:12" ht="60">
      <c r="B29" s="757"/>
      <c r="C29" s="302"/>
      <c r="D29" s="750" t="str">
        <f>VLOOKUP($G29,TOV!$C$8:$G$39,TOV!$E$1,FALSE)</f>
        <v>Fuel and chemical storage areas (tanks)</v>
      </c>
      <c r="E29" s="751" t="str">
        <f>VLOOKUP($G29,TOV!$C$8:$I$39,TOV!$I$1,FALSE)</f>
        <v xml:space="preserve">
Remove, cut-up and dispose of steel and transport to yard. No allowance for seed as footprint of tanks are typically within larger areas. Add any area to be seeded to rates #1.31 and #1.32.
</v>
      </c>
      <c r="F29" s="316"/>
      <c r="G29" s="752" t="str">
        <f>TOV!C28</f>
        <v>#1.21</v>
      </c>
      <c r="H29" s="90">
        <f>VLOOKUP($G29,TOV!$C$8:$G$39,TOV!$F$1,FALSE)</f>
        <v>1995.77714198845</v>
      </c>
      <c r="I29" s="27"/>
      <c r="J29" s="91" t="str">
        <f>VLOOKUP($G29,TOV!$C$8:$G$39,TOV!$G$1,FALSE)</f>
        <v>tank</v>
      </c>
      <c r="K29" s="753">
        <f t="shared" si="0"/>
        <v>0</v>
      </c>
      <c r="L29" s="216"/>
    </row>
    <row r="30" spans="2:12" ht="36">
      <c r="B30" s="757"/>
      <c r="C30" s="302"/>
      <c r="D30" s="750" t="str">
        <f>VLOOKUP($G30,TOV!$C$8:$G$39,TOV!$E$1,FALSE)</f>
        <v>Uranium core disposal</v>
      </c>
      <c r="E30" s="751" t="str">
        <f>VLOOKUP($G30,TOV!$C$8:$I$39,TOV!$I$1,FALSE)</f>
        <v xml:space="preserve">
Dispose at a suitable location. The input is the total length of core.
</v>
      </c>
      <c r="F30" s="316"/>
      <c r="G30" s="752" t="str">
        <f>TOV!C29</f>
        <v>#1.22</v>
      </c>
      <c r="H30" s="90">
        <f>VLOOKUP($G30,TOV!$C$8:$G$39,TOV!$F$1,FALSE)</f>
        <v>10</v>
      </c>
      <c r="I30" s="27"/>
      <c r="J30" s="91" t="str">
        <f>VLOOKUP($G30,TOV!$C$8:$G$39,TOV!$G$1,FALSE)</f>
        <v>m</v>
      </c>
      <c r="K30" s="753">
        <f t="shared" si="0"/>
        <v>0</v>
      </c>
      <c r="L30" s="216"/>
    </row>
    <row r="31" spans="2:12" ht="84">
      <c r="B31" s="757"/>
      <c r="C31" s="302" t="s">
        <v>1529</v>
      </c>
      <c r="D31" s="750" t="str">
        <f>VLOOKUP($G31,TOV!$C$8:$G$39,TOV!$E$1,FALSE)</f>
        <v>Regulated waste disposal</v>
      </c>
      <c r="E31" s="751" t="str">
        <f>VLOOKUP($G31,TOV!$C$8:$I$39,TOV!$I$1,FALSE)</f>
        <v xml:space="preserve">
Transport and dispose - distance to disposal assumed 250 km. Includes gate fee at facility. Add any area to be seeded to rates #1.31 and #1.32 If Waste Levy is applicable the mass entered to Eligible Mining Activities is automatically populated to the Waste Register.
</v>
      </c>
      <c r="F31" s="316"/>
      <c r="G31" s="752" t="str">
        <f>TOV!C30</f>
        <v>#1.23</v>
      </c>
      <c r="H31" s="90">
        <f>VLOOKUP($G31,TOV!$C$8:$G$39,TOV!$F$1,FALSE)</f>
        <v>233.94632622483394</v>
      </c>
      <c r="I31" s="27"/>
      <c r="J31" s="91" t="str">
        <f>VLOOKUP($G31,TOV!$C$8:$G$39,TOV!$G$1,FALSE)</f>
        <v>tonne</v>
      </c>
      <c r="K31" s="753">
        <f t="shared" si="0"/>
        <v>0</v>
      </c>
      <c r="L31" s="216"/>
    </row>
    <row r="32" spans="2:12" ht="60">
      <c r="B32" s="757"/>
      <c r="C32" s="302" t="s">
        <v>1534</v>
      </c>
      <c r="D32" s="750" t="str">
        <f>VLOOKUP($G32,TOV!$C$8:$G$39,TOV!$E$1,FALSE)</f>
        <v>Roads and access tracks</v>
      </c>
      <c r="E32" s="751" t="str">
        <f>VLOOKUP($G32,TOV!$C$8:$I$39,TOV!$I$1,FALSE)</f>
        <v xml:space="preserve">
Rip up road base, shape for drainage (D9). Salvage growth media from road verge using grader. Rip and trim. Add any area to be seeded to rates #1.31 and #1.32.
</v>
      </c>
      <c r="F32" s="316"/>
      <c r="G32" s="752" t="str">
        <f>TOV!C31</f>
        <v>#1.24</v>
      </c>
      <c r="H32" s="90">
        <f>VLOOKUP($G32,TOV!$C$8:$G$39,TOV!$F$1,FALSE)</f>
        <v>0.34847694074333757</v>
      </c>
      <c r="I32" s="27"/>
      <c r="J32" s="91" t="str">
        <f>VLOOKUP($G32,TOV!$C$8:$G$39,TOV!$G$1,FALSE)</f>
        <v>m2</v>
      </c>
      <c r="K32" s="753">
        <f t="shared" si="0"/>
        <v>0</v>
      </c>
      <c r="L32" s="216"/>
    </row>
    <row r="33" spans="2:12" ht="72">
      <c r="B33" s="756"/>
      <c r="C33" s="302"/>
      <c r="D33" s="750" t="str">
        <f>VLOOKUP($G33,TOV!$C$8:$G$39,TOV!$E$1,FALSE)</f>
        <v>Landfill</v>
      </c>
      <c r="E33" s="751" t="str">
        <f>VLOOKUP($G33,TOV!$C$8:$I$39,TOV!$I$1,FALSE)</f>
        <v xml:space="preserve">
Cover up with dozer. Use soil from nearby. Assumes dozer push of 3 lifts of 0.5m.  Haul from nearby (up to 1000m) using loader and trucks and place. Add any area to be seeded to rates #1.31 and #1.32. D9R Dozer.
</v>
      </c>
      <c r="F33" s="316"/>
      <c r="G33" s="752" t="str">
        <f>TOV!C32</f>
        <v>#1.25</v>
      </c>
      <c r="H33" s="90">
        <f>VLOOKUP($G33,TOV!$C$8:$G$39,TOV!$F$1,FALSE)</f>
        <v>3.4450578860610457</v>
      </c>
      <c r="I33" s="27"/>
      <c r="J33" s="91" t="str">
        <f>VLOOKUP($G33,TOV!$C$8:$G$39,TOV!$G$1,FALSE)</f>
        <v>m2</v>
      </c>
      <c r="K33" s="753">
        <f t="shared" si="0"/>
        <v>0</v>
      </c>
      <c r="L33" s="216"/>
    </row>
    <row r="34" spans="2:12" ht="72">
      <c r="B34" s="749" t="s">
        <v>1535</v>
      </c>
      <c r="C34" s="302" t="s">
        <v>1536</v>
      </c>
      <c r="D34" s="750" t="str">
        <f>VLOOKUP($G34,TOV!$C$8:$G$39,TOV!$E$1,FALSE)</f>
        <v>Underground operations - Backfill shafts</v>
      </c>
      <c r="E34" s="751" t="str">
        <f>VLOOKUP($G34,TOV!$C$8:$I$39,TOV!$I$1,FALSE)</f>
        <v xml:space="preserve">
Backfill shaft. Assumes 4.0m dia. backfill graded rock. Assumes screened suitable rock (1000m haulage from stockpile), fed into centre of shaft using CAT980 loader.
</v>
      </c>
      <c r="F34" s="316"/>
      <c r="G34" s="752" t="str">
        <f>TOV!C33</f>
        <v>#1.26</v>
      </c>
      <c r="H34" s="90">
        <f>VLOOKUP($G34,TOV!$C$8:$G$39,TOV!$F$1,FALSE)</f>
        <v>258.9076105439126</v>
      </c>
      <c r="I34" s="27"/>
      <c r="J34" s="91" t="str">
        <f>VLOOKUP($G34,TOV!$C$8:$G$39,TOV!$G$1,FALSE)</f>
        <v>m</v>
      </c>
      <c r="K34" s="753">
        <f t="shared" si="0"/>
        <v>0</v>
      </c>
      <c r="L34" s="216"/>
    </row>
    <row r="35" spans="2:12" ht="48">
      <c r="B35" s="758"/>
      <c r="C35" s="302"/>
      <c r="D35" s="750" t="str">
        <f>VLOOKUP($G35,TOV!$C$8:$G$39,TOV!$E$1,FALSE)</f>
        <v>Underground operations - Plug Portals</v>
      </c>
      <c r="E35" s="751" t="str">
        <f>VLOOKUP($G35,TOV!$C$8:$I$39,TOV!$I$1,FALSE)</f>
        <v xml:space="preserve">
Seal portal. Assumes height 6 m, width 6 m, length 50 m. Backfill with rock. Portal gate allowance $7700.
</v>
      </c>
      <c r="F35" s="316"/>
      <c r="G35" s="752" t="str">
        <f>TOV!C34</f>
        <v>#1.27</v>
      </c>
      <c r="H35" s="90">
        <f>VLOOKUP($G35,TOV!$C$8:$G$39,TOV!$F$1,FALSE)</f>
        <v>26857.115747312957</v>
      </c>
      <c r="I35" s="27"/>
      <c r="J35" s="91" t="str">
        <f>VLOOKUP($G35,TOV!$C$8:$G$39,TOV!$G$1,FALSE)</f>
        <v>each</v>
      </c>
      <c r="K35" s="753">
        <f t="shared" si="0"/>
        <v>0</v>
      </c>
      <c r="L35" s="216"/>
    </row>
    <row r="36" spans="2:12" ht="72">
      <c r="B36" s="749" t="s">
        <v>1537</v>
      </c>
      <c r="C36" s="302"/>
      <c r="D36" s="750" t="str">
        <f>VLOOKUP($G36,TOV!$C$8:$G$39,TOV!$E$1,FALSE)</f>
        <v>Water Storage Dams Contaminated</v>
      </c>
      <c r="E36" s="751" t="str">
        <f>VLOOKUP($G36,TOV!$C$8:$I$39,TOV!$I$1,FALSE)</f>
        <v xml:space="preserve">
Excavate contaminated sediment (up to 0.3m). Backfill. Recontour, rip and trim Spread growth media @ 0.15m thick (haulage &lt; 1km). No allowance for seeding. Add any area to be seeded to rates #1.31 and #1.32.
</v>
      </c>
      <c r="F36" s="316"/>
      <c r="G36" s="752" t="str">
        <f>TOV!C35</f>
        <v>#1.28</v>
      </c>
      <c r="H36" s="90">
        <f>VLOOKUP($G36,TOV!$C$8:$G$39,TOV!$F$1,FALSE)</f>
        <v>7.3449333333333326</v>
      </c>
      <c r="I36" s="27"/>
      <c r="J36" s="91" t="str">
        <f>VLOOKUP($G36,TOV!$C$8:$G$39,TOV!$G$1,FALSE)</f>
        <v>m2</v>
      </c>
      <c r="K36" s="753">
        <f t="shared" si="0"/>
        <v>0</v>
      </c>
      <c r="L36" s="216"/>
    </row>
    <row r="37" spans="2:12" ht="96">
      <c r="B37" s="757"/>
      <c r="C37" s="302"/>
      <c r="D37" s="750" t="str">
        <f>VLOOKUP($G37,TOV!$C$8:$G$39,TOV!$E$1,FALSE)</f>
        <v>Water Storage Dams Treatment</v>
      </c>
      <c r="E37" s="751" t="str">
        <f>VLOOKUP($G37,TOV!$C$8:$I$39,TOV!$I$1,FALSE)</f>
        <v xml:space="preserve">
Treatment of contaminated water. Rate allows for a ranges of treatment options such as salt and metals removal, organic treatment, and pH adjustment (minimum start pH 5.5 to minimum target pH 6.5). Allowance for pumping and establishment, O&amp;M. No allowance for seeding. Add any area to be seeded to rates #1.31 and #1.32.
</v>
      </c>
      <c r="F37" s="316"/>
      <c r="G37" s="752" t="str">
        <f>TOV!C36</f>
        <v>#1.29</v>
      </c>
      <c r="H37" s="90">
        <f>VLOOKUP($G37,TOV!$C$8:$G$39,TOV!$F$1,FALSE)</f>
        <v>2912.8400554616296</v>
      </c>
      <c r="I37" s="27"/>
      <c r="J37" s="91" t="str">
        <f>VLOOKUP($G37,TOV!$C$8:$G$39,TOV!$G$1,FALSE)</f>
        <v>ML</v>
      </c>
      <c r="K37" s="753">
        <f t="shared" ref="K37:K40" si="1">IF(I37="",H37,I37)*F37</f>
        <v>0</v>
      </c>
      <c r="L37" s="216"/>
    </row>
    <row r="38" spans="2:12" ht="72">
      <c r="B38" s="756"/>
      <c r="C38" s="302" t="s">
        <v>1536</v>
      </c>
      <c r="D38" s="750" t="str">
        <f>VLOOKUP($G38,TOV!$C$8:$G$39,TOV!$E$1,FALSE)</f>
        <v>Water storage dams Uncontaminated</v>
      </c>
      <c r="E38" s="751" t="str">
        <f>VLOOKUP($G38,TOV!$C$8:$I$39,TOV!$I$1,FALSE)</f>
        <v xml:space="preserve">
Backfill. Recontour, rip and trim. No allowance for seeding. Add any area to be seeded to rates #1.31 and #1.32.
</v>
      </c>
      <c r="F38" s="316"/>
      <c r="G38" s="752" t="str">
        <f>TOV!C37</f>
        <v>#1.30</v>
      </c>
      <c r="H38" s="90">
        <f>VLOOKUP($G38,TOV!$C$8:$G$39,TOV!$F$1,FALSE)</f>
        <v>4.5639563833552446</v>
      </c>
      <c r="I38" s="27"/>
      <c r="J38" s="91" t="str">
        <f>VLOOKUP($G38,TOV!$C$8:$G$39,TOV!$G$1,FALSE)</f>
        <v>m2</v>
      </c>
      <c r="K38" s="753">
        <f t="shared" si="1"/>
        <v>0</v>
      </c>
      <c r="L38" s="216"/>
    </row>
    <row r="39" spans="2:12" ht="72">
      <c r="B39" s="757" t="s">
        <v>1538</v>
      </c>
      <c r="C39" s="302" t="s">
        <v>1529</v>
      </c>
      <c r="D39" s="750" t="str">
        <f>VLOOKUP($G39,TOV!$C$8:$G$39,TOV!$E$1,FALSE)</f>
        <v>Seeding of pasture areas</v>
      </c>
      <c r="E39" s="751" t="str">
        <f>VLOOKUP($G39,TOV!$C$8:$I$39,TOV!$I$1,FALSE)</f>
        <v xml:space="preserve">
Direct seeding of non-native pasture grass species with the principal aim of returning the land to stable, sustainable grazing land use. Rate includes purchase of seed and fertiliser and application.
</v>
      </c>
      <c r="F39" s="316"/>
      <c r="G39" s="752" t="str">
        <f>TOV!C38</f>
        <v>#1.31</v>
      </c>
      <c r="H39" s="90">
        <f>VLOOKUP($G39,TOV!$C$8:$G$39,TOV!$F$1,FALSE)</f>
        <v>0.16555</v>
      </c>
      <c r="I39" s="27"/>
      <c r="J39" s="91" t="str">
        <f>VLOOKUP($G39,TOV!$C$8:$G$39,TOV!$G$1,FALSE)</f>
        <v>m2</v>
      </c>
      <c r="K39" s="753">
        <f t="shared" si="1"/>
        <v>0</v>
      </c>
      <c r="L39" s="216"/>
    </row>
    <row r="40" spans="2:12" ht="120">
      <c r="B40" s="757"/>
      <c r="C40" s="302"/>
      <c r="D40" s="750" t="str">
        <f>VLOOKUP($G40,TOV!$C$8:$G$39,TOV!$E$1,FALSE)</f>
        <v>Seeding of native areas</v>
      </c>
      <c r="E40" s="751" t="str">
        <f>VLOOKUP($G40,TOV!$C$8:$I$39,TOV!$I$1,FALSE)</f>
        <v xml:space="preserve">
Acquiring a diverse mix of native tree and shrub species appropriate for the area (including understorey), mixing and treating the seed (i.e. smoke and heat as required) and applying the seed at a rate between 4 - 10kg/ha (as applicable).Rate includes purchase of seed, and seedlings, and fertiliser and application. Seedling cost allows for the preparation, germination and propagation of “tube stock” seedling plants that are hand planted.
</v>
      </c>
      <c r="F40" s="316"/>
      <c r="G40" s="752" t="str">
        <f>TOV!C39</f>
        <v>#1.32</v>
      </c>
      <c r="H40" s="90">
        <f>VLOOKUP($G40,TOV!$C$8:$G$39,TOV!$F$1,FALSE)</f>
        <v>0.41965000000000002</v>
      </c>
      <c r="I40" s="27"/>
      <c r="J40" s="91" t="str">
        <f>VLOOKUP($G40,TOV!$C$8:$G$39,TOV!$G$1,FALSE)</f>
        <v>m2</v>
      </c>
      <c r="K40" s="753">
        <f t="shared" si="1"/>
        <v>0</v>
      </c>
      <c r="L40" s="216"/>
    </row>
    <row r="41" spans="2:12" ht="24">
      <c r="B41" s="749" t="s">
        <v>1539</v>
      </c>
      <c r="C41" s="302"/>
      <c r="D41" s="89" t="s">
        <v>1540</v>
      </c>
      <c r="E41" s="89"/>
      <c r="F41" s="316"/>
      <c r="G41" s="475"/>
      <c r="H41" s="518" t="str">
        <f>IF(AND(F41&gt;0,OR(I41="",I41=0)),"Enter Rate","No alert")</f>
        <v>No alert</v>
      </c>
      <c r="I41" s="27"/>
      <c r="J41" s="315"/>
      <c r="K41" s="753">
        <f>F41*I41</f>
        <v>0</v>
      </c>
      <c r="L41" s="216"/>
    </row>
    <row r="42" spans="2:12">
      <c r="B42" s="757" t="s">
        <v>38</v>
      </c>
      <c r="C42" s="302"/>
      <c r="D42" s="89" t="s">
        <v>1540</v>
      </c>
      <c r="E42" s="89"/>
      <c r="F42" s="316"/>
      <c r="G42" s="475"/>
      <c r="H42" s="518" t="str">
        <f>IF(AND(F42&gt;0,OR(I42="",I42=0)),"Enter Rate","No alert")</f>
        <v>No alert</v>
      </c>
      <c r="I42" s="27"/>
      <c r="J42" s="315"/>
      <c r="K42" s="753">
        <f>F42*I42</f>
        <v>0</v>
      </c>
      <c r="L42" s="216"/>
    </row>
    <row r="43" spans="2:12">
      <c r="B43" s="757"/>
      <c r="C43" s="302"/>
      <c r="D43" s="89" t="s">
        <v>1540</v>
      </c>
      <c r="E43" s="89"/>
      <c r="F43" s="316"/>
      <c r="G43" s="475"/>
      <c r="H43" s="518" t="str">
        <f t="shared" ref="H43:H54" si="2">IF(AND(F43&gt;0,OR(I43="",I43=0)),"Enter Rate","No alert")</f>
        <v>No alert</v>
      </c>
      <c r="I43" s="27"/>
      <c r="J43" s="315"/>
      <c r="K43" s="753">
        <f t="shared" ref="K43:K54" si="3">F43*I43</f>
        <v>0</v>
      </c>
      <c r="L43" s="216"/>
    </row>
    <row r="44" spans="2:12">
      <c r="B44" s="757"/>
      <c r="C44" s="302"/>
      <c r="D44" s="89" t="s">
        <v>1540</v>
      </c>
      <c r="E44" s="89"/>
      <c r="F44" s="316"/>
      <c r="G44" s="475"/>
      <c r="H44" s="518" t="str">
        <f t="shared" si="2"/>
        <v>No alert</v>
      </c>
      <c r="I44" s="27"/>
      <c r="J44" s="315"/>
      <c r="K44" s="753">
        <f t="shared" si="3"/>
        <v>0</v>
      </c>
      <c r="L44" s="216"/>
    </row>
    <row r="45" spans="2:12">
      <c r="B45" s="757"/>
      <c r="C45" s="302"/>
      <c r="D45" s="89" t="s">
        <v>1540</v>
      </c>
      <c r="E45" s="89"/>
      <c r="F45" s="316"/>
      <c r="G45" s="475"/>
      <c r="H45" s="518" t="str">
        <f t="shared" si="2"/>
        <v>No alert</v>
      </c>
      <c r="I45" s="27"/>
      <c r="J45" s="315"/>
      <c r="K45" s="753">
        <f t="shared" si="3"/>
        <v>0</v>
      </c>
      <c r="L45" s="216"/>
    </row>
    <row r="46" spans="2:12">
      <c r="B46" s="757"/>
      <c r="C46" s="302"/>
      <c r="D46" s="89" t="s">
        <v>1540</v>
      </c>
      <c r="E46" s="89"/>
      <c r="F46" s="316"/>
      <c r="G46" s="475"/>
      <c r="H46" s="518" t="str">
        <f t="shared" si="2"/>
        <v>No alert</v>
      </c>
      <c r="I46" s="27"/>
      <c r="J46" s="315"/>
      <c r="K46" s="753">
        <f t="shared" si="3"/>
        <v>0</v>
      </c>
      <c r="L46" s="216"/>
    </row>
    <row r="47" spans="2:12">
      <c r="B47" s="757"/>
      <c r="C47" s="302"/>
      <c r="D47" s="89" t="s">
        <v>1540</v>
      </c>
      <c r="E47" s="89"/>
      <c r="F47" s="316"/>
      <c r="G47" s="475"/>
      <c r="H47" s="518" t="str">
        <f t="shared" si="2"/>
        <v>No alert</v>
      </c>
      <c r="I47" s="27"/>
      <c r="J47" s="315"/>
      <c r="K47" s="753">
        <f t="shared" si="3"/>
        <v>0</v>
      </c>
      <c r="L47" s="216"/>
    </row>
    <row r="48" spans="2:12">
      <c r="B48" s="757"/>
      <c r="C48" s="302"/>
      <c r="D48" s="89" t="s">
        <v>1540</v>
      </c>
      <c r="E48" s="89"/>
      <c r="F48" s="316"/>
      <c r="G48" s="475"/>
      <c r="H48" s="518" t="str">
        <f t="shared" si="2"/>
        <v>No alert</v>
      </c>
      <c r="I48" s="27"/>
      <c r="J48" s="315"/>
      <c r="K48" s="753">
        <f t="shared" si="3"/>
        <v>0</v>
      </c>
      <c r="L48" s="216"/>
    </row>
    <row r="49" spans="2:12">
      <c r="B49" s="757"/>
      <c r="C49" s="302"/>
      <c r="D49" s="89" t="s">
        <v>1540</v>
      </c>
      <c r="E49" s="89"/>
      <c r="F49" s="316"/>
      <c r="G49" s="475"/>
      <c r="H49" s="518" t="str">
        <f t="shared" si="2"/>
        <v>No alert</v>
      </c>
      <c r="I49" s="27"/>
      <c r="J49" s="315"/>
      <c r="K49" s="753">
        <f t="shared" si="3"/>
        <v>0</v>
      </c>
      <c r="L49" s="216"/>
    </row>
    <row r="50" spans="2:12">
      <c r="B50" s="757"/>
      <c r="C50" s="302"/>
      <c r="D50" s="89" t="s">
        <v>1540</v>
      </c>
      <c r="E50" s="89"/>
      <c r="F50" s="316"/>
      <c r="G50" s="475"/>
      <c r="H50" s="518" t="str">
        <f t="shared" si="2"/>
        <v>No alert</v>
      </c>
      <c r="I50" s="27"/>
      <c r="J50" s="315"/>
      <c r="K50" s="753">
        <f t="shared" si="3"/>
        <v>0</v>
      </c>
      <c r="L50" s="216"/>
    </row>
    <row r="51" spans="2:12">
      <c r="B51" s="757"/>
      <c r="C51" s="302"/>
      <c r="D51" s="89" t="s">
        <v>1540</v>
      </c>
      <c r="E51" s="89"/>
      <c r="F51" s="316"/>
      <c r="G51" s="475"/>
      <c r="H51" s="518" t="str">
        <f t="shared" si="2"/>
        <v>No alert</v>
      </c>
      <c r="I51" s="27"/>
      <c r="J51" s="315"/>
      <c r="K51" s="753">
        <f t="shared" si="3"/>
        <v>0</v>
      </c>
      <c r="L51" s="216"/>
    </row>
    <row r="52" spans="2:12">
      <c r="B52" s="757"/>
      <c r="C52" s="302"/>
      <c r="D52" s="89" t="s">
        <v>1540</v>
      </c>
      <c r="E52" s="89"/>
      <c r="F52" s="316"/>
      <c r="G52" s="475"/>
      <c r="H52" s="518" t="str">
        <f t="shared" si="2"/>
        <v>No alert</v>
      </c>
      <c r="I52" s="27"/>
      <c r="J52" s="315"/>
      <c r="K52" s="753">
        <f t="shared" si="3"/>
        <v>0</v>
      </c>
      <c r="L52" s="216"/>
    </row>
    <row r="53" spans="2:12">
      <c r="B53" s="757"/>
      <c r="C53" s="302"/>
      <c r="D53" s="89" t="s">
        <v>1540</v>
      </c>
      <c r="E53" s="89"/>
      <c r="F53" s="316"/>
      <c r="G53" s="475"/>
      <c r="H53" s="518" t="str">
        <f t="shared" si="2"/>
        <v>No alert</v>
      </c>
      <c r="I53" s="27"/>
      <c r="J53" s="315"/>
      <c r="K53" s="753">
        <f t="shared" si="3"/>
        <v>0</v>
      </c>
      <c r="L53" s="216"/>
    </row>
    <row r="54" spans="2:12">
      <c r="B54" s="757"/>
      <c r="C54" s="302"/>
      <c r="D54" s="89" t="s">
        <v>1540</v>
      </c>
      <c r="E54" s="89"/>
      <c r="F54" s="316"/>
      <c r="G54" s="475"/>
      <c r="H54" s="518" t="str">
        <f t="shared" si="2"/>
        <v>No alert</v>
      </c>
      <c r="I54" s="27"/>
      <c r="J54" s="315"/>
      <c r="K54" s="753">
        <f t="shared" si="3"/>
        <v>0</v>
      </c>
      <c r="L54" s="216"/>
    </row>
    <row r="55" spans="2:12">
      <c r="B55" s="756"/>
      <c r="C55" s="302"/>
      <c r="D55" s="89" t="s">
        <v>1540</v>
      </c>
      <c r="E55" s="89"/>
      <c r="F55" s="316"/>
      <c r="G55" s="475"/>
      <c r="H55" s="518" t="str">
        <f>IF(AND(F55&gt;0,OR(I55="",I55=0)),"Enter Rate","No alert")</f>
        <v>No alert</v>
      </c>
      <c r="I55" s="27"/>
      <c r="J55" s="315"/>
      <c r="K55" s="753">
        <f>F55*I55</f>
        <v>0</v>
      </c>
      <c r="L55" s="216"/>
    </row>
    <row r="56" spans="2:12" ht="15" customHeight="1">
      <c r="B56" s="285" t="s">
        <v>26</v>
      </c>
      <c r="F56" s="475"/>
      <c r="G56" s="475"/>
      <c r="H56" s="518"/>
      <c r="I56" s="475"/>
      <c r="J56" s="475"/>
      <c r="K56" s="475"/>
    </row>
    <row r="57" spans="2:12" ht="18" customHeight="1">
      <c r="F57" s="373">
        <f>SUM(F8:F56)</f>
        <v>0</v>
      </c>
      <c r="K57" s="759">
        <f>SUM(K8:K56)</f>
        <v>0</v>
      </c>
      <c r="L57" s="760">
        <f>IF(F57=0,0,K57/F57)</f>
        <v>0</v>
      </c>
    </row>
  </sheetData>
  <sheetProtection algorithmName="SHA-512" hashValue="57klhQveCGGvZP5JLFIIq5Yx2mzv4dRplzoBPvnj0xT8073f68xgyeEENqMcL8sSRKHmVtJj2Zb0rkUAJ266Qw==" saltValue="I0bq+DcL/vvLUuPTI4ru+A==" spinCount="100000" sheet="1" objects="1" scenarios="1" autoFilter="0"/>
  <conditionalFormatting sqref="H41:H56">
    <cfRule type="containsText" dxfId="476" priority="9" operator="containsText" text="No Alert">
      <formula>NOT(ISERROR(SEARCH("No Alert",H41)))</formula>
    </cfRule>
  </conditionalFormatting>
  <conditionalFormatting sqref="I9:I55">
    <cfRule type="cellIs" dxfId="475" priority="39" operator="notEqual">
      <formula>""</formula>
    </cfRule>
  </conditionalFormatting>
  <conditionalFormatting sqref="I41:I55">
    <cfRule type="cellIs" dxfId="474" priority="33" operator="greaterThan">
      <formula>0</formula>
    </cfRule>
  </conditionalFormatting>
  <conditionalFormatting sqref="L9:L55">
    <cfRule type="expression" dxfId="471" priority="1">
      <formula>$I9&lt;&gt;""</formula>
    </cfRule>
  </conditionalFormatting>
  <hyperlinks>
    <hyperlink ref="B2" location="CONTENTS!A1" display="Contents" xr:uid="{58378C2A-5661-4033-A6B8-FC6C739DAF88}"/>
    <hyperlink ref="B56" location="'1. Eligible Mining Activities'!B8" display="Top" xr:uid="{E56FA283-CBFD-494D-B3CE-51F00C802A64}"/>
  </hyperlink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37" stopIfTrue="1" id="{A8784B6C-98D4-45C4-A03C-A30709D6A0C4}">
            <xm:f>Summary!#REF!="N"</xm:f>
            <x14:dxf>
              <fill>
                <patternFill>
                  <bgColor indexed="9"/>
                </patternFill>
              </fill>
            </x14:dxf>
          </x14:cfRule>
          <x14:cfRule type="expression" priority="38" stopIfTrue="1" id="{6DDDC632-53AD-4CF2-8708-333DC2D71471}">
            <xm:f>Summary!#REF!="Y"</xm:f>
            <x14:dxf>
              <fill>
                <patternFill>
                  <bgColor indexed="42"/>
                </patternFill>
              </fill>
            </x14:dxf>
          </x14:cfRule>
          <xm:sqref>I41:I55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theme="9" tint="-0.249977111117893"/>
    <pageSetUpPr fitToPage="1"/>
  </sheetPr>
  <dimension ref="A1:X125"/>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 defaultRowHeight="12"/>
  <cols>
    <col min="1" max="1" width="3.42578125" style="475" customWidth="1"/>
    <col min="2" max="2" width="20.7109375" style="475" customWidth="1"/>
    <col min="3" max="3" width="68.5703125" style="475" customWidth="1"/>
    <col min="4" max="19" width="18.7109375" style="474" customWidth="1"/>
    <col min="20" max="21" width="18.7109375" style="475" customWidth="1"/>
    <col min="22" max="16384" width="9" style="475"/>
  </cols>
  <sheetData>
    <row r="1" spans="1:24" ht="14.25">
      <c r="B1" s="433" t="s">
        <v>0</v>
      </c>
      <c r="C1" s="520"/>
      <c r="G1" s="734"/>
    </row>
    <row r="2" spans="1:24" ht="18" customHeight="1">
      <c r="B2" s="286" t="s">
        <v>256</v>
      </c>
      <c r="C2" s="476" t="s">
        <v>1541</v>
      </c>
      <c r="D2" s="761"/>
      <c r="E2" s="761"/>
      <c r="F2" s="761"/>
      <c r="G2" s="761"/>
      <c r="H2" s="761"/>
      <c r="I2" s="761"/>
      <c r="J2" s="761"/>
      <c r="K2" s="761"/>
      <c r="L2" s="761"/>
    </row>
    <row r="3" spans="1:24" ht="18" customHeight="1">
      <c r="B3" s="762">
        <f>SUM(L16,L27,I56,I77,I43,I101,J117)</f>
        <v>0</v>
      </c>
      <c r="C3" s="763" t="s">
        <v>1516</v>
      </c>
      <c r="G3" s="734"/>
    </row>
    <row r="4" spans="1:24" ht="18" customHeight="1">
      <c r="B4" s="764">
        <f>Summary!$G$122</f>
        <v>0</v>
      </c>
      <c r="C4" s="765" t="s">
        <v>1484</v>
      </c>
      <c r="F4" s="475"/>
      <c r="G4" s="734"/>
    </row>
    <row r="5" spans="1:24" ht="90" customHeight="1">
      <c r="B5" s="766"/>
      <c r="C5" s="766"/>
      <c r="F5" s="475"/>
      <c r="G5" s="475"/>
      <c r="H5" s="475"/>
      <c r="I5" s="475"/>
      <c r="J5" s="475"/>
      <c r="N5" s="475"/>
      <c r="O5" s="475"/>
      <c r="P5" s="475"/>
      <c r="T5" s="474"/>
      <c r="U5" s="474"/>
      <c r="V5" s="474"/>
      <c r="W5" s="474"/>
      <c r="X5" s="474"/>
    </row>
    <row r="6" spans="1:24">
      <c r="D6" s="475"/>
      <c r="E6" s="475"/>
      <c r="F6" s="475"/>
      <c r="G6" s="475"/>
      <c r="H6" s="475"/>
      <c r="I6" s="475"/>
      <c r="J6" s="475"/>
      <c r="N6" s="475"/>
      <c r="O6" s="475"/>
      <c r="P6" s="475"/>
      <c r="T6" s="474"/>
      <c r="U6" s="474"/>
      <c r="V6" s="474"/>
      <c r="W6" s="474"/>
      <c r="X6" s="474"/>
    </row>
    <row r="7" spans="1:24" ht="16.149999999999999" customHeight="1">
      <c r="C7" s="767" t="s">
        <v>1542</v>
      </c>
      <c r="D7" s="768"/>
      <c r="E7" s="769">
        <v>0.05</v>
      </c>
      <c r="F7" s="770" t="s">
        <v>1543</v>
      </c>
      <c r="G7" s="768"/>
      <c r="I7" s="771"/>
      <c r="J7" s="768"/>
      <c r="K7" s="768"/>
      <c r="L7" s="768"/>
      <c r="M7" s="768"/>
      <c r="N7" s="768"/>
      <c r="S7" s="475"/>
    </row>
    <row r="8" spans="1:24" ht="48">
      <c r="A8" s="772"/>
      <c r="B8" s="773" t="s">
        <v>1517</v>
      </c>
      <c r="C8" s="774" t="s">
        <v>1544</v>
      </c>
      <c r="D8" s="773" t="s">
        <v>1545</v>
      </c>
      <c r="E8" s="773" t="s">
        <v>1546</v>
      </c>
      <c r="F8" s="773" t="s">
        <v>1547</v>
      </c>
      <c r="G8" s="773" t="s">
        <v>1548</v>
      </c>
      <c r="H8" s="773" t="s">
        <v>2</v>
      </c>
      <c r="I8" s="773" t="s">
        <v>1521</v>
      </c>
      <c r="J8" s="773" t="s">
        <v>1549</v>
      </c>
      <c r="K8" s="773" t="s">
        <v>1550</v>
      </c>
      <c r="L8" s="775" t="s">
        <v>75</v>
      </c>
      <c r="M8" s="776" t="s">
        <v>1526</v>
      </c>
      <c r="N8" s="777"/>
      <c r="O8" s="777"/>
      <c r="P8" s="777"/>
      <c r="Q8" s="777"/>
      <c r="R8" s="777"/>
      <c r="S8" s="777"/>
      <c r="T8" s="778"/>
    </row>
    <row r="9" spans="1:24">
      <c r="A9" s="772"/>
      <c r="B9" s="748"/>
      <c r="C9" s="748"/>
      <c r="D9" s="748"/>
      <c r="E9" s="748"/>
      <c r="F9" s="748"/>
      <c r="G9" s="748"/>
      <c r="H9" s="748"/>
      <c r="I9" s="748"/>
      <c r="J9" s="748"/>
      <c r="K9" s="748"/>
      <c r="L9" s="748"/>
      <c r="M9" s="748"/>
      <c r="T9" s="779"/>
    </row>
    <row r="10" spans="1:24">
      <c r="A10" s="772"/>
      <c r="B10" s="301"/>
      <c r="C10" s="780" t="str">
        <f>VLOOKUP($I10,TOV!$C$41:$G$83,TOV!$E$1,FALSE)</f>
        <v>Seismic corridor, grid-lines, minor tracks rehabilitation in pasture land</v>
      </c>
      <c r="D10" s="316"/>
      <c r="E10" s="781">
        <f>D10*$E$7</f>
        <v>0</v>
      </c>
      <c r="F10" s="320"/>
      <c r="G10" s="781">
        <f>IF(F10&gt;0,F10,E10)</f>
        <v>0</v>
      </c>
      <c r="H10" s="782" t="str">
        <f>VLOOKUP($I10,TOV!$C$41:$G$83,TOV!$G$1,FALSE)</f>
        <v>km</v>
      </c>
      <c r="I10" s="783" t="str">
        <f>TOV!C41</f>
        <v>#2.01</v>
      </c>
      <c r="J10" s="115">
        <f>VLOOKUP($I10,TOV!$C$41:$G$83,TOV!$F$1,FALSE)</f>
        <v>1006.181121055433</v>
      </c>
      <c r="K10" s="290"/>
      <c r="L10" s="111">
        <f>IF(K10="",J10,K10)*G10</f>
        <v>0</v>
      </c>
      <c r="M10" s="215"/>
      <c r="N10" s="217"/>
      <c r="O10" s="217"/>
      <c r="P10" s="217"/>
      <c r="Q10" s="217"/>
      <c r="R10" s="217"/>
      <c r="S10" s="217"/>
      <c r="T10" s="218"/>
    </row>
    <row r="11" spans="1:24">
      <c r="A11" s="772"/>
      <c r="B11" s="301"/>
      <c r="C11" s="780" t="str">
        <f>VLOOKUP($I11,TOV!$C$41:$G$83,TOV!$E$1,FALSE)</f>
        <v>Seismic corridor, grid-lines, minor tracks rehabilitation in native land</v>
      </c>
      <c r="D11" s="316"/>
      <c r="E11" s="781">
        <f t="shared" ref="E11:E14" si="0">D11*$E$7</f>
        <v>0</v>
      </c>
      <c r="F11" s="316"/>
      <c r="G11" s="781">
        <f t="shared" ref="G11:G14" si="1">IF(F11&gt;0,F11,E11)</f>
        <v>0</v>
      </c>
      <c r="H11" s="782" t="str">
        <f>VLOOKUP($I11,TOV!$C$41:$G$83,TOV!$G$1,FALSE)</f>
        <v>km</v>
      </c>
      <c r="I11" s="783" t="str">
        <f>TOV!C42</f>
        <v>#2.02</v>
      </c>
      <c r="J11" s="115">
        <f>VLOOKUP($I11,TOV!$C$41:$G$83,TOV!$F$1,FALSE)</f>
        <v>1895.531121055433</v>
      </c>
      <c r="K11" s="290"/>
      <c r="L11" s="111">
        <f t="shared" ref="L11:L12" si="2">IF(K11="",J11,K11)*G11</f>
        <v>0</v>
      </c>
      <c r="M11" s="215"/>
      <c r="N11" s="217"/>
      <c r="O11" s="217"/>
      <c r="P11" s="217"/>
      <c r="Q11" s="217"/>
      <c r="R11" s="217"/>
      <c r="S11" s="217"/>
      <c r="T11" s="218"/>
    </row>
    <row r="12" spans="1:24">
      <c r="A12" s="772"/>
      <c r="B12" s="301"/>
      <c r="C12" s="780" t="str">
        <f>VLOOKUP($I12,TOV!$C$41:$G$83,TOV!$E$1,FALSE)</f>
        <v>Seismic corridor, grid-lines, minor tracks rehabilitation in arid land</v>
      </c>
      <c r="D12" s="316"/>
      <c r="E12" s="781">
        <f t="shared" si="0"/>
        <v>0</v>
      </c>
      <c r="F12" s="316"/>
      <c r="G12" s="781">
        <f t="shared" si="1"/>
        <v>0</v>
      </c>
      <c r="H12" s="782" t="str">
        <f>VLOOKUP($I12,TOV!$C$41:$G$83,TOV!$G$1,FALSE)</f>
        <v>km</v>
      </c>
      <c r="I12" s="783" t="str">
        <f>TOV!C43</f>
        <v>#2.03</v>
      </c>
      <c r="J12" s="115">
        <f>VLOOKUP($I12,TOV!$C$41:$G$83,TOV!$F$1,FALSE)</f>
        <v>426.75612105543297</v>
      </c>
      <c r="K12" s="290"/>
      <c r="L12" s="111">
        <f t="shared" si="2"/>
        <v>0</v>
      </c>
      <c r="M12" s="215"/>
      <c r="N12" s="217"/>
      <c r="O12" s="217"/>
      <c r="P12" s="217"/>
      <c r="Q12" s="217"/>
      <c r="R12" s="217"/>
      <c r="S12" s="217"/>
      <c r="T12" s="218"/>
    </row>
    <row r="13" spans="1:24">
      <c r="A13" s="784"/>
      <c r="B13" s="301"/>
      <c r="C13" s="50"/>
      <c r="D13" s="316"/>
      <c r="E13" s="781">
        <f t="shared" si="0"/>
        <v>0</v>
      </c>
      <c r="F13" s="316"/>
      <c r="G13" s="781">
        <f t="shared" si="1"/>
        <v>0</v>
      </c>
      <c r="H13" s="782" t="s">
        <v>24</v>
      </c>
      <c r="I13" s="785"/>
      <c r="J13" s="518" t="str">
        <f>IF(AND(G13&gt;0,OR(K13="",K13=0)),"Enter Rate","No alert")</f>
        <v>No alert</v>
      </c>
      <c r="K13" s="290"/>
      <c r="L13" s="111">
        <f>G13*K13</f>
        <v>0</v>
      </c>
      <c r="M13" s="215"/>
      <c r="N13" s="217"/>
      <c r="O13" s="217"/>
      <c r="P13" s="217"/>
      <c r="Q13" s="217"/>
      <c r="R13" s="217"/>
      <c r="S13" s="217"/>
      <c r="T13" s="218"/>
    </row>
    <row r="14" spans="1:24">
      <c r="A14" s="784"/>
      <c r="B14" s="301"/>
      <c r="C14" s="50"/>
      <c r="D14" s="316"/>
      <c r="E14" s="781">
        <f t="shared" si="0"/>
        <v>0</v>
      </c>
      <c r="F14" s="316"/>
      <c r="G14" s="781">
        <f t="shared" si="1"/>
        <v>0</v>
      </c>
      <c r="H14" s="782" t="s">
        <v>24</v>
      </c>
      <c r="I14" s="785"/>
      <c r="J14" s="518" t="str">
        <f>IF(AND(G14&gt;0,OR(K14="",K14=0)),"Enter Rate","No alert")</f>
        <v>No alert</v>
      </c>
      <c r="K14" s="290"/>
      <c r="L14" s="111">
        <f>G14*K14</f>
        <v>0</v>
      </c>
      <c r="M14" s="215"/>
      <c r="N14" s="217"/>
      <c r="O14" s="217"/>
      <c r="P14" s="217"/>
      <c r="Q14" s="217"/>
      <c r="R14" s="217"/>
      <c r="S14" s="217"/>
      <c r="T14" s="218"/>
    </row>
    <row r="15" spans="1:24" ht="12" customHeight="1">
      <c r="A15" s="786"/>
      <c r="B15" s="785"/>
      <c r="C15" s="785"/>
      <c r="D15" s="787"/>
      <c r="E15" s="787"/>
      <c r="F15" s="787"/>
      <c r="G15" s="787"/>
      <c r="H15" s="785"/>
      <c r="I15" s="785"/>
      <c r="J15" s="785"/>
      <c r="K15" s="788"/>
      <c r="L15" s="788"/>
      <c r="M15" s="785"/>
      <c r="S15" s="475"/>
    </row>
    <row r="16" spans="1:24" ht="18" customHeight="1">
      <c r="B16" s="520"/>
      <c r="C16" s="789"/>
      <c r="D16" s="372">
        <f>SUM(D9:D15)</f>
        <v>0</v>
      </c>
      <c r="E16" s="372">
        <f>SUM(E9:E15)</f>
        <v>0</v>
      </c>
      <c r="F16" s="372">
        <f t="shared" ref="F16" si="3">SUM(F9:F15)</f>
        <v>0</v>
      </c>
      <c r="G16" s="372">
        <f>SUM(G9:G15)</f>
        <v>0</v>
      </c>
      <c r="H16" s="790" t="s">
        <v>24</v>
      </c>
      <c r="I16" s="520"/>
      <c r="J16" s="520"/>
      <c r="K16" s="791"/>
      <c r="L16" s="111">
        <f>SUM(L9:L15)</f>
        <v>0</v>
      </c>
      <c r="M16" s="792">
        <f>IF(G16=0,0,L16/G16)</f>
        <v>0</v>
      </c>
      <c r="N16" s="793" t="str">
        <f>H16</f>
        <v>km</v>
      </c>
      <c r="P16" s="475"/>
      <c r="Q16" s="794"/>
      <c r="R16" s="475"/>
      <c r="S16" s="794"/>
    </row>
    <row r="17" spans="1:20" ht="12" customHeight="1">
      <c r="B17" s="520"/>
      <c r="C17" s="520"/>
      <c r="D17" s="520"/>
      <c r="E17" s="520"/>
      <c r="F17" s="520"/>
      <c r="G17" s="520"/>
      <c r="H17" s="520"/>
      <c r="I17" s="520"/>
      <c r="J17" s="768"/>
      <c r="K17" s="768"/>
      <c r="L17" s="768"/>
      <c r="M17" s="475"/>
      <c r="N17" s="475"/>
      <c r="O17" s="475"/>
      <c r="P17" s="475"/>
      <c r="Q17" s="794"/>
      <c r="R17" s="475"/>
      <c r="S17" s="475"/>
    </row>
    <row r="18" spans="1:20" ht="16.149999999999999" customHeight="1">
      <c r="B18" s="284" t="s">
        <v>26</v>
      </c>
      <c r="C18" s="767" t="s">
        <v>1551</v>
      </c>
      <c r="D18" s="768"/>
      <c r="E18" s="769">
        <v>0.05</v>
      </c>
      <c r="F18" s="770" t="s">
        <v>1543</v>
      </c>
      <c r="G18" s="771"/>
      <c r="H18" s="768"/>
      <c r="I18" s="768"/>
      <c r="J18" s="768"/>
      <c r="K18" s="768"/>
      <c r="L18" s="768"/>
      <c r="S18" s="475"/>
    </row>
    <row r="19" spans="1:20" ht="48">
      <c r="A19" s="772"/>
      <c r="B19" s="774" t="s">
        <v>1517</v>
      </c>
      <c r="C19" s="774" t="s">
        <v>1544</v>
      </c>
      <c r="D19" s="773" t="s">
        <v>1552</v>
      </c>
      <c r="E19" s="773" t="s">
        <v>1553</v>
      </c>
      <c r="F19" s="773" t="s">
        <v>1554</v>
      </c>
      <c r="G19" s="773" t="s">
        <v>1555</v>
      </c>
      <c r="H19" s="773" t="s">
        <v>2</v>
      </c>
      <c r="I19" s="773" t="s">
        <v>1521</v>
      </c>
      <c r="J19" s="773" t="s">
        <v>1549</v>
      </c>
      <c r="K19" s="773" t="s">
        <v>1556</v>
      </c>
      <c r="L19" s="775" t="s">
        <v>75</v>
      </c>
      <c r="M19" s="776" t="s">
        <v>1526</v>
      </c>
      <c r="N19" s="777"/>
      <c r="O19" s="777"/>
      <c r="P19" s="777"/>
      <c r="Q19" s="777"/>
      <c r="R19" s="777"/>
      <c r="S19" s="777"/>
      <c r="T19" s="778"/>
    </row>
    <row r="20" spans="1:20">
      <c r="A20" s="772"/>
      <c r="B20" s="748"/>
      <c r="C20" s="748"/>
      <c r="D20" s="748"/>
      <c r="E20" s="748"/>
      <c r="F20" s="748"/>
      <c r="H20" s="748"/>
      <c r="I20" s="748"/>
      <c r="J20" s="748"/>
      <c r="K20" s="748"/>
      <c r="L20" s="748"/>
      <c r="M20" s="748"/>
      <c r="T20" s="779"/>
    </row>
    <row r="21" spans="1:20">
      <c r="A21" s="772"/>
      <c r="B21" s="301"/>
      <c r="C21" s="780" t="str">
        <f>VLOOKUP($I21,TOV!$C$41:$G$83,TOV!$E$1,FALSE)</f>
        <v>Seismic corridor, grid-lines, minor tracks rehabilitation in pasture land</v>
      </c>
      <c r="D21" s="316"/>
      <c r="E21" s="781">
        <f>D21*$E$18</f>
        <v>0</v>
      </c>
      <c r="F21" s="320"/>
      <c r="G21" s="781">
        <f>IF(F21&gt;0,F21,E21)</f>
        <v>0</v>
      </c>
      <c r="H21" s="782" t="str">
        <f>VLOOKUP($I21,TOV!$C$41:$G$83,TOV!$G$1,FALSE)</f>
        <v>ha</v>
      </c>
      <c r="I21" s="783" t="str">
        <f>TOV!C44</f>
        <v>#2.04</v>
      </c>
      <c r="J21" s="115">
        <f>VLOOKUP($I21,TOV!$C$41:$G$83,TOV!$F$1,FALSE)</f>
        <v>2874.8032030155227</v>
      </c>
      <c r="K21" s="290"/>
      <c r="L21" s="111">
        <f>IF(K21="",J21,K21)*G21</f>
        <v>0</v>
      </c>
      <c r="M21" s="215"/>
      <c r="N21" s="217"/>
      <c r="O21" s="217"/>
      <c r="P21" s="217"/>
      <c r="Q21" s="217"/>
      <c r="R21" s="217"/>
      <c r="S21" s="217"/>
      <c r="T21" s="218"/>
    </row>
    <row r="22" spans="1:20">
      <c r="A22" s="772"/>
      <c r="B22" s="301"/>
      <c r="C22" s="780" t="str">
        <f>VLOOKUP($I22,TOV!$C$41:$G$83,TOV!$E$1,FALSE)</f>
        <v>Seismic corridor, grid-lines, minor tracks rehabilitation in native land</v>
      </c>
      <c r="D22" s="316"/>
      <c r="E22" s="781">
        <f t="shared" ref="E22:E25" si="4">D22*$E$18</f>
        <v>0</v>
      </c>
      <c r="F22" s="320"/>
      <c r="G22" s="781">
        <f t="shared" ref="G22:G25" si="5">IF(F22&gt;0,F22,E22)</f>
        <v>0</v>
      </c>
      <c r="H22" s="782" t="str">
        <f>VLOOKUP($I22,TOV!$C$41:$G$83,TOV!$G$1,FALSE)</f>
        <v>ha</v>
      </c>
      <c r="I22" s="783" t="str">
        <f>TOV!C45</f>
        <v>#2.05</v>
      </c>
      <c r="J22" s="115">
        <f>VLOOKUP($I22,TOV!$C$41:$G$83,TOV!$F$1,FALSE)</f>
        <v>5415.8032030155227</v>
      </c>
      <c r="K22" s="290"/>
      <c r="L22" s="111">
        <f t="shared" ref="L22:L23" si="6">IF(K22="",J22,K22)*G22</f>
        <v>0</v>
      </c>
      <c r="M22" s="215"/>
      <c r="N22" s="217"/>
      <c r="O22" s="217"/>
      <c r="P22" s="217"/>
      <c r="Q22" s="217"/>
      <c r="R22" s="217"/>
      <c r="S22" s="217"/>
      <c r="T22" s="218"/>
    </row>
    <row r="23" spans="1:20">
      <c r="A23" s="772"/>
      <c r="B23" s="301"/>
      <c r="C23" s="780" t="str">
        <f>VLOOKUP($I23,TOV!$C$41:$G$83,TOV!$E$1,FALSE)</f>
        <v>Seismic corridor, grid-lines, minor tracks rehabilitation in arid land</v>
      </c>
      <c r="D23" s="316"/>
      <c r="E23" s="781">
        <f t="shared" si="4"/>
        <v>0</v>
      </c>
      <c r="F23" s="320"/>
      <c r="G23" s="781">
        <f t="shared" si="5"/>
        <v>0</v>
      </c>
      <c r="H23" s="782" t="str">
        <f>VLOOKUP($I23,TOV!$C$41:$G$83,TOV!$G$1,FALSE)</f>
        <v>ha</v>
      </c>
      <c r="I23" s="783" t="str">
        <f>TOV!C46</f>
        <v>#2.06</v>
      </c>
      <c r="J23" s="115">
        <f>VLOOKUP($I23,TOV!$C$41:$G$83,TOV!$F$1,FALSE)</f>
        <v>1219.3032030155227</v>
      </c>
      <c r="K23" s="290"/>
      <c r="L23" s="111">
        <f t="shared" si="6"/>
        <v>0</v>
      </c>
      <c r="M23" s="215"/>
      <c r="N23" s="217"/>
      <c r="O23" s="217"/>
      <c r="P23" s="217"/>
      <c r="Q23" s="217"/>
      <c r="R23" s="217"/>
      <c r="S23" s="217"/>
      <c r="T23" s="218"/>
    </row>
    <row r="24" spans="1:20">
      <c r="A24" s="784"/>
      <c r="B24" s="301"/>
      <c r="C24" s="50"/>
      <c r="D24" s="316"/>
      <c r="E24" s="781">
        <f t="shared" si="4"/>
        <v>0</v>
      </c>
      <c r="F24" s="320"/>
      <c r="G24" s="781">
        <f t="shared" si="5"/>
        <v>0</v>
      </c>
      <c r="H24" s="782" t="s">
        <v>95</v>
      </c>
      <c r="I24" s="785"/>
      <c r="J24" s="518" t="str">
        <f>IF(AND(G24&gt;0,OR(K24="",K24=0)),"Enter Rate","No alert")</f>
        <v>No alert</v>
      </c>
      <c r="K24" s="290"/>
      <c r="L24" s="111">
        <f>G24*K24</f>
        <v>0</v>
      </c>
      <c r="M24" s="215"/>
      <c r="N24" s="217"/>
      <c r="O24" s="217"/>
      <c r="P24" s="217"/>
      <c r="Q24" s="217"/>
      <c r="R24" s="217"/>
      <c r="S24" s="217"/>
      <c r="T24" s="218"/>
    </row>
    <row r="25" spans="1:20">
      <c r="A25" s="784"/>
      <c r="B25" s="301"/>
      <c r="C25" s="50"/>
      <c r="D25" s="316"/>
      <c r="E25" s="781">
        <f t="shared" si="4"/>
        <v>0</v>
      </c>
      <c r="F25" s="320"/>
      <c r="G25" s="781">
        <f t="shared" si="5"/>
        <v>0</v>
      </c>
      <c r="H25" s="782" t="s">
        <v>95</v>
      </c>
      <c r="I25" s="785"/>
      <c r="J25" s="518" t="str">
        <f>IF(AND(G25&gt;0,OR(K25="",K25=0)),"Enter Rate","No alert")</f>
        <v>No alert</v>
      </c>
      <c r="K25" s="290"/>
      <c r="L25" s="111">
        <f>G25*K25</f>
        <v>0</v>
      </c>
      <c r="M25" s="215"/>
      <c r="N25" s="217"/>
      <c r="O25" s="217"/>
      <c r="P25" s="217"/>
      <c r="Q25" s="217"/>
      <c r="R25" s="217"/>
      <c r="S25" s="217"/>
      <c r="T25" s="218"/>
    </row>
    <row r="26" spans="1:20" ht="12" customHeight="1">
      <c r="A26" s="786"/>
      <c r="B26" s="785"/>
      <c r="C26" s="785"/>
      <c r="D26" s="787"/>
      <c r="E26" s="787"/>
      <c r="F26" s="787"/>
      <c r="G26" s="795"/>
      <c r="H26" s="785"/>
      <c r="I26" s="785"/>
      <c r="J26" s="785"/>
      <c r="K26" s="796"/>
      <c r="L26" s="796"/>
      <c r="M26" s="785"/>
      <c r="S26" s="475"/>
    </row>
    <row r="27" spans="1:20" ht="18" customHeight="1">
      <c r="B27" s="520"/>
      <c r="C27" s="789"/>
      <c r="D27" s="372">
        <f>SUM(D20:D26)</f>
        <v>0</v>
      </c>
      <c r="E27" s="372">
        <f t="shared" ref="E27:G27" si="7">SUM(E20:E26)</f>
        <v>0</v>
      </c>
      <c r="F27" s="372">
        <f t="shared" si="7"/>
        <v>0</v>
      </c>
      <c r="G27" s="372">
        <f t="shared" si="7"/>
        <v>0</v>
      </c>
      <c r="H27" s="790" t="s">
        <v>95</v>
      </c>
      <c r="I27" s="520"/>
      <c r="J27" s="520"/>
      <c r="K27" s="797"/>
      <c r="L27" s="111">
        <f>SUM(L20:L26)</f>
        <v>0</v>
      </c>
      <c r="M27" s="798">
        <f>IF(G27=0,0,L27/G27)</f>
        <v>0</v>
      </c>
      <c r="N27" s="793" t="str">
        <f>H27</f>
        <v>ha</v>
      </c>
      <c r="O27" s="475"/>
      <c r="P27" s="475"/>
      <c r="Q27" s="794"/>
      <c r="R27" s="475"/>
      <c r="S27" s="794"/>
    </row>
    <row r="28" spans="1:20" ht="12" customHeight="1">
      <c r="B28" s="520"/>
      <c r="C28" s="520"/>
      <c r="D28" s="768"/>
      <c r="E28" s="768"/>
      <c r="F28" s="768"/>
      <c r="G28" s="768"/>
      <c r="H28" s="768"/>
      <c r="I28" s="768"/>
      <c r="J28" s="768"/>
      <c r="K28" s="768"/>
      <c r="L28" s="768"/>
      <c r="Q28" s="475"/>
      <c r="R28" s="475"/>
      <c r="S28" s="475"/>
    </row>
    <row r="29" spans="1:20" ht="16.149999999999999" customHeight="1">
      <c r="B29" s="284" t="s">
        <v>26</v>
      </c>
      <c r="C29" s="767" t="s">
        <v>1557</v>
      </c>
      <c r="D29" s="768"/>
      <c r="E29" s="768"/>
      <c r="F29" s="768"/>
      <c r="G29" s="768"/>
      <c r="H29" s="768"/>
      <c r="I29" s="768"/>
      <c r="J29" s="768"/>
      <c r="K29" s="768"/>
      <c r="L29" s="768"/>
      <c r="Q29" s="475"/>
      <c r="R29" s="475"/>
      <c r="S29" s="475"/>
    </row>
    <row r="30" spans="1:20" ht="36">
      <c r="B30" s="774" t="s">
        <v>1517</v>
      </c>
      <c r="C30" s="774" t="s">
        <v>111</v>
      </c>
      <c r="D30" s="773" t="s">
        <v>1558</v>
      </c>
      <c r="E30" s="773" t="s">
        <v>1559</v>
      </c>
      <c r="F30" s="773" t="s">
        <v>1521</v>
      </c>
      <c r="G30" s="773" t="s">
        <v>1549</v>
      </c>
      <c r="H30" s="773" t="s">
        <v>1556</v>
      </c>
      <c r="I30" s="775" t="s">
        <v>75</v>
      </c>
      <c r="J30" s="776" t="s">
        <v>1526</v>
      </c>
      <c r="K30" s="777"/>
      <c r="L30" s="777"/>
      <c r="M30" s="777"/>
      <c r="N30" s="777"/>
      <c r="O30" s="777"/>
      <c r="P30" s="777"/>
      <c r="Q30" s="778"/>
      <c r="R30" s="475"/>
      <c r="S30" s="475"/>
      <c r="T30" s="474"/>
    </row>
    <row r="31" spans="1:20" ht="12" customHeight="1">
      <c r="A31" s="772"/>
      <c r="B31" s="520"/>
      <c r="C31" s="799"/>
      <c r="D31" s="768"/>
      <c r="E31" s="768"/>
      <c r="F31" s="768"/>
      <c r="G31" s="768"/>
      <c r="H31" s="768"/>
      <c r="I31" s="768"/>
      <c r="J31" s="748"/>
      <c r="Q31" s="779"/>
      <c r="R31" s="475"/>
      <c r="S31" s="475"/>
      <c r="T31" s="474"/>
    </row>
    <row r="32" spans="1:20">
      <c r="B32" s="301"/>
      <c r="C32" s="800" t="str">
        <f>VLOOKUP($F32,TOV!$C$41:$G$83,TOV!$E$1,FALSE)</f>
        <v>Track, Earthen, No replace, 3 m wide, Pasture</v>
      </c>
      <c r="D32" s="320"/>
      <c r="E32" s="782" t="str">
        <f>VLOOKUP($F32,TOV!$C$41:$G$83,TOV!$G$1,FALSE)</f>
        <v>km</v>
      </c>
      <c r="F32" s="783" t="str">
        <f>TOV!$C47</f>
        <v>#2.07</v>
      </c>
      <c r="G32" s="115">
        <f>VLOOKUP($F32,TOV!$C$41:$G$83,TOV!$F$1,FALSE)</f>
        <v>616.69783722653074</v>
      </c>
      <c r="H32" s="290"/>
      <c r="I32" s="111">
        <f t="shared" ref="I32:I37" si="8">IF(H32="",G32,H32)*D32</f>
        <v>0</v>
      </c>
      <c r="J32" s="215"/>
      <c r="K32" s="217"/>
      <c r="L32" s="217"/>
      <c r="M32" s="217"/>
      <c r="N32" s="217"/>
      <c r="O32" s="217"/>
      <c r="P32" s="217"/>
      <c r="Q32" s="218"/>
      <c r="R32" s="475"/>
      <c r="S32" s="475"/>
      <c r="T32" s="474"/>
    </row>
    <row r="33" spans="1:20">
      <c r="B33" s="301"/>
      <c r="C33" s="800" t="str">
        <f>VLOOKUP($F33,TOV!$C$41:$G$83,TOV!$E$1,FALSE)</f>
        <v>Track, Earthen, No replace, 3 m wide, Native</v>
      </c>
      <c r="D33" s="320"/>
      <c r="E33" s="782" t="str">
        <f>VLOOKUP($F33,TOV!$C$41:$G$83,TOV!$G$1,FALSE)</f>
        <v>km</v>
      </c>
      <c r="F33" s="783" t="str">
        <f>TOV!$C48</f>
        <v>#2.08</v>
      </c>
      <c r="G33" s="115">
        <f>VLOOKUP($F33,TOV!$C$41:$G$83,TOV!$F$1,FALSE)</f>
        <v>1378.9978372265309</v>
      </c>
      <c r="H33" s="290"/>
      <c r="I33" s="111">
        <f t="shared" si="8"/>
        <v>0</v>
      </c>
      <c r="J33" s="215"/>
      <c r="K33" s="217"/>
      <c r="L33" s="217"/>
      <c r="M33" s="217"/>
      <c r="N33" s="217"/>
      <c r="O33" s="217"/>
      <c r="P33" s="217"/>
      <c r="Q33" s="218"/>
      <c r="R33" s="475"/>
      <c r="S33" s="475"/>
      <c r="T33" s="474"/>
    </row>
    <row r="34" spans="1:20">
      <c r="B34" s="301"/>
      <c r="C34" s="800" t="str">
        <f>VLOOKUP($F34,TOV!$C$41:$G$83,TOV!$E$1,FALSE)</f>
        <v>Track, Earthen, No replace, 3 m wide, Arid</v>
      </c>
      <c r="D34" s="320"/>
      <c r="E34" s="782" t="str">
        <f>VLOOKUP($F34,TOV!$C$41:$G$83,TOV!$G$1,FALSE)</f>
        <v>km</v>
      </c>
      <c r="F34" s="783" t="str">
        <f>TOV!$C49</f>
        <v>#2.09</v>
      </c>
      <c r="G34" s="115">
        <f>VLOOKUP($F34,TOV!$C$41:$G$83,TOV!$F$1,FALSE)</f>
        <v>120.04783722653082</v>
      </c>
      <c r="H34" s="290"/>
      <c r="I34" s="111">
        <f t="shared" si="8"/>
        <v>0</v>
      </c>
      <c r="J34" s="215"/>
      <c r="K34" s="217"/>
      <c r="L34" s="217"/>
      <c r="M34" s="217"/>
      <c r="N34" s="217"/>
      <c r="O34" s="217"/>
      <c r="P34" s="217"/>
      <c r="Q34" s="218"/>
      <c r="R34" s="475"/>
      <c r="S34" s="475"/>
      <c r="T34" s="474"/>
    </row>
    <row r="35" spans="1:20">
      <c r="B35" s="301"/>
      <c r="C35" s="800" t="str">
        <f>VLOOKUP($F35,TOV!$C$41:$G$83,TOV!$E$1,FALSE)</f>
        <v>Track, Earthen, No replace, 6 m wide, Pasture</v>
      </c>
      <c r="D35" s="320"/>
      <c r="E35" s="782" t="str">
        <f>VLOOKUP($F35,TOV!$C$41:$G$83,TOV!$G$1,FALSE)</f>
        <v>km</v>
      </c>
      <c r="F35" s="783" t="str">
        <f>TOV!$C50</f>
        <v>#2.10</v>
      </c>
      <c r="G35" s="115">
        <f>VLOOKUP($F35,TOV!$C$41:$G$83,TOV!$F$1,FALSE)</f>
        <v>1233.3956744530615</v>
      </c>
      <c r="H35" s="290"/>
      <c r="I35" s="111">
        <f t="shared" si="8"/>
        <v>0</v>
      </c>
      <c r="J35" s="215"/>
      <c r="K35" s="217"/>
      <c r="L35" s="217"/>
      <c r="M35" s="217"/>
      <c r="N35" s="217"/>
      <c r="O35" s="217"/>
      <c r="P35" s="217"/>
      <c r="Q35" s="218"/>
      <c r="R35" s="475"/>
      <c r="S35" s="475"/>
      <c r="T35" s="474"/>
    </row>
    <row r="36" spans="1:20">
      <c r="B36" s="301"/>
      <c r="C36" s="800" t="str">
        <f>VLOOKUP($F36,TOV!$C$41:$G$83,TOV!$E$1,FALSE)</f>
        <v>Track, Earthen, No replace, 6 m wide, Native</v>
      </c>
      <c r="D36" s="320"/>
      <c r="E36" s="782" t="str">
        <f>VLOOKUP($F36,TOV!$C$41:$G$83,TOV!$G$1,FALSE)</f>
        <v>km</v>
      </c>
      <c r="F36" s="783" t="str">
        <f>TOV!$C51</f>
        <v>#2.11</v>
      </c>
      <c r="G36" s="115">
        <f>VLOOKUP($F36,TOV!$C$41:$G$83,TOV!$F$1,FALSE)</f>
        <v>2757.9956744530618</v>
      </c>
      <c r="H36" s="290"/>
      <c r="I36" s="111">
        <f t="shared" si="8"/>
        <v>0</v>
      </c>
      <c r="J36" s="215"/>
      <c r="K36" s="217"/>
      <c r="L36" s="217"/>
      <c r="M36" s="217"/>
      <c r="N36" s="217"/>
      <c r="O36" s="217"/>
      <c r="P36" s="217"/>
      <c r="Q36" s="218"/>
      <c r="R36" s="475"/>
      <c r="S36" s="475"/>
      <c r="T36" s="474"/>
    </row>
    <row r="37" spans="1:20">
      <c r="B37" s="301"/>
      <c r="C37" s="800" t="str">
        <f>VLOOKUP($F37,TOV!$C$41:$G$83,TOV!$E$1,FALSE)</f>
        <v>Track, Earthen, No replace, 6 m wide, Arid</v>
      </c>
      <c r="D37" s="320"/>
      <c r="E37" s="782" t="str">
        <f>VLOOKUP($F37,TOV!$C$41:$G$83,TOV!$G$1,FALSE)</f>
        <v>km</v>
      </c>
      <c r="F37" s="783" t="str">
        <f>TOV!$C52</f>
        <v>#2.12</v>
      </c>
      <c r="G37" s="115">
        <f>VLOOKUP($F37,TOV!$C$41:$G$83,TOV!$F$1,FALSE)</f>
        <v>240.09567445306163</v>
      </c>
      <c r="H37" s="290"/>
      <c r="I37" s="111">
        <f t="shared" si="8"/>
        <v>0</v>
      </c>
      <c r="J37" s="215"/>
      <c r="K37" s="217"/>
      <c r="L37" s="217"/>
      <c r="M37" s="217"/>
      <c r="N37" s="217"/>
      <c r="O37" s="217"/>
      <c r="P37" s="217"/>
      <c r="Q37" s="218"/>
      <c r="R37" s="475"/>
      <c r="S37" s="475"/>
      <c r="T37" s="474"/>
    </row>
    <row r="38" spans="1:20">
      <c r="A38" s="784"/>
      <c r="B38" s="301"/>
      <c r="C38" s="48"/>
      <c r="D38" s="320"/>
      <c r="E38" s="45" t="s">
        <v>24</v>
      </c>
      <c r="F38" s="801"/>
      <c r="G38" s="518" t="str">
        <f>IF(AND(D38&gt;0,OR(H38="",H38=0)),"Enter Rate","No alert")</f>
        <v>No alert</v>
      </c>
      <c r="H38" s="290"/>
      <c r="I38" s="111">
        <f>D38*H38</f>
        <v>0</v>
      </c>
      <c r="J38" s="215"/>
      <c r="K38" s="217"/>
      <c r="L38" s="217"/>
      <c r="M38" s="217"/>
      <c r="N38" s="217"/>
      <c r="O38" s="217"/>
      <c r="P38" s="217"/>
      <c r="Q38" s="218"/>
      <c r="R38" s="475"/>
      <c r="S38" s="475"/>
      <c r="T38" s="474"/>
    </row>
    <row r="39" spans="1:20">
      <c r="A39" s="784"/>
      <c r="B39" s="301"/>
      <c r="C39" s="48"/>
      <c r="D39" s="320"/>
      <c r="E39" s="45" t="s">
        <v>24</v>
      </c>
      <c r="F39" s="801"/>
      <c r="G39" s="518" t="str">
        <f t="shared" ref="G39:G41" si="9">IF(AND(D39&gt;0,OR(H39="",H39=0)),"Enter Rate","No alert")</f>
        <v>No alert</v>
      </c>
      <c r="H39" s="290"/>
      <c r="I39" s="111">
        <f>D39*H39</f>
        <v>0</v>
      </c>
      <c r="J39" s="215"/>
      <c r="K39" s="217"/>
      <c r="L39" s="217"/>
      <c r="M39" s="217"/>
      <c r="N39" s="217"/>
      <c r="O39" s="217"/>
      <c r="P39" s="217"/>
      <c r="Q39" s="218"/>
      <c r="R39" s="475"/>
      <c r="S39" s="475"/>
      <c r="T39" s="474"/>
    </row>
    <row r="40" spans="1:20">
      <c r="A40" s="784"/>
      <c r="B40" s="301"/>
      <c r="C40" s="48"/>
      <c r="D40" s="320"/>
      <c r="E40" s="45" t="s">
        <v>24</v>
      </c>
      <c r="F40" s="801"/>
      <c r="G40" s="518" t="str">
        <f t="shared" si="9"/>
        <v>No alert</v>
      </c>
      <c r="H40" s="290"/>
      <c r="I40" s="111">
        <f>D40*H40</f>
        <v>0</v>
      </c>
      <c r="J40" s="215"/>
      <c r="K40" s="217"/>
      <c r="L40" s="217"/>
      <c r="M40" s="217"/>
      <c r="N40" s="217"/>
      <c r="O40" s="217"/>
      <c r="P40" s="217"/>
      <c r="Q40" s="218"/>
      <c r="R40" s="475"/>
      <c r="S40" s="475"/>
      <c r="T40" s="474"/>
    </row>
    <row r="41" spans="1:20">
      <c r="A41" s="784"/>
      <c r="B41" s="301"/>
      <c r="C41" s="48"/>
      <c r="D41" s="320"/>
      <c r="E41" s="45" t="s">
        <v>24</v>
      </c>
      <c r="F41" s="801"/>
      <c r="G41" s="518" t="str">
        <f t="shared" si="9"/>
        <v>No alert</v>
      </c>
      <c r="H41" s="290"/>
      <c r="I41" s="111">
        <f>D41*H41</f>
        <v>0</v>
      </c>
      <c r="J41" s="215"/>
      <c r="K41" s="217"/>
      <c r="L41" s="217"/>
      <c r="M41" s="217"/>
      <c r="N41" s="217"/>
      <c r="O41" s="217"/>
      <c r="P41" s="217"/>
      <c r="Q41" s="218"/>
      <c r="R41" s="475"/>
      <c r="S41" s="475"/>
      <c r="T41" s="474"/>
    </row>
    <row r="42" spans="1:20" ht="12" customHeight="1">
      <c r="B42" s="801"/>
      <c r="C42" s="801"/>
      <c r="D42" s="802"/>
      <c r="E42" s="801"/>
      <c r="F42" s="801"/>
      <c r="G42" s="801"/>
      <c r="H42" s="803"/>
      <c r="I42" s="803"/>
      <c r="J42" s="801"/>
      <c r="Q42" s="475"/>
      <c r="R42" s="475"/>
      <c r="S42" s="475"/>
      <c r="T42" s="474"/>
    </row>
    <row r="43" spans="1:20" ht="18" customHeight="1">
      <c r="B43" s="520"/>
      <c r="C43" s="520"/>
      <c r="D43" s="372">
        <f>SUM(D31:D42)</f>
        <v>0</v>
      </c>
      <c r="E43" s="790" t="s">
        <v>24</v>
      </c>
      <c r="F43" s="768"/>
      <c r="G43" s="768"/>
      <c r="H43" s="797"/>
      <c r="I43" s="106">
        <f>SUM(I31:I42)</f>
        <v>0</v>
      </c>
      <c r="J43" s="792">
        <f>IF(D43=0,0,I43/D43)</f>
        <v>0</v>
      </c>
      <c r="K43" s="793" t="str">
        <f>E43</f>
        <v>km</v>
      </c>
      <c r="N43" s="475"/>
      <c r="O43" s="475"/>
      <c r="P43" s="475"/>
      <c r="T43" s="474"/>
    </row>
    <row r="44" spans="1:20" ht="12.6" customHeight="1">
      <c r="A44" s="804"/>
      <c r="B44" s="520"/>
      <c r="C44" s="520"/>
      <c r="D44" s="768"/>
      <c r="E44" s="768"/>
      <c r="F44" s="768"/>
      <c r="G44" s="768"/>
      <c r="H44" s="768"/>
      <c r="I44" s="768"/>
      <c r="J44" s="768"/>
      <c r="K44" s="768"/>
      <c r="L44" s="768"/>
      <c r="T44" s="474"/>
    </row>
    <row r="45" spans="1:20" ht="16.149999999999999" customHeight="1">
      <c r="B45" s="284" t="s">
        <v>26</v>
      </c>
      <c r="C45" s="767" t="s">
        <v>1560</v>
      </c>
      <c r="D45" s="768"/>
      <c r="E45" s="768"/>
      <c r="F45" s="768"/>
      <c r="G45" s="768"/>
      <c r="H45" s="768"/>
      <c r="I45" s="768"/>
      <c r="J45" s="768"/>
      <c r="K45" s="768"/>
      <c r="L45" s="768"/>
      <c r="Q45" s="475"/>
      <c r="R45" s="475"/>
      <c r="S45" s="475"/>
    </row>
    <row r="46" spans="1:20" ht="36">
      <c r="B46" s="774" t="s">
        <v>1517</v>
      </c>
      <c r="C46" s="774" t="s">
        <v>111</v>
      </c>
      <c r="D46" s="773" t="s">
        <v>77</v>
      </c>
      <c r="E46" s="773" t="s">
        <v>1559</v>
      </c>
      <c r="F46" s="773" t="s">
        <v>1521</v>
      </c>
      <c r="G46" s="773" t="s">
        <v>1549</v>
      </c>
      <c r="H46" s="773" t="s">
        <v>1556</v>
      </c>
      <c r="I46" s="775" t="s">
        <v>75</v>
      </c>
      <c r="J46" s="776" t="s">
        <v>1526</v>
      </c>
      <c r="K46" s="777"/>
      <c r="L46" s="777"/>
      <c r="M46" s="777"/>
      <c r="N46" s="777"/>
      <c r="O46" s="777"/>
      <c r="P46" s="777"/>
      <c r="Q46" s="778"/>
      <c r="R46" s="475"/>
      <c r="S46" s="475"/>
      <c r="T46" s="474"/>
    </row>
    <row r="47" spans="1:20" ht="12" customHeight="1">
      <c r="A47" s="772"/>
      <c r="B47" s="520"/>
      <c r="C47" s="799"/>
      <c r="D47" s="768"/>
      <c r="E47" s="768"/>
      <c r="F47" s="768"/>
      <c r="G47" s="768"/>
      <c r="H47" s="768"/>
      <c r="I47" s="768"/>
      <c r="J47" s="748"/>
      <c r="Q47" s="779"/>
      <c r="R47" s="475"/>
      <c r="S47" s="475"/>
      <c r="T47" s="474"/>
    </row>
    <row r="48" spans="1:20">
      <c r="B48" s="301"/>
      <c r="C48" s="800" t="str">
        <f>VLOOKUP($F48,TOV!$C$41:$G$83,TOV!$E$1,FALSE)</f>
        <v>Track, Pasture, Earthen, No replace</v>
      </c>
      <c r="D48" s="320"/>
      <c r="E48" s="782" t="str">
        <f>VLOOKUP($F48,TOV!$C$41:$G$83,TOV!$G$1,FALSE)</f>
        <v>ha</v>
      </c>
      <c r="F48" s="783" t="str">
        <f>TOV!$C53</f>
        <v>#2.13</v>
      </c>
      <c r="G48" s="115">
        <f>VLOOKUP($F48,TOV!$C$41:$G$83,TOV!$F$1,FALSE)</f>
        <v>2055.6594574217693</v>
      </c>
      <c r="H48" s="290"/>
      <c r="I48" s="111">
        <f t="shared" ref="I48:I50" si="10">IF(H48="",G48,H48)*D48</f>
        <v>0</v>
      </c>
      <c r="J48" s="215"/>
      <c r="K48" s="217"/>
      <c r="L48" s="217"/>
      <c r="M48" s="217"/>
      <c r="N48" s="217"/>
      <c r="O48" s="217"/>
      <c r="P48" s="217"/>
      <c r="Q48" s="218"/>
      <c r="R48" s="475"/>
      <c r="S48" s="475"/>
      <c r="T48" s="474"/>
    </row>
    <row r="49" spans="1:20">
      <c r="B49" s="301"/>
      <c r="C49" s="800" t="str">
        <f>VLOOKUP($F49,TOV!$C$41:$G$83,TOV!$E$1,FALSE)</f>
        <v>Track, Native, Earthen, No replace</v>
      </c>
      <c r="D49" s="320"/>
      <c r="E49" s="782" t="str">
        <f>VLOOKUP($F49,TOV!$C$41:$G$83,TOV!$G$1,FALSE)</f>
        <v>ha</v>
      </c>
      <c r="F49" s="783" t="str">
        <f>TOV!$C54</f>
        <v>#2.14</v>
      </c>
      <c r="G49" s="115">
        <f>VLOOKUP($F49,TOV!$C$41:$G$83,TOV!$F$1,FALSE)</f>
        <v>4596.6594574217697</v>
      </c>
      <c r="H49" s="290"/>
      <c r="I49" s="111">
        <f t="shared" si="10"/>
        <v>0</v>
      </c>
      <c r="J49" s="215"/>
      <c r="K49" s="217"/>
      <c r="L49" s="217"/>
      <c r="M49" s="217"/>
      <c r="N49" s="217"/>
      <c r="O49" s="217"/>
      <c r="P49" s="217"/>
      <c r="Q49" s="218"/>
      <c r="R49" s="475"/>
      <c r="S49" s="475"/>
      <c r="T49" s="474"/>
    </row>
    <row r="50" spans="1:20">
      <c r="B50" s="301"/>
      <c r="C50" s="800" t="str">
        <f>VLOOKUP($F50,TOV!$C$41:$G$83,TOV!$E$1,FALSE)</f>
        <v>Track, Arid, Earthen, No replace</v>
      </c>
      <c r="D50" s="320"/>
      <c r="E50" s="782" t="str">
        <f>VLOOKUP($F50,TOV!$C$41:$G$83,TOV!$G$1,FALSE)</f>
        <v>ha</v>
      </c>
      <c r="F50" s="783" t="str">
        <f>TOV!$C55</f>
        <v>#2.15</v>
      </c>
      <c r="G50" s="115">
        <f>VLOOKUP($F50,TOV!$C$41:$G$83,TOV!$F$1,FALSE)</f>
        <v>400.15945742176939</v>
      </c>
      <c r="H50" s="290"/>
      <c r="I50" s="111">
        <f t="shared" si="10"/>
        <v>0</v>
      </c>
      <c r="J50" s="215"/>
      <c r="K50" s="217"/>
      <c r="L50" s="217"/>
      <c r="M50" s="217"/>
      <c r="N50" s="217"/>
      <c r="O50" s="217"/>
      <c r="P50" s="217"/>
      <c r="Q50" s="218"/>
      <c r="R50" s="475"/>
      <c r="S50" s="475"/>
      <c r="T50" s="474"/>
    </row>
    <row r="51" spans="1:20">
      <c r="A51" s="784"/>
      <c r="B51" s="301"/>
      <c r="C51" s="48"/>
      <c r="D51" s="320"/>
      <c r="E51" s="45" t="s">
        <v>95</v>
      </c>
      <c r="F51" s="801"/>
      <c r="G51" s="518" t="str">
        <f t="shared" ref="G51:G54" si="11">IF(AND(D51&gt;0,OR(H51="",H51=0)),"Enter Rate","No alert")</f>
        <v>No alert</v>
      </c>
      <c r="H51" s="290"/>
      <c r="I51" s="111">
        <f>D51*H51</f>
        <v>0</v>
      </c>
      <c r="J51" s="215"/>
      <c r="K51" s="217"/>
      <c r="L51" s="217"/>
      <c r="M51" s="217"/>
      <c r="N51" s="217"/>
      <c r="O51" s="217"/>
      <c r="P51" s="217"/>
      <c r="Q51" s="218"/>
      <c r="R51" s="475"/>
      <c r="S51" s="475"/>
      <c r="T51" s="474"/>
    </row>
    <row r="52" spans="1:20">
      <c r="A52" s="784"/>
      <c r="B52" s="301"/>
      <c r="C52" s="48"/>
      <c r="D52" s="320"/>
      <c r="E52" s="45" t="s">
        <v>95</v>
      </c>
      <c r="F52" s="801"/>
      <c r="G52" s="518" t="str">
        <f t="shared" si="11"/>
        <v>No alert</v>
      </c>
      <c r="H52" s="290"/>
      <c r="I52" s="111">
        <f>D52*H52</f>
        <v>0</v>
      </c>
      <c r="J52" s="215"/>
      <c r="K52" s="217"/>
      <c r="L52" s="217"/>
      <c r="M52" s="217"/>
      <c r="N52" s="217"/>
      <c r="O52" s="217"/>
      <c r="P52" s="217"/>
      <c r="Q52" s="218"/>
      <c r="R52" s="475"/>
      <c r="S52" s="475"/>
      <c r="T52" s="474"/>
    </row>
    <row r="53" spans="1:20">
      <c r="A53" s="784"/>
      <c r="B53" s="301"/>
      <c r="C53" s="48"/>
      <c r="D53" s="320"/>
      <c r="E53" s="45" t="s">
        <v>95</v>
      </c>
      <c r="F53" s="801"/>
      <c r="G53" s="518" t="str">
        <f t="shared" si="11"/>
        <v>No alert</v>
      </c>
      <c r="H53" s="290"/>
      <c r="I53" s="111">
        <f>D53*H53</f>
        <v>0</v>
      </c>
      <c r="J53" s="215"/>
      <c r="K53" s="217"/>
      <c r="L53" s="217"/>
      <c r="M53" s="217"/>
      <c r="N53" s="217"/>
      <c r="O53" s="217"/>
      <c r="P53" s="217"/>
      <c r="Q53" s="218"/>
      <c r="R53" s="475"/>
      <c r="S53" s="475"/>
      <c r="T53" s="474"/>
    </row>
    <row r="54" spans="1:20">
      <c r="A54" s="784"/>
      <c r="B54" s="301"/>
      <c r="C54" s="48"/>
      <c r="D54" s="320"/>
      <c r="E54" s="45" t="s">
        <v>95</v>
      </c>
      <c r="F54" s="801"/>
      <c r="G54" s="518" t="str">
        <f t="shared" si="11"/>
        <v>No alert</v>
      </c>
      <c r="H54" s="290"/>
      <c r="I54" s="111">
        <f>D54*H54</f>
        <v>0</v>
      </c>
      <c r="J54" s="215"/>
      <c r="K54" s="217"/>
      <c r="L54" s="217"/>
      <c r="M54" s="217"/>
      <c r="N54" s="217"/>
      <c r="O54" s="217"/>
      <c r="P54" s="217"/>
      <c r="Q54" s="218"/>
      <c r="R54" s="475"/>
      <c r="S54" s="475"/>
      <c r="T54" s="474"/>
    </row>
    <row r="55" spans="1:20" ht="12" customHeight="1">
      <c r="B55" s="801"/>
      <c r="C55" s="801"/>
      <c r="D55" s="802"/>
      <c r="E55" s="801"/>
      <c r="F55" s="801"/>
      <c r="G55" s="801"/>
      <c r="H55" s="803"/>
      <c r="I55" s="803"/>
      <c r="J55" s="801"/>
      <c r="Q55" s="475"/>
      <c r="R55" s="475"/>
      <c r="S55" s="475"/>
      <c r="T55" s="474"/>
    </row>
    <row r="56" spans="1:20" ht="18" customHeight="1">
      <c r="B56" s="520"/>
      <c r="C56" s="520"/>
      <c r="D56" s="372">
        <f>SUM(D47:D55)</f>
        <v>0</v>
      </c>
      <c r="E56" s="790" t="s">
        <v>95</v>
      </c>
      <c r="F56" s="768"/>
      <c r="G56" s="768"/>
      <c r="H56" s="797"/>
      <c r="I56" s="106">
        <f>SUM(I47:I55)</f>
        <v>0</v>
      </c>
      <c r="J56" s="792">
        <f>IF(D56=0,0,I56/D56)</f>
        <v>0</v>
      </c>
      <c r="K56" s="793" t="str">
        <f>E56</f>
        <v>ha</v>
      </c>
      <c r="N56" s="475"/>
      <c r="O56" s="475"/>
      <c r="P56" s="475"/>
      <c r="T56" s="474"/>
    </row>
    <row r="57" spans="1:20" ht="12" customHeight="1">
      <c r="A57" s="804"/>
      <c r="B57" s="520"/>
      <c r="C57" s="520"/>
      <c r="D57" s="768"/>
      <c r="E57" s="768"/>
      <c r="F57" s="768"/>
      <c r="G57" s="768"/>
      <c r="H57" s="768"/>
      <c r="I57" s="768"/>
      <c r="J57" s="768"/>
      <c r="K57" s="768"/>
      <c r="L57" s="768"/>
      <c r="T57" s="474"/>
    </row>
    <row r="58" spans="1:20" ht="16.149999999999999" customHeight="1">
      <c r="B58" s="284" t="s">
        <v>26</v>
      </c>
      <c r="C58" s="767" t="s">
        <v>1561</v>
      </c>
      <c r="D58" s="768"/>
      <c r="E58" s="768"/>
      <c r="G58" s="768"/>
      <c r="H58" s="768"/>
      <c r="I58" s="768"/>
      <c r="J58" s="768"/>
      <c r="K58" s="768"/>
      <c r="L58" s="768"/>
    </row>
    <row r="59" spans="1:20" ht="36">
      <c r="A59" s="772"/>
      <c r="B59" s="774" t="s">
        <v>1517</v>
      </c>
      <c r="C59" s="774" t="s">
        <v>111</v>
      </c>
      <c r="D59" s="773" t="s">
        <v>244</v>
      </c>
      <c r="E59" s="773" t="s">
        <v>2</v>
      </c>
      <c r="F59" s="773" t="s">
        <v>1521</v>
      </c>
      <c r="G59" s="773" t="s">
        <v>1562</v>
      </c>
      <c r="H59" s="773" t="s">
        <v>1556</v>
      </c>
      <c r="I59" s="775" t="s">
        <v>75</v>
      </c>
      <c r="J59" s="776" t="s">
        <v>1526</v>
      </c>
      <c r="K59" s="777"/>
      <c r="L59" s="777"/>
      <c r="M59" s="777"/>
      <c r="N59" s="777"/>
      <c r="O59" s="777"/>
      <c r="P59" s="777"/>
      <c r="Q59" s="778"/>
    </row>
    <row r="60" spans="1:20">
      <c r="A60" s="474"/>
      <c r="B60" s="768"/>
      <c r="C60" s="768"/>
      <c r="D60" s="771" t="s">
        <v>1563</v>
      </c>
      <c r="E60" s="768"/>
      <c r="F60" s="768"/>
      <c r="G60" s="768"/>
      <c r="H60" s="768"/>
      <c r="I60" s="768"/>
      <c r="J60" s="748"/>
      <c r="Q60" s="779"/>
    </row>
    <row r="61" spans="1:20">
      <c r="A61" s="772"/>
      <c r="B61" s="301"/>
      <c r="C61" s="800" t="str">
        <f>VLOOKUP($F61,TOV!$C$41:$G$83,TOV!$E$1,FALSE)</f>
        <v>Water Supply / Monitoring bore hole plugging</v>
      </c>
      <c r="D61" s="51"/>
      <c r="E61" s="782" t="str">
        <f>VLOOKUP($F61,TOV!$C$41:$G$83,TOV!$G$1,FALSE)</f>
        <v>bore</v>
      </c>
      <c r="F61" s="783" t="str">
        <f>TOV!C56</f>
        <v>#2.16</v>
      </c>
      <c r="G61" s="115">
        <f>VLOOKUP($F61,TOV!$C$41:$G$83,TOV!$F$1,FALSE)</f>
        <v>238.28474125459849</v>
      </c>
      <c r="H61" s="290"/>
      <c r="I61" s="111">
        <f t="shared" ref="I61:I71" si="12">IF(H61="",G61,H61)*D61</f>
        <v>0</v>
      </c>
      <c r="J61" s="215"/>
      <c r="K61" s="217"/>
      <c r="L61" s="217"/>
      <c r="M61" s="217"/>
      <c r="N61" s="217"/>
      <c r="O61" s="217"/>
      <c r="P61" s="217"/>
      <c r="Q61" s="218"/>
    </row>
    <row r="62" spans="1:20">
      <c r="A62" s="772"/>
      <c r="B62" s="301"/>
      <c r="C62" s="800" t="str">
        <f>VLOOKUP($F62,TOV!$C$41:$G$83,TOV!$E$1,FALSE)</f>
        <v>Exploration bore hole plugging</v>
      </c>
      <c r="D62" s="51"/>
      <c r="E62" s="782" t="str">
        <f>VLOOKUP($F62,TOV!$C$41:$G$83,TOV!$G$1,FALSE)</f>
        <v>bore</v>
      </c>
      <c r="F62" s="783" t="str">
        <f>TOV!C57</f>
        <v>#2.17</v>
      </c>
      <c r="G62" s="115">
        <f>VLOOKUP($F62,TOV!$C$41:$G$83,TOV!$F$1,FALSE)</f>
        <v>238.28474125459849</v>
      </c>
      <c r="H62" s="290"/>
      <c r="I62" s="111">
        <f t="shared" si="12"/>
        <v>0</v>
      </c>
      <c r="J62" s="215"/>
      <c r="K62" s="217"/>
      <c r="L62" s="217"/>
      <c r="M62" s="217"/>
      <c r="N62" s="217"/>
      <c r="O62" s="217"/>
      <c r="P62" s="217"/>
      <c r="Q62" s="218"/>
    </row>
    <row r="63" spans="1:20">
      <c r="A63" s="772"/>
      <c r="B63" s="301"/>
      <c r="C63" s="800" t="str">
        <f>VLOOKUP($F63,TOV!$C$41:$G$83,TOV!$E$1,FALSE)</f>
        <v>Water supply bore hole backfilling with cuttings</v>
      </c>
      <c r="D63" s="51"/>
      <c r="E63" s="782" t="str">
        <f>VLOOKUP($F63,TOV!$C$41:$G$83,TOV!$G$1,FALSE)</f>
        <v>bore</v>
      </c>
      <c r="F63" s="783" t="str">
        <f>TOV!C58</f>
        <v>#2.18</v>
      </c>
      <c r="G63" s="115">
        <f>VLOOKUP($F63,TOV!$C$41:$G$83,TOV!$F$1,FALSE)</f>
        <v>618.07206050234822</v>
      </c>
      <c r="H63" s="290"/>
      <c r="I63" s="111">
        <f t="shared" si="12"/>
        <v>0</v>
      </c>
      <c r="J63" s="215"/>
      <c r="K63" s="217"/>
      <c r="L63" s="217"/>
      <c r="M63" s="217"/>
      <c r="N63" s="217"/>
      <c r="O63" s="217"/>
      <c r="P63" s="217"/>
      <c r="Q63" s="218"/>
    </row>
    <row r="64" spans="1:20">
      <c r="A64" s="772"/>
      <c r="B64" s="301"/>
      <c r="C64" s="800" t="str">
        <f>VLOOKUP($F64,TOV!$C$41:$G$83,TOV!$E$1,FALSE)</f>
        <v>Monitoring bore hole backfilling with cuttings</v>
      </c>
      <c r="D64" s="51"/>
      <c r="E64" s="782" t="str">
        <f>VLOOKUP($F64,TOV!$C$41:$G$83,TOV!$G$1,FALSE)</f>
        <v>bore</v>
      </c>
      <c r="F64" s="783" t="str">
        <f>TOV!C59</f>
        <v>#2.19</v>
      </c>
      <c r="G64" s="115">
        <f>VLOOKUP($F64,TOV!$C$41:$G$83,TOV!$F$1,FALSE)</f>
        <v>618.07206050234822</v>
      </c>
      <c r="H64" s="290"/>
      <c r="I64" s="111">
        <f t="shared" si="12"/>
        <v>0</v>
      </c>
      <c r="J64" s="215"/>
      <c r="K64" s="217"/>
      <c r="L64" s="217"/>
      <c r="M64" s="217"/>
      <c r="N64" s="217"/>
      <c r="O64" s="217"/>
      <c r="P64" s="217"/>
      <c r="Q64" s="218"/>
    </row>
    <row r="65" spans="1:19">
      <c r="A65" s="772"/>
      <c r="B65" s="301"/>
      <c r="C65" s="800" t="str">
        <f>VLOOKUP($F65,TOV!$C$41:$G$83,TOV!$E$1,FALSE)</f>
        <v>Exploration bore hole backfilling with cuttings</v>
      </c>
      <c r="D65" s="51"/>
      <c r="E65" s="782" t="str">
        <f>VLOOKUP($F65,TOV!$C$41:$G$83,TOV!$G$1,FALSE)</f>
        <v>bore</v>
      </c>
      <c r="F65" s="783" t="str">
        <f>TOV!C60</f>
        <v>#2.20</v>
      </c>
      <c r="G65" s="115">
        <f>VLOOKUP($F65,TOV!$C$41:$G$83,TOV!$F$1,FALSE)</f>
        <v>618.07206050234822</v>
      </c>
      <c r="H65" s="290"/>
      <c r="I65" s="111">
        <f t="shared" si="12"/>
        <v>0</v>
      </c>
      <c r="J65" s="215"/>
      <c r="K65" s="217"/>
      <c r="L65" s="217"/>
      <c r="M65" s="217"/>
      <c r="N65" s="217"/>
      <c r="O65" s="217"/>
      <c r="P65" s="217"/>
      <c r="Q65" s="218"/>
    </row>
    <row r="66" spans="1:19">
      <c r="A66" s="772"/>
      <c r="B66" s="301"/>
      <c r="C66" s="800" t="str">
        <f>VLOOKUP($F66,TOV!$C$41:$G$83,TOV!$E$1,FALSE)</f>
        <v>Water supply bore hole grouting</v>
      </c>
      <c r="D66" s="51"/>
      <c r="E66" s="782" t="str">
        <f>VLOOKUP($F66,TOV!$C$41:$G$83,TOV!$G$1,FALSE)</f>
        <v>bore</v>
      </c>
      <c r="F66" s="783" t="str">
        <f>TOV!C61</f>
        <v>#2.21</v>
      </c>
      <c r="G66" s="115">
        <f>VLOOKUP($F66,TOV!$C$41:$G$83,TOV!$F$1,FALSE)</f>
        <v>2090.6936168725638</v>
      </c>
      <c r="H66" s="290"/>
      <c r="I66" s="111">
        <f t="shared" si="12"/>
        <v>0</v>
      </c>
      <c r="J66" s="215"/>
      <c r="K66" s="217"/>
      <c r="L66" s="217"/>
      <c r="M66" s="217"/>
      <c r="N66" s="217"/>
      <c r="O66" s="217"/>
      <c r="P66" s="217"/>
      <c r="Q66" s="218"/>
    </row>
    <row r="67" spans="1:19">
      <c r="A67" s="772"/>
      <c r="B67" s="301"/>
      <c r="C67" s="800" t="str">
        <f>VLOOKUP($F67,TOV!$C$41:$G$83,TOV!$E$1,FALSE)</f>
        <v>Monitoring bore hole grouting</v>
      </c>
      <c r="D67" s="51"/>
      <c r="E67" s="782" t="str">
        <f>VLOOKUP($F67,TOV!$C$41:$G$83,TOV!$G$1,FALSE)</f>
        <v>bore</v>
      </c>
      <c r="F67" s="783" t="str">
        <f>TOV!C62</f>
        <v>#2.22</v>
      </c>
      <c r="G67" s="115">
        <f>VLOOKUP($F67,TOV!$C$41:$G$83,TOV!$F$1,FALSE)</f>
        <v>2090.6936168725638</v>
      </c>
      <c r="H67" s="290"/>
      <c r="I67" s="111">
        <f t="shared" si="12"/>
        <v>0</v>
      </c>
      <c r="J67" s="215"/>
      <c r="K67" s="217"/>
      <c r="L67" s="217"/>
      <c r="M67" s="217"/>
      <c r="N67" s="217"/>
      <c r="O67" s="217"/>
      <c r="P67" s="217"/>
      <c r="Q67" s="218"/>
    </row>
    <row r="68" spans="1:19">
      <c r="A68" s="772"/>
      <c r="B68" s="301"/>
      <c r="C68" s="800" t="str">
        <f>VLOOKUP($F68,TOV!$C$41:$G$83,TOV!$E$1,FALSE)</f>
        <v>Water reinjection bore hole grouting</v>
      </c>
      <c r="D68" s="51"/>
      <c r="E68" s="782" t="str">
        <f>VLOOKUP($F68,TOV!$C$41:$G$83,TOV!$G$1,FALSE)</f>
        <v>bore</v>
      </c>
      <c r="F68" s="783" t="str">
        <f>TOV!C63</f>
        <v>#2.23</v>
      </c>
      <c r="G68" s="115">
        <f>VLOOKUP($F68,TOV!$C$41:$G$83,TOV!$F$1,FALSE)</f>
        <v>6901.2573676819347</v>
      </c>
      <c r="H68" s="290"/>
      <c r="I68" s="111">
        <f t="shared" si="12"/>
        <v>0</v>
      </c>
      <c r="J68" s="215"/>
      <c r="K68" s="217"/>
      <c r="L68" s="217"/>
      <c r="M68" s="217"/>
      <c r="N68" s="217"/>
      <c r="O68" s="217"/>
      <c r="P68" s="217"/>
      <c r="Q68" s="218"/>
    </row>
    <row r="69" spans="1:19">
      <c r="A69" s="772"/>
      <c r="B69" s="301"/>
      <c r="C69" s="800" t="str">
        <f>VLOOKUP($F69,TOV!$C$41:$G$83,TOV!$E$1,FALSE)</f>
        <v>Exploration bore hole grouting (coal / mineral sands / large impact drilling)</v>
      </c>
      <c r="D69" s="51"/>
      <c r="E69" s="782" t="str">
        <f>VLOOKUP($F69,TOV!$C$41:$G$83,TOV!$G$1,FALSE)</f>
        <v>bore</v>
      </c>
      <c r="F69" s="783" t="str">
        <f>TOV!C64</f>
        <v>#2.24</v>
      </c>
      <c r="G69" s="115">
        <f>VLOOKUP($F69,TOV!$C$41:$G$83,TOV!$F$1,FALSE)</f>
        <v>2738.6471016754585</v>
      </c>
      <c r="H69" s="290"/>
      <c r="I69" s="111">
        <f t="shared" si="12"/>
        <v>0</v>
      </c>
      <c r="J69" s="215"/>
      <c r="K69" s="217"/>
      <c r="L69" s="217"/>
      <c r="M69" s="217"/>
      <c r="N69" s="217"/>
      <c r="O69" s="217"/>
      <c r="P69" s="217"/>
      <c r="Q69" s="218"/>
    </row>
    <row r="70" spans="1:19">
      <c r="A70" s="772"/>
      <c r="B70" s="301"/>
      <c r="C70" s="800" t="str">
        <f>VLOOKUP($F70,TOV!$C$41:$G$83,TOV!$E$1,FALSE)</f>
        <v>Exploration bore hole grouting (metalliferous / low impact drilling)</v>
      </c>
      <c r="D70" s="51"/>
      <c r="E70" s="782" t="str">
        <f>VLOOKUP($F70,TOV!$C$41:$G$83,TOV!$G$1,FALSE)</f>
        <v>bore</v>
      </c>
      <c r="F70" s="783" t="str">
        <f>TOV!C65</f>
        <v>#2.25</v>
      </c>
      <c r="G70" s="115">
        <f>VLOOKUP($F70,TOV!$C$41:$G$83,TOV!$F$1,FALSE)</f>
        <v>1560.5498565792861</v>
      </c>
      <c r="H70" s="290"/>
      <c r="I70" s="111">
        <f t="shared" si="12"/>
        <v>0</v>
      </c>
      <c r="J70" s="215"/>
      <c r="K70" s="217"/>
      <c r="L70" s="217"/>
      <c r="M70" s="217"/>
      <c r="N70" s="217"/>
      <c r="O70" s="217"/>
      <c r="P70" s="217"/>
      <c r="Q70" s="218"/>
    </row>
    <row r="71" spans="1:19">
      <c r="A71" s="772"/>
      <c r="B71" s="301"/>
      <c r="C71" s="800" t="str">
        <f>VLOOKUP($F71,TOV!$C$41:$G$83,TOV!$E$1,FALSE)</f>
        <v>Exploration sumps</v>
      </c>
      <c r="D71" s="51"/>
      <c r="E71" s="782" t="str">
        <f>VLOOKUP($F71,TOV!$C$41:$G$83,TOV!$G$1,FALSE)</f>
        <v>sump</v>
      </c>
      <c r="F71" s="783" t="str">
        <f>TOV!C66</f>
        <v>#2.26</v>
      </c>
      <c r="G71" s="115">
        <f>VLOOKUP($F71,TOV!$C$41:$G$83,TOV!$F$1,FALSE)</f>
        <v>372.17031350694629</v>
      </c>
      <c r="H71" s="290"/>
      <c r="I71" s="111">
        <f t="shared" si="12"/>
        <v>0</v>
      </c>
      <c r="J71" s="215"/>
      <c r="K71" s="217"/>
      <c r="L71" s="217"/>
      <c r="M71" s="217"/>
      <c r="N71" s="217"/>
      <c r="O71" s="217"/>
      <c r="P71" s="217"/>
      <c r="Q71" s="218"/>
    </row>
    <row r="72" spans="1:19">
      <c r="A72" s="784"/>
      <c r="B72" s="301"/>
      <c r="C72" s="48"/>
      <c r="D72" s="51"/>
      <c r="E72" s="815"/>
      <c r="F72" s="801"/>
      <c r="G72" s="518" t="str">
        <f t="shared" ref="G72:G75" si="13">IF(AND(D72&gt;0,OR(H72="",H72=0)),"Enter Rate","No alert")</f>
        <v>No alert</v>
      </c>
      <c r="H72" s="290"/>
      <c r="I72" s="111">
        <f>D72*H72</f>
        <v>0</v>
      </c>
      <c r="J72" s="215"/>
      <c r="K72" s="217"/>
      <c r="L72" s="217"/>
      <c r="M72" s="217"/>
      <c r="N72" s="217"/>
      <c r="O72" s="217"/>
      <c r="P72" s="217"/>
      <c r="Q72" s="218"/>
    </row>
    <row r="73" spans="1:19">
      <c r="A73" s="784"/>
      <c r="B73" s="301"/>
      <c r="C73" s="48"/>
      <c r="D73" s="51"/>
      <c r="E73" s="815"/>
      <c r="F73" s="801"/>
      <c r="G73" s="518" t="str">
        <f t="shared" si="13"/>
        <v>No alert</v>
      </c>
      <c r="H73" s="290"/>
      <c r="I73" s="111">
        <f>D73*H73</f>
        <v>0</v>
      </c>
      <c r="J73" s="215"/>
      <c r="K73" s="217"/>
      <c r="L73" s="217"/>
      <c r="M73" s="217"/>
      <c r="N73" s="217"/>
      <c r="O73" s="217"/>
      <c r="P73" s="217"/>
      <c r="Q73" s="218"/>
    </row>
    <row r="74" spans="1:19">
      <c r="A74" s="784"/>
      <c r="B74" s="301"/>
      <c r="C74" s="48"/>
      <c r="D74" s="51"/>
      <c r="E74" s="815"/>
      <c r="F74" s="801"/>
      <c r="G74" s="518" t="str">
        <f t="shared" si="13"/>
        <v>No alert</v>
      </c>
      <c r="H74" s="290"/>
      <c r="I74" s="111">
        <f>D74*H74</f>
        <v>0</v>
      </c>
      <c r="J74" s="215"/>
      <c r="K74" s="217"/>
      <c r="L74" s="217"/>
      <c r="M74" s="217"/>
      <c r="N74" s="217"/>
      <c r="O74" s="217"/>
      <c r="P74" s="217"/>
      <c r="Q74" s="218"/>
    </row>
    <row r="75" spans="1:19">
      <c r="A75" s="784"/>
      <c r="B75" s="301"/>
      <c r="C75" s="48"/>
      <c r="D75" s="51"/>
      <c r="E75" s="815"/>
      <c r="F75" s="801"/>
      <c r="G75" s="518" t="str">
        <f t="shared" si="13"/>
        <v>No alert</v>
      </c>
      <c r="H75" s="290"/>
      <c r="I75" s="111">
        <f>D75*H75</f>
        <v>0</v>
      </c>
      <c r="J75" s="215"/>
      <c r="K75" s="217"/>
      <c r="L75" s="217"/>
      <c r="M75" s="217"/>
      <c r="N75" s="217"/>
      <c r="O75" s="217"/>
      <c r="P75" s="217"/>
      <c r="Q75" s="218"/>
    </row>
    <row r="76" spans="1:19" ht="12" customHeight="1">
      <c r="B76" s="801"/>
      <c r="C76" s="801"/>
      <c r="D76" s="801"/>
      <c r="E76" s="801"/>
      <c r="F76" s="801"/>
      <c r="G76" s="801"/>
      <c r="H76" s="803"/>
      <c r="I76" s="803"/>
      <c r="J76" s="801"/>
      <c r="M76" s="805"/>
      <c r="N76" s="805"/>
    </row>
    <row r="77" spans="1:19" ht="18" customHeight="1">
      <c r="B77" s="768"/>
      <c r="C77" s="520"/>
      <c r="D77" s="806">
        <f>SUM(D60:D76)</f>
        <v>0</v>
      </c>
      <c r="E77" s="807"/>
      <c r="F77" s="520"/>
      <c r="G77" s="768"/>
      <c r="H77" s="797"/>
      <c r="I77" s="106">
        <f>SUM(I60:I76)</f>
        <v>0</v>
      </c>
      <c r="J77" s="792">
        <f>IF(D77=0,0,I77/D77)</f>
        <v>0</v>
      </c>
      <c r="K77" s="793" t="s">
        <v>1564</v>
      </c>
      <c r="M77" s="475"/>
    </row>
    <row r="78" spans="1:19" ht="18" customHeight="1">
      <c r="B78" s="768"/>
      <c r="C78" s="520"/>
      <c r="D78" s="520"/>
      <c r="E78" s="520"/>
      <c r="F78" s="520"/>
      <c r="G78" s="520"/>
      <c r="H78" s="520"/>
      <c r="I78" s="520"/>
      <c r="J78" s="520"/>
      <c r="M78" s="793"/>
    </row>
    <row r="79" spans="1:19" ht="16.149999999999999" customHeight="1">
      <c r="B79" s="284" t="s">
        <v>26</v>
      </c>
      <c r="C79" s="767" t="s">
        <v>1565</v>
      </c>
      <c r="D79" s="768"/>
      <c r="E79" s="768"/>
      <c r="F79" s="768"/>
      <c r="G79" s="768"/>
      <c r="H79" s="768"/>
      <c r="I79" s="768"/>
      <c r="J79" s="768"/>
      <c r="K79" s="768"/>
      <c r="L79" s="768"/>
      <c r="S79" s="475"/>
    </row>
    <row r="80" spans="1:19" ht="36">
      <c r="B80" s="774" t="s">
        <v>1517</v>
      </c>
      <c r="C80" s="774" t="s">
        <v>111</v>
      </c>
      <c r="D80" s="773" t="s">
        <v>77</v>
      </c>
      <c r="E80" s="773" t="s">
        <v>1559</v>
      </c>
      <c r="F80" s="773" t="s">
        <v>1521</v>
      </c>
      <c r="G80" s="773" t="s">
        <v>1549</v>
      </c>
      <c r="H80" s="773" t="s">
        <v>1556</v>
      </c>
      <c r="I80" s="775" t="s">
        <v>75</v>
      </c>
      <c r="J80" s="776" t="s">
        <v>1526</v>
      </c>
      <c r="K80" s="777"/>
      <c r="L80" s="777"/>
      <c r="M80" s="777"/>
      <c r="N80" s="777"/>
      <c r="O80" s="777"/>
      <c r="P80" s="777"/>
      <c r="Q80" s="778"/>
      <c r="S80" s="475"/>
    </row>
    <row r="81" spans="1:19" ht="18" customHeight="1">
      <c r="A81" s="772"/>
      <c r="B81" s="520"/>
      <c r="C81" s="799"/>
      <c r="D81" s="768"/>
      <c r="E81" s="768"/>
      <c r="F81" s="768"/>
      <c r="G81" s="768"/>
      <c r="H81" s="768"/>
      <c r="I81" s="768"/>
      <c r="J81" s="748"/>
      <c r="Q81" s="779"/>
      <c r="S81" s="475"/>
    </row>
    <row r="82" spans="1:19">
      <c r="B82" s="304"/>
      <c r="C82" s="800" t="str">
        <f>VLOOKUP($F82,TOV!$C$41:$G$83,TOV!$E$1,FALSE)</f>
        <v>Lined &gt; 0 and &lt;= 1 ML</v>
      </c>
      <c r="D82" s="320"/>
      <c r="E82" s="782" t="str">
        <f>VLOOKUP($F82,TOV!$C$41:$G$83,TOV!$G$1,FALSE)</f>
        <v>ha</v>
      </c>
      <c r="F82" s="783" t="str">
        <f>TOV!C67</f>
        <v>#2.27</v>
      </c>
      <c r="G82" s="115">
        <f>VLOOKUP($F82,TOV!$C$41:$G$83,TOV!$F$1,FALSE)</f>
        <v>80000</v>
      </c>
      <c r="H82" s="290"/>
      <c r="I82" s="111">
        <f t="shared" ref="I82:I95" si="14">IF(H82="",G82,H82)*D82</f>
        <v>0</v>
      </c>
      <c r="J82" s="215"/>
      <c r="K82" s="217"/>
      <c r="L82" s="217"/>
      <c r="M82" s="217"/>
      <c r="N82" s="217"/>
      <c r="O82" s="217"/>
      <c r="P82" s="217"/>
      <c r="Q82" s="218"/>
      <c r="S82" s="475"/>
    </row>
    <row r="83" spans="1:19">
      <c r="B83" s="304"/>
      <c r="C83" s="800" t="str">
        <f>VLOOKUP($F83,TOV!$C$41:$G$83,TOV!$E$1,FALSE)</f>
        <v>Lined &gt; 1 and &lt;= 3.5 ML</v>
      </c>
      <c r="D83" s="320"/>
      <c r="E83" s="782" t="str">
        <f>VLOOKUP($F83,TOV!$C$41:$G$83,TOV!$G$1,FALSE)</f>
        <v>ha</v>
      </c>
      <c r="F83" s="783" t="str">
        <f>TOV!C68</f>
        <v>#2.28</v>
      </c>
      <c r="G83" s="115">
        <f>VLOOKUP($F83,TOV!$C$41:$G$83,TOV!$F$1,FALSE)</f>
        <v>78000</v>
      </c>
      <c r="H83" s="290"/>
      <c r="I83" s="111">
        <f t="shared" si="14"/>
        <v>0</v>
      </c>
      <c r="J83" s="215"/>
      <c r="K83" s="217"/>
      <c r="L83" s="217"/>
      <c r="M83" s="217"/>
      <c r="N83" s="217"/>
      <c r="O83" s="217"/>
      <c r="P83" s="217"/>
      <c r="Q83" s="218"/>
      <c r="S83" s="475"/>
    </row>
    <row r="84" spans="1:19">
      <c r="B84" s="304"/>
      <c r="C84" s="800" t="str">
        <f>VLOOKUP($F84,TOV!$C$41:$G$83,TOV!$E$1,FALSE)</f>
        <v>Lined &gt; 3.5 and &lt;= 7.5 ML</v>
      </c>
      <c r="D84" s="320"/>
      <c r="E84" s="782" t="str">
        <f>VLOOKUP($F84,TOV!$C$41:$G$83,TOV!$G$1,FALSE)</f>
        <v>ha</v>
      </c>
      <c r="F84" s="783" t="str">
        <f>TOV!C69</f>
        <v>#2.29</v>
      </c>
      <c r="G84" s="115">
        <f>VLOOKUP($F84,TOV!$C$41:$G$83,TOV!$F$1,FALSE)</f>
        <v>75000</v>
      </c>
      <c r="H84" s="290"/>
      <c r="I84" s="111">
        <f t="shared" si="14"/>
        <v>0</v>
      </c>
      <c r="J84" s="215"/>
      <c r="K84" s="217"/>
      <c r="L84" s="217"/>
      <c r="M84" s="217"/>
      <c r="N84" s="217"/>
      <c r="O84" s="217"/>
      <c r="P84" s="217"/>
      <c r="Q84" s="218"/>
      <c r="S84" s="475"/>
    </row>
    <row r="85" spans="1:19">
      <c r="B85" s="304"/>
      <c r="C85" s="800" t="str">
        <f>VLOOKUP($F85,TOV!$C$41:$G$83,TOV!$E$1,FALSE)</f>
        <v>Lined &gt; 7.5 and &lt;= 10 ML</v>
      </c>
      <c r="D85" s="320"/>
      <c r="E85" s="782" t="str">
        <f>VLOOKUP($F85,TOV!$C$41:$G$83,TOV!$G$1,FALSE)</f>
        <v>ha</v>
      </c>
      <c r="F85" s="783" t="str">
        <f>TOV!C70</f>
        <v>#2.30</v>
      </c>
      <c r="G85" s="115">
        <f>VLOOKUP($F85,TOV!$C$41:$G$83,TOV!$F$1,FALSE)</f>
        <v>74000</v>
      </c>
      <c r="H85" s="290"/>
      <c r="I85" s="111">
        <f t="shared" si="14"/>
        <v>0</v>
      </c>
      <c r="J85" s="215"/>
      <c r="K85" s="217"/>
      <c r="L85" s="217"/>
      <c r="M85" s="217"/>
      <c r="N85" s="217"/>
      <c r="O85" s="217"/>
      <c r="P85" s="217"/>
      <c r="Q85" s="218"/>
      <c r="S85" s="475"/>
    </row>
    <row r="86" spans="1:19">
      <c r="B86" s="304"/>
      <c r="C86" s="800" t="str">
        <f>VLOOKUP($F86,TOV!$C$41:$G$83,TOV!$E$1,FALSE)</f>
        <v>Lined &gt; 10 and &lt;= 20 ML</v>
      </c>
      <c r="D86" s="320"/>
      <c r="E86" s="782" t="str">
        <f>VLOOKUP($F86,TOV!$C$41:$G$83,TOV!$G$1,FALSE)</f>
        <v>ha</v>
      </c>
      <c r="F86" s="783" t="str">
        <f>TOV!C71</f>
        <v>#2.31</v>
      </c>
      <c r="G86" s="115">
        <f>VLOOKUP($F86,TOV!$C$41:$G$83,TOV!$F$1,FALSE)</f>
        <v>70000</v>
      </c>
      <c r="H86" s="290"/>
      <c r="I86" s="111">
        <f t="shared" si="14"/>
        <v>0</v>
      </c>
      <c r="J86" s="215"/>
      <c r="K86" s="217"/>
      <c r="L86" s="217"/>
      <c r="M86" s="217"/>
      <c r="N86" s="217"/>
      <c r="O86" s="217"/>
      <c r="P86" s="217"/>
      <c r="Q86" s="218"/>
      <c r="S86" s="475"/>
    </row>
    <row r="87" spans="1:19">
      <c r="B87" s="304"/>
      <c r="C87" s="800" t="str">
        <f>VLOOKUP($F87,TOV!$C$41:$G$83,TOV!$E$1,FALSE)</f>
        <v>Lined &gt; 20 and &lt;= 50 ML</v>
      </c>
      <c r="D87" s="320"/>
      <c r="E87" s="782" t="str">
        <f>VLOOKUP($F87,TOV!$C$41:$G$83,TOV!$G$1,FALSE)</f>
        <v>ha</v>
      </c>
      <c r="F87" s="783" t="str">
        <f>TOV!C72</f>
        <v>#2.32</v>
      </c>
      <c r="G87" s="115">
        <f>VLOOKUP($F87,TOV!$C$41:$G$83,TOV!$F$1,FALSE)</f>
        <v>65000</v>
      </c>
      <c r="H87" s="290"/>
      <c r="I87" s="111">
        <f t="shared" si="14"/>
        <v>0</v>
      </c>
      <c r="J87" s="215"/>
      <c r="K87" s="217"/>
      <c r="L87" s="217"/>
      <c r="M87" s="217"/>
      <c r="N87" s="217"/>
      <c r="O87" s="217"/>
      <c r="P87" s="217"/>
      <c r="Q87" s="218"/>
      <c r="S87" s="475"/>
    </row>
    <row r="88" spans="1:19">
      <c r="B88" s="304"/>
      <c r="C88" s="800" t="str">
        <f>VLOOKUP($F88,TOV!$C$41:$G$83,TOV!$E$1,FALSE)</f>
        <v>Lined &gt; 50 and &lt;= 100 ML</v>
      </c>
      <c r="D88" s="320"/>
      <c r="E88" s="782" t="str">
        <f>VLOOKUP($F88,TOV!$C$41:$G$83,TOV!$G$1,FALSE)</f>
        <v>ha</v>
      </c>
      <c r="F88" s="783" t="str">
        <f>TOV!C73</f>
        <v>#2.33</v>
      </c>
      <c r="G88" s="115">
        <f>VLOOKUP($F88,TOV!$C$41:$G$83,TOV!$F$1,FALSE)</f>
        <v>63500</v>
      </c>
      <c r="H88" s="290"/>
      <c r="I88" s="111">
        <f t="shared" si="14"/>
        <v>0</v>
      </c>
      <c r="J88" s="215"/>
      <c r="K88" s="217"/>
      <c r="L88" s="217"/>
      <c r="M88" s="217"/>
      <c r="N88" s="217"/>
      <c r="O88" s="217"/>
      <c r="P88" s="217"/>
      <c r="Q88" s="218"/>
      <c r="S88" s="475"/>
    </row>
    <row r="89" spans="1:19">
      <c r="B89" s="304"/>
      <c r="C89" s="800" t="str">
        <f>VLOOKUP($F89,TOV!$C$41:$G$83,TOV!$E$1,FALSE)</f>
        <v>Unlined &gt; 0 and &lt;= 1 ML</v>
      </c>
      <c r="D89" s="320"/>
      <c r="E89" s="782" t="str">
        <f>VLOOKUP($F89,TOV!$C$41:$G$83,TOV!$G$1,FALSE)</f>
        <v>ha</v>
      </c>
      <c r="F89" s="783" t="str">
        <f>TOV!C74</f>
        <v>#2.34</v>
      </c>
      <c r="G89" s="115">
        <f>VLOOKUP($F89,TOV!$C$41:$G$83,TOV!$F$1,FALSE)</f>
        <v>50000</v>
      </c>
      <c r="H89" s="290"/>
      <c r="I89" s="111">
        <f t="shared" si="14"/>
        <v>0</v>
      </c>
      <c r="J89" s="215"/>
      <c r="K89" s="217"/>
      <c r="L89" s="217"/>
      <c r="M89" s="217"/>
      <c r="N89" s="217"/>
      <c r="O89" s="217"/>
      <c r="P89" s="217"/>
      <c r="Q89" s="218"/>
      <c r="S89" s="475"/>
    </row>
    <row r="90" spans="1:19">
      <c r="B90" s="304"/>
      <c r="C90" s="800" t="str">
        <f>VLOOKUP($F90,TOV!$C$41:$G$83,TOV!$E$1,FALSE)</f>
        <v>Unlined &gt; 1 and &lt;= 3.5 ML</v>
      </c>
      <c r="D90" s="320"/>
      <c r="E90" s="782" t="str">
        <f>VLOOKUP($F90,TOV!$C$41:$G$83,TOV!$G$1,FALSE)</f>
        <v>ha</v>
      </c>
      <c r="F90" s="783" t="str">
        <f>TOV!C75</f>
        <v>#2.35</v>
      </c>
      <c r="G90" s="115">
        <f>VLOOKUP($F90,TOV!$C$41:$G$83,TOV!$F$1,FALSE)</f>
        <v>49000</v>
      </c>
      <c r="H90" s="290"/>
      <c r="I90" s="111">
        <f t="shared" si="14"/>
        <v>0</v>
      </c>
      <c r="J90" s="215"/>
      <c r="K90" s="217"/>
      <c r="L90" s="217"/>
      <c r="M90" s="217"/>
      <c r="N90" s="217"/>
      <c r="O90" s="217"/>
      <c r="P90" s="217"/>
      <c r="Q90" s="218"/>
      <c r="S90" s="475"/>
    </row>
    <row r="91" spans="1:19">
      <c r="B91" s="304"/>
      <c r="C91" s="800" t="str">
        <f>VLOOKUP($F91,TOV!$C$41:$G$83,TOV!$E$1,FALSE)</f>
        <v>Unlined &gt; 3.5 and &lt;= 7.5 ML</v>
      </c>
      <c r="D91" s="320"/>
      <c r="E91" s="782" t="str">
        <f>VLOOKUP($F91,TOV!$C$41:$G$83,TOV!$G$1,FALSE)</f>
        <v>ha</v>
      </c>
      <c r="F91" s="783" t="str">
        <f>TOV!C76</f>
        <v>#2.36</v>
      </c>
      <c r="G91" s="115">
        <f>VLOOKUP($F91,TOV!$C$41:$G$83,TOV!$F$1,FALSE)</f>
        <v>47000</v>
      </c>
      <c r="H91" s="290"/>
      <c r="I91" s="111">
        <f t="shared" si="14"/>
        <v>0</v>
      </c>
      <c r="J91" s="215"/>
      <c r="K91" s="217"/>
      <c r="L91" s="217"/>
      <c r="M91" s="217"/>
      <c r="N91" s="217"/>
      <c r="O91" s="217"/>
      <c r="P91" s="217"/>
      <c r="Q91" s="218"/>
      <c r="S91" s="475"/>
    </row>
    <row r="92" spans="1:19">
      <c r="B92" s="304"/>
      <c r="C92" s="800" t="str">
        <f>VLOOKUP($F92,TOV!$C$41:$G$83,TOV!$E$1,FALSE)</f>
        <v>Unlined &gt; 7.5 and &lt;= 10 ML</v>
      </c>
      <c r="D92" s="320"/>
      <c r="E92" s="782" t="str">
        <f>VLOOKUP($F92,TOV!$C$41:$G$83,TOV!$G$1,FALSE)</f>
        <v>ha</v>
      </c>
      <c r="F92" s="783" t="str">
        <f>TOV!C77</f>
        <v>#2.37</v>
      </c>
      <c r="G92" s="115">
        <f>VLOOKUP($F92,TOV!$C$41:$G$83,TOV!$F$1,FALSE)</f>
        <v>45000</v>
      </c>
      <c r="H92" s="290"/>
      <c r="I92" s="111">
        <f t="shared" si="14"/>
        <v>0</v>
      </c>
      <c r="J92" s="215"/>
      <c r="K92" s="217"/>
      <c r="L92" s="217"/>
      <c r="M92" s="217"/>
      <c r="N92" s="217"/>
      <c r="O92" s="217"/>
      <c r="P92" s="217"/>
      <c r="Q92" s="218"/>
      <c r="S92" s="475"/>
    </row>
    <row r="93" spans="1:19">
      <c r="B93" s="304"/>
      <c r="C93" s="800" t="str">
        <f>VLOOKUP($F93,TOV!$C$41:$G$83,TOV!$E$1,FALSE)</f>
        <v>Unlined &gt; 10 and &lt;= 20 ML</v>
      </c>
      <c r="D93" s="320"/>
      <c r="E93" s="782" t="str">
        <f>VLOOKUP($F93,TOV!$C$41:$G$83,TOV!$G$1,FALSE)</f>
        <v>ha</v>
      </c>
      <c r="F93" s="783" t="str">
        <f>TOV!C78</f>
        <v>#2.38</v>
      </c>
      <c r="G93" s="115">
        <f>VLOOKUP($F93,TOV!$C$41:$G$83,TOV!$F$1,FALSE)</f>
        <v>43000</v>
      </c>
      <c r="H93" s="290"/>
      <c r="I93" s="111">
        <f t="shared" si="14"/>
        <v>0</v>
      </c>
      <c r="J93" s="215"/>
      <c r="K93" s="217"/>
      <c r="L93" s="217"/>
      <c r="M93" s="217"/>
      <c r="N93" s="217"/>
      <c r="O93" s="217"/>
      <c r="P93" s="217"/>
      <c r="Q93" s="218"/>
      <c r="S93" s="475"/>
    </row>
    <row r="94" spans="1:19">
      <c r="B94" s="304"/>
      <c r="C94" s="800" t="str">
        <f>VLOOKUP($F94,TOV!$C$41:$G$83,TOV!$E$1,FALSE)</f>
        <v>Unlined &gt; 20 and &lt;= 50 ML</v>
      </c>
      <c r="D94" s="320"/>
      <c r="E94" s="782" t="str">
        <f>VLOOKUP($F94,TOV!$C$41:$G$83,TOV!$G$1,FALSE)</f>
        <v>ha</v>
      </c>
      <c r="F94" s="783" t="str">
        <f>TOV!C79</f>
        <v>#2.39</v>
      </c>
      <c r="G94" s="115">
        <f>VLOOKUP($F94,TOV!$C$41:$G$83,TOV!$F$1,FALSE)</f>
        <v>38000</v>
      </c>
      <c r="H94" s="290"/>
      <c r="I94" s="111">
        <f t="shared" si="14"/>
        <v>0</v>
      </c>
      <c r="J94" s="215"/>
      <c r="K94" s="217"/>
      <c r="L94" s="217"/>
      <c r="M94" s="217"/>
      <c r="N94" s="217"/>
      <c r="O94" s="217"/>
      <c r="P94" s="217"/>
      <c r="Q94" s="218"/>
      <c r="S94" s="475"/>
    </row>
    <row r="95" spans="1:19">
      <c r="B95" s="304"/>
      <c r="C95" s="800" t="str">
        <f>VLOOKUP($F95,TOV!$C$41:$G$83,TOV!$E$1,FALSE)</f>
        <v>Unlined &gt; 50 and &lt;= 100 ML</v>
      </c>
      <c r="D95" s="320"/>
      <c r="E95" s="782" t="str">
        <f>VLOOKUP($F95,TOV!$C$41:$G$83,TOV!$G$1,FALSE)</f>
        <v>ha</v>
      </c>
      <c r="F95" s="783" t="str">
        <f>TOV!C80</f>
        <v>#2.40</v>
      </c>
      <c r="G95" s="115">
        <f>VLOOKUP($F95,TOV!$C$41:$G$83,TOV!$F$1,FALSE)</f>
        <v>36000</v>
      </c>
      <c r="H95" s="290"/>
      <c r="I95" s="111">
        <f t="shared" si="14"/>
        <v>0</v>
      </c>
      <c r="J95" s="215"/>
      <c r="K95" s="217"/>
      <c r="L95" s="217"/>
      <c r="M95" s="217"/>
      <c r="N95" s="217"/>
      <c r="O95" s="217"/>
      <c r="P95" s="217"/>
      <c r="Q95" s="218"/>
      <c r="S95" s="475"/>
    </row>
    <row r="96" spans="1:19">
      <c r="A96" s="784"/>
      <c r="B96" s="304"/>
      <c r="C96" s="47"/>
      <c r="D96" s="320"/>
      <c r="E96" s="46" t="s">
        <v>95</v>
      </c>
      <c r="F96" s="808"/>
      <c r="G96" s="518" t="str">
        <f t="shared" ref="G96:G99" si="15">IF(AND(D96&gt;0,OR(H96="",H96=0)),"Enter Rate","No alert")</f>
        <v>No alert</v>
      </c>
      <c r="H96" s="290"/>
      <c r="I96" s="111">
        <f t="shared" ref="I96:I97" si="16">D96*H96</f>
        <v>0</v>
      </c>
      <c r="J96" s="215"/>
      <c r="K96" s="217"/>
      <c r="L96" s="217"/>
      <c r="M96" s="217"/>
      <c r="N96" s="217"/>
      <c r="O96" s="217"/>
      <c r="P96" s="217"/>
      <c r="Q96" s="218"/>
      <c r="S96" s="475"/>
    </row>
    <row r="97" spans="1:19">
      <c r="A97" s="784"/>
      <c r="B97" s="304"/>
      <c r="C97" s="47"/>
      <c r="D97" s="320"/>
      <c r="E97" s="46" t="s">
        <v>95</v>
      </c>
      <c r="F97" s="808"/>
      <c r="G97" s="518" t="str">
        <f t="shared" si="15"/>
        <v>No alert</v>
      </c>
      <c r="H97" s="290"/>
      <c r="I97" s="111">
        <f t="shared" si="16"/>
        <v>0</v>
      </c>
      <c r="J97" s="215"/>
      <c r="K97" s="217"/>
      <c r="L97" s="217"/>
      <c r="M97" s="217"/>
      <c r="N97" s="217"/>
      <c r="O97" s="217"/>
      <c r="P97" s="217"/>
      <c r="Q97" s="218"/>
      <c r="S97" s="475"/>
    </row>
    <row r="98" spans="1:19">
      <c r="A98" s="784"/>
      <c r="B98" s="304"/>
      <c r="C98" s="47"/>
      <c r="D98" s="320"/>
      <c r="E98" s="46" t="s">
        <v>95</v>
      </c>
      <c r="F98" s="808"/>
      <c r="G98" s="518" t="str">
        <f t="shared" si="15"/>
        <v>No alert</v>
      </c>
      <c r="H98" s="290"/>
      <c r="I98" s="111">
        <f>D98*H98</f>
        <v>0</v>
      </c>
      <c r="J98" s="215"/>
      <c r="K98" s="217"/>
      <c r="L98" s="217"/>
      <c r="M98" s="217"/>
      <c r="N98" s="217"/>
      <c r="O98" s="217"/>
      <c r="P98" s="217"/>
      <c r="Q98" s="218"/>
      <c r="S98" s="475"/>
    </row>
    <row r="99" spans="1:19">
      <c r="A99" s="784"/>
      <c r="B99" s="304"/>
      <c r="C99" s="47"/>
      <c r="D99" s="320"/>
      <c r="E99" s="46" t="s">
        <v>95</v>
      </c>
      <c r="F99" s="808"/>
      <c r="G99" s="518" t="str">
        <f t="shared" si="15"/>
        <v>No alert</v>
      </c>
      <c r="H99" s="290"/>
      <c r="I99" s="111">
        <f>D99*H99</f>
        <v>0</v>
      </c>
      <c r="J99" s="215"/>
      <c r="K99" s="217"/>
      <c r="L99" s="217"/>
      <c r="M99" s="217"/>
      <c r="N99" s="217"/>
      <c r="O99" s="217"/>
      <c r="P99" s="217"/>
      <c r="Q99" s="218"/>
      <c r="S99" s="475"/>
    </row>
    <row r="100" spans="1:19" ht="12" customHeight="1">
      <c r="B100" s="801"/>
      <c r="C100" s="808"/>
      <c r="D100" s="809"/>
      <c r="E100" s="808"/>
      <c r="F100" s="808"/>
      <c r="G100" s="808"/>
      <c r="H100" s="810"/>
      <c r="I100" s="810"/>
      <c r="J100" s="768"/>
      <c r="K100" s="475"/>
      <c r="L100" s="475"/>
      <c r="S100" s="475"/>
    </row>
    <row r="101" spans="1:19" ht="18" customHeight="1">
      <c r="B101" s="520"/>
      <c r="C101" s="736"/>
      <c r="D101" s="372">
        <f>SUM(D81:D100)</f>
        <v>0</v>
      </c>
      <c r="E101" s="46" t="s">
        <v>95</v>
      </c>
      <c r="F101" s="736"/>
      <c r="G101" s="736"/>
      <c r="H101" s="798"/>
      <c r="I101" s="108">
        <f>SUM(I81:I100)</f>
        <v>0</v>
      </c>
      <c r="J101" s="792">
        <f>IF(D101=0,0,I101/D101)</f>
        <v>0</v>
      </c>
      <c r="K101" s="793" t="str">
        <f>E101</f>
        <v>ha</v>
      </c>
      <c r="L101" s="475"/>
      <c r="M101" s="475"/>
      <c r="S101" s="475"/>
    </row>
    <row r="102" spans="1:19" ht="12" customHeight="1">
      <c r="A102" s="804"/>
      <c r="B102" s="520"/>
      <c r="C102" s="736"/>
      <c r="D102" s="736"/>
      <c r="E102" s="736"/>
      <c r="F102" s="736"/>
      <c r="G102" s="736"/>
      <c r="H102" s="736"/>
      <c r="I102" s="736"/>
      <c r="J102" s="736"/>
      <c r="K102" s="811"/>
      <c r="L102" s="768"/>
      <c r="S102" s="475"/>
    </row>
    <row r="103" spans="1:19" ht="12" customHeight="1">
      <c r="B103" s="520"/>
      <c r="C103" s="520"/>
      <c r="D103" s="768"/>
      <c r="E103" s="768"/>
      <c r="F103" s="768"/>
      <c r="G103" s="768"/>
      <c r="H103" s="768"/>
      <c r="I103" s="768"/>
      <c r="J103" s="768"/>
      <c r="K103" s="768"/>
      <c r="L103" s="768"/>
      <c r="S103" s="475"/>
    </row>
    <row r="104" spans="1:19" ht="16.149999999999999" customHeight="1">
      <c r="B104" s="284" t="s">
        <v>26</v>
      </c>
      <c r="C104" s="767" t="s">
        <v>1566</v>
      </c>
      <c r="D104" s="768"/>
      <c r="E104" s="768"/>
      <c r="F104" s="768"/>
      <c r="G104" s="768"/>
      <c r="H104" s="768"/>
      <c r="I104" s="768"/>
      <c r="J104" s="768"/>
      <c r="K104" s="768"/>
      <c r="L104" s="768"/>
      <c r="S104" s="475"/>
    </row>
    <row r="105" spans="1:19" ht="36">
      <c r="B105" s="774" t="s">
        <v>1517</v>
      </c>
      <c r="C105" s="812" t="s">
        <v>111</v>
      </c>
      <c r="D105" s="813"/>
      <c r="E105" s="773" t="s">
        <v>1567</v>
      </c>
      <c r="F105" s="773" t="s">
        <v>2</v>
      </c>
      <c r="G105" s="773" t="s">
        <v>1521</v>
      </c>
      <c r="H105" s="773" t="s">
        <v>1549</v>
      </c>
      <c r="I105" s="773" t="s">
        <v>1556</v>
      </c>
      <c r="J105" s="775" t="s">
        <v>75</v>
      </c>
      <c r="K105" s="776" t="s">
        <v>1526</v>
      </c>
      <c r="L105" s="777"/>
      <c r="M105" s="777"/>
      <c r="N105" s="777"/>
      <c r="O105" s="777"/>
      <c r="P105" s="777"/>
      <c r="Q105" s="777"/>
      <c r="R105" s="778"/>
      <c r="S105" s="475"/>
    </row>
    <row r="106" spans="1:19" ht="18" customHeight="1">
      <c r="A106" s="772"/>
      <c r="B106" s="520"/>
      <c r="C106" s="799"/>
      <c r="D106" s="768"/>
      <c r="E106" s="768"/>
      <c r="F106" s="768"/>
      <c r="G106" s="768"/>
      <c r="H106" s="768"/>
      <c r="I106" s="768"/>
      <c r="J106" s="768"/>
      <c r="K106" s="748"/>
      <c r="R106" s="779"/>
      <c r="S106" s="475"/>
    </row>
    <row r="107" spans="1:19">
      <c r="B107" s="305"/>
      <c r="C107" s="780" t="str">
        <f>VLOOKUP($G107,TOV!$C$41:$G$83,TOV!$E$1,FALSE)</f>
        <v>Grade and seed land (pasture) on which infrastructure and equipment owned by a third-party is implemented.</v>
      </c>
      <c r="D107" s="813"/>
      <c r="E107" s="320"/>
      <c r="F107" s="782" t="str">
        <f>VLOOKUP($G107,TOV!$C$41:$G$83,TOV!$G$1,FALSE)</f>
        <v>ha</v>
      </c>
      <c r="G107" s="783" t="str">
        <f>TOV!C81</f>
        <v>#2.41</v>
      </c>
      <c r="H107" s="115">
        <f>VLOOKUP($G107,TOV!$C$41:$G$83,TOV!$F$1,FALSE)</f>
        <v>1858.2057635511212</v>
      </c>
      <c r="I107" s="296"/>
      <c r="J107" s="111">
        <f>IF(I107="",H107,I107)*E107</f>
        <v>0</v>
      </c>
      <c r="K107" s="215"/>
      <c r="L107" s="217"/>
      <c r="M107" s="217"/>
      <c r="N107" s="217"/>
      <c r="O107" s="217"/>
      <c r="P107" s="217"/>
      <c r="Q107" s="217"/>
      <c r="R107" s="218"/>
      <c r="S107" s="475"/>
    </row>
    <row r="108" spans="1:19">
      <c r="B108" s="305"/>
      <c r="C108" s="780" t="str">
        <f>VLOOKUP($G108,TOV!$C$41:$G$83,TOV!$E$1,FALSE)</f>
        <v>Grade and seed land (native) on which infrastructure and equipment owned by a third-party is implemented.</v>
      </c>
      <c r="D108" s="813"/>
      <c r="E108" s="320"/>
      <c r="F108" s="782" t="str">
        <f>VLOOKUP($G108,TOV!$C$41:$G$83,TOV!$G$1,FALSE)</f>
        <v>ha</v>
      </c>
      <c r="G108" s="783" t="str">
        <f>TOV!C82</f>
        <v>#2.42</v>
      </c>
      <c r="H108" s="115">
        <f>VLOOKUP($G108,TOV!$C$41:$G$83,TOV!$F$1,FALSE)</f>
        <v>4399.205763551121</v>
      </c>
      <c r="I108" s="296"/>
      <c r="J108" s="111">
        <f>IF(I108="",H108,I108)*E108</f>
        <v>0</v>
      </c>
      <c r="K108" s="215"/>
      <c r="L108" s="217"/>
      <c r="M108" s="217"/>
      <c r="N108" s="217"/>
      <c r="O108" s="217"/>
      <c r="P108" s="217"/>
      <c r="Q108" s="217"/>
      <c r="R108" s="218"/>
      <c r="S108" s="475"/>
    </row>
    <row r="109" spans="1:19">
      <c r="B109" s="305"/>
      <c r="C109" s="780" t="str">
        <f>VLOOKUP($G109,TOV!$C$41:$G$83,TOV!$E$1,FALSE)</f>
        <v>Grade land (arid) on which infrastructure and equipment owned by a third-party is implemented.</v>
      </c>
      <c r="D109" s="813"/>
      <c r="E109" s="320"/>
      <c r="F109" s="782" t="str">
        <f>VLOOKUP($G109,TOV!$C$41:$G$83,TOV!$G$1,FALSE)</f>
        <v>ha</v>
      </c>
      <c r="G109" s="783" t="str">
        <f>TOV!C83</f>
        <v>#2.43</v>
      </c>
      <c r="H109" s="115">
        <f>VLOOKUP($G109,TOV!$C$41:$G$83,TOV!$F$1,FALSE)</f>
        <v>202.70576355112124</v>
      </c>
      <c r="I109" s="296"/>
      <c r="J109" s="111">
        <f>IF(I109="",H109,I109)*E109</f>
        <v>0</v>
      </c>
      <c r="K109" s="215"/>
      <c r="L109" s="217"/>
      <c r="M109" s="217"/>
      <c r="N109" s="217"/>
      <c r="O109" s="217"/>
      <c r="P109" s="217"/>
      <c r="Q109" s="217"/>
      <c r="R109" s="218"/>
      <c r="S109" s="475"/>
    </row>
    <row r="110" spans="1:19">
      <c r="A110" s="784"/>
      <c r="B110" s="305"/>
      <c r="C110" s="50"/>
      <c r="D110" s="68"/>
      <c r="E110" s="320"/>
      <c r="F110" s="45" t="s">
        <v>95</v>
      </c>
      <c r="H110" s="518" t="str">
        <f t="shared" ref="H110:H115" si="17">IF(AND(E110&gt;0,OR(I110="",I110=0)),"Enter Rate","No alert")</f>
        <v>No alert</v>
      </c>
      <c r="I110" s="296"/>
      <c r="J110" s="111">
        <f t="shared" ref="J110:J115" si="18">E110*I110</f>
        <v>0</v>
      </c>
      <c r="K110" s="215"/>
      <c r="L110" s="217"/>
      <c r="M110" s="217"/>
      <c r="N110" s="217"/>
      <c r="O110" s="217"/>
      <c r="P110" s="217"/>
      <c r="Q110" s="217"/>
      <c r="R110" s="218"/>
      <c r="S110" s="475"/>
    </row>
    <row r="111" spans="1:19">
      <c r="A111" s="784"/>
      <c r="B111" s="305"/>
      <c r="C111" s="50"/>
      <c r="D111" s="68"/>
      <c r="E111" s="320"/>
      <c r="F111" s="45" t="s">
        <v>95</v>
      </c>
      <c r="H111" s="518" t="str">
        <f t="shared" si="17"/>
        <v>No alert</v>
      </c>
      <c r="I111" s="296"/>
      <c r="J111" s="111">
        <f t="shared" si="18"/>
        <v>0</v>
      </c>
      <c r="K111" s="215"/>
      <c r="L111" s="217"/>
      <c r="M111" s="217"/>
      <c r="N111" s="217"/>
      <c r="O111" s="217"/>
      <c r="P111" s="217"/>
      <c r="Q111" s="217"/>
      <c r="R111" s="218"/>
      <c r="S111" s="475"/>
    </row>
    <row r="112" spans="1:19">
      <c r="A112" s="784"/>
      <c r="B112" s="305"/>
      <c r="C112" s="50"/>
      <c r="D112" s="68"/>
      <c r="E112" s="320"/>
      <c r="F112" s="45" t="s">
        <v>95</v>
      </c>
      <c r="H112" s="518" t="str">
        <f t="shared" si="17"/>
        <v>No alert</v>
      </c>
      <c r="I112" s="296"/>
      <c r="J112" s="111">
        <f t="shared" si="18"/>
        <v>0</v>
      </c>
      <c r="K112" s="215"/>
      <c r="L112" s="217"/>
      <c r="M112" s="217"/>
      <c r="N112" s="217"/>
      <c r="O112" s="217"/>
      <c r="P112" s="217"/>
      <c r="Q112" s="217"/>
      <c r="R112" s="218"/>
      <c r="S112" s="475"/>
    </row>
    <row r="113" spans="1:20">
      <c r="A113" s="784"/>
      <c r="B113" s="305"/>
      <c r="C113" s="50"/>
      <c r="D113" s="68"/>
      <c r="E113" s="320"/>
      <c r="F113" s="45" t="s">
        <v>95</v>
      </c>
      <c r="H113" s="518" t="str">
        <f t="shared" si="17"/>
        <v>No alert</v>
      </c>
      <c r="I113" s="296"/>
      <c r="J113" s="111">
        <f t="shared" si="18"/>
        <v>0</v>
      </c>
      <c r="K113" s="215"/>
      <c r="L113" s="217"/>
      <c r="M113" s="217"/>
      <c r="N113" s="217"/>
      <c r="O113" s="217"/>
      <c r="P113" s="217"/>
      <c r="Q113" s="217"/>
      <c r="R113" s="218"/>
      <c r="S113" s="475"/>
    </row>
    <row r="114" spans="1:20">
      <c r="A114" s="784"/>
      <c r="B114" s="305"/>
      <c r="C114" s="50"/>
      <c r="D114" s="68"/>
      <c r="E114" s="320"/>
      <c r="F114" s="45" t="s">
        <v>95</v>
      </c>
      <c r="H114" s="518" t="str">
        <f t="shared" si="17"/>
        <v>No alert</v>
      </c>
      <c r="I114" s="296"/>
      <c r="J114" s="111">
        <f t="shared" si="18"/>
        <v>0</v>
      </c>
      <c r="K114" s="215"/>
      <c r="L114" s="217"/>
      <c r="M114" s="217"/>
      <c r="N114" s="217"/>
      <c r="O114" s="217"/>
      <c r="P114" s="217"/>
      <c r="Q114" s="217"/>
      <c r="R114" s="218"/>
      <c r="S114" s="475"/>
    </row>
    <row r="115" spans="1:20">
      <c r="A115" s="784"/>
      <c r="B115" s="305"/>
      <c r="C115" s="50"/>
      <c r="D115" s="68"/>
      <c r="E115" s="320"/>
      <c r="F115" s="45" t="s">
        <v>95</v>
      </c>
      <c r="H115" s="518" t="str">
        <f t="shared" si="17"/>
        <v>No alert</v>
      </c>
      <c r="I115" s="296"/>
      <c r="J115" s="111">
        <f t="shared" si="18"/>
        <v>0</v>
      </c>
      <c r="K115" s="215"/>
      <c r="L115" s="217"/>
      <c r="M115" s="217"/>
      <c r="N115" s="217"/>
      <c r="O115" s="217"/>
      <c r="P115" s="217"/>
      <c r="Q115" s="217"/>
      <c r="R115" s="218"/>
      <c r="S115" s="475"/>
    </row>
    <row r="116" spans="1:20" ht="18" customHeight="1">
      <c r="B116" s="474"/>
      <c r="C116" s="474"/>
      <c r="E116" s="795"/>
      <c r="I116" s="814"/>
      <c r="J116" s="814"/>
      <c r="M116" s="475"/>
      <c r="S116" s="475"/>
    </row>
    <row r="117" spans="1:20" ht="18" customHeight="1">
      <c r="B117" s="520"/>
      <c r="C117" s="520"/>
      <c r="D117" s="768"/>
      <c r="E117" s="372">
        <f>SUM(E106:E116)</f>
        <v>0</v>
      </c>
      <c r="F117" s="45" t="s">
        <v>95</v>
      </c>
      <c r="G117" s="768"/>
      <c r="H117" s="768"/>
      <c r="I117" s="797"/>
      <c r="J117" s="106">
        <f>SUM(J106:J116)</f>
        <v>0</v>
      </c>
      <c r="K117" s="792">
        <f>IF(E117=0,0,J117/E117)</f>
        <v>0</v>
      </c>
      <c r="L117" s="793" t="str">
        <f>F117</f>
        <v>ha</v>
      </c>
      <c r="M117" s="475"/>
      <c r="N117" s="475"/>
      <c r="O117" s="475"/>
      <c r="P117" s="475"/>
      <c r="T117" s="474"/>
    </row>
    <row r="118" spans="1:20" ht="12" customHeight="1">
      <c r="A118" s="804"/>
      <c r="B118" s="520"/>
      <c r="C118" s="520"/>
      <c r="D118" s="768"/>
      <c r="E118" s="768"/>
      <c r="F118" s="768"/>
      <c r="G118" s="768"/>
      <c r="H118" s="768"/>
      <c r="I118" s="768"/>
      <c r="J118" s="768"/>
      <c r="K118" s="768"/>
      <c r="L118" s="768"/>
      <c r="T118" s="474"/>
    </row>
    <row r="119" spans="1:20">
      <c r="B119" s="520"/>
      <c r="C119" s="520"/>
      <c r="D119" s="768"/>
      <c r="E119" s="768"/>
      <c r="F119" s="768"/>
      <c r="G119" s="768"/>
      <c r="H119" s="768"/>
      <c r="I119" s="768"/>
      <c r="J119" s="768"/>
      <c r="K119" s="768"/>
      <c r="L119" s="768"/>
      <c r="Q119" s="475"/>
      <c r="R119" s="475"/>
      <c r="S119" s="475"/>
    </row>
    <row r="120" spans="1:20">
      <c r="A120" s="804"/>
      <c r="B120" s="520"/>
      <c r="C120" s="520"/>
      <c r="D120" s="768"/>
      <c r="E120" s="768"/>
      <c r="F120" s="768"/>
      <c r="G120" s="768"/>
      <c r="H120" s="768"/>
      <c r="I120" s="768"/>
      <c r="J120" s="768"/>
      <c r="K120" s="768"/>
      <c r="L120" s="768"/>
    </row>
    <row r="121" spans="1:20">
      <c r="A121" s="804"/>
      <c r="B121" s="520"/>
      <c r="C121" s="520"/>
      <c r="D121" s="734"/>
      <c r="E121" s="734"/>
      <c r="F121" s="52"/>
      <c r="G121" s="52"/>
      <c r="H121" s="52"/>
      <c r="I121" s="52"/>
      <c r="J121" s="734"/>
      <c r="K121" s="52"/>
      <c r="L121" s="52"/>
      <c r="M121" s="4"/>
      <c r="N121" s="4"/>
      <c r="O121" s="4"/>
      <c r="P121" s="4"/>
      <c r="Q121" s="4"/>
      <c r="R121" s="747"/>
      <c r="S121" s="4"/>
    </row>
    <row r="122" spans="1:20">
      <c r="A122" s="804"/>
      <c r="B122" s="520"/>
      <c r="C122" s="520"/>
      <c r="D122" s="768"/>
      <c r="E122" s="768"/>
      <c r="F122" s="768"/>
      <c r="G122" s="768"/>
      <c r="H122" s="768"/>
      <c r="I122" s="768"/>
      <c r="J122" s="768"/>
      <c r="K122" s="768"/>
      <c r="L122" s="768"/>
    </row>
    <row r="123" spans="1:20">
      <c r="A123" s="804"/>
      <c r="B123" s="520"/>
      <c r="C123" s="520"/>
      <c r="D123" s="768"/>
      <c r="E123" s="768"/>
      <c r="F123" s="768"/>
      <c r="G123" s="768"/>
      <c r="H123" s="768"/>
      <c r="I123" s="768"/>
      <c r="J123" s="768"/>
      <c r="K123" s="768"/>
      <c r="L123" s="768"/>
    </row>
    <row r="124" spans="1:20">
      <c r="A124" s="804"/>
      <c r="B124" s="520"/>
      <c r="C124" s="520"/>
      <c r="D124" s="768"/>
      <c r="E124" s="768"/>
      <c r="F124" s="768"/>
      <c r="G124" s="768"/>
      <c r="H124" s="768"/>
      <c r="I124" s="768"/>
      <c r="J124" s="768"/>
      <c r="K124" s="768"/>
      <c r="L124" s="768"/>
    </row>
    <row r="125" spans="1:20">
      <c r="A125" s="804"/>
      <c r="B125" s="520"/>
      <c r="C125" s="520"/>
      <c r="D125" s="768"/>
      <c r="E125" s="768"/>
      <c r="F125" s="768"/>
      <c r="G125" s="768"/>
      <c r="H125" s="768"/>
      <c r="I125" s="768"/>
      <c r="J125" s="768"/>
      <c r="K125" s="768"/>
      <c r="L125" s="768"/>
    </row>
  </sheetData>
  <sheetProtection algorithmName="SHA-512" hashValue="6FloXOZl005M9v8ruuLgeeTNosLv+wsolkV0lifvx3gjPqX9Sgx1Vto8I6avNq6xv/7E95J1d3pQvvypPhZYQQ==" saltValue="MzLFgNGr/WAZvXLwFcnA6A==" spinCount="100000" sheet="1" objects="1" scenarios="1" autoFilter="0"/>
  <phoneticPr fontId="61" type="noConversion"/>
  <conditionalFormatting sqref="G38:G41">
    <cfRule type="containsText" dxfId="470" priority="25" operator="containsText" text="No">
      <formula>NOT(ISERROR(SEARCH("No",G38)))</formula>
    </cfRule>
  </conditionalFormatting>
  <conditionalFormatting sqref="G51:G54">
    <cfRule type="containsText" dxfId="469" priority="24" operator="containsText" text="No">
      <formula>NOT(ISERROR(SEARCH("No",G51)))</formula>
    </cfRule>
  </conditionalFormatting>
  <conditionalFormatting sqref="G72:G75">
    <cfRule type="containsText" dxfId="468" priority="23" operator="containsText" text="No">
      <formula>NOT(ISERROR(SEARCH("No",G72)))</formula>
    </cfRule>
  </conditionalFormatting>
  <conditionalFormatting sqref="G96:G99">
    <cfRule type="containsText" dxfId="467" priority="22" operator="containsText" text="No">
      <formula>NOT(ISERROR(SEARCH("No",G96)))</formula>
    </cfRule>
  </conditionalFormatting>
  <conditionalFormatting sqref="H32:H41">
    <cfRule type="cellIs" dxfId="466" priority="17" operator="notEqual">
      <formula>""</formula>
    </cfRule>
  </conditionalFormatting>
  <conditionalFormatting sqref="H48:H54">
    <cfRule type="cellIs" dxfId="465" priority="11" operator="notEqual">
      <formula>""</formula>
    </cfRule>
  </conditionalFormatting>
  <conditionalFormatting sqref="H61:H75">
    <cfRule type="cellIs" dxfId="464" priority="7" operator="notEqual">
      <formula>""</formula>
    </cfRule>
  </conditionalFormatting>
  <conditionalFormatting sqref="H82:H99">
    <cfRule type="cellIs" dxfId="463" priority="3" operator="notEqual">
      <formula>""</formula>
    </cfRule>
  </conditionalFormatting>
  <conditionalFormatting sqref="H110:H115">
    <cfRule type="containsText" dxfId="462" priority="21" operator="containsText" text="No">
      <formula>NOT(ISERROR(SEARCH("No",H110)))</formula>
    </cfRule>
  </conditionalFormatting>
  <conditionalFormatting sqref="I107:I115">
    <cfRule type="cellIs" dxfId="461" priority="149" operator="notEqual">
      <formula>""</formula>
    </cfRule>
  </conditionalFormatting>
  <conditionalFormatting sqref="J13:J14">
    <cfRule type="containsText" dxfId="460" priority="68" operator="containsText" text="No">
      <formula>NOT(ISERROR(SEARCH("No",J13)))</formula>
    </cfRule>
  </conditionalFormatting>
  <conditionalFormatting sqref="J24:J25">
    <cfRule type="containsText" dxfId="459" priority="27" operator="containsText" text="No">
      <formula>NOT(ISERROR(SEARCH("No",J24)))</formula>
    </cfRule>
  </conditionalFormatting>
  <conditionalFormatting sqref="J101">
    <cfRule type="containsText" dxfId="458" priority="43" operator="containsText" text="ok">
      <formula>NOT(ISERROR(SEARCH("ok",J101)))</formula>
    </cfRule>
  </conditionalFormatting>
  <conditionalFormatting sqref="J32:Q41">
    <cfRule type="expression" dxfId="457" priority="14">
      <formula>$H32&lt;&gt;""</formula>
    </cfRule>
  </conditionalFormatting>
  <conditionalFormatting sqref="J48:Q54">
    <cfRule type="expression" dxfId="456" priority="10">
      <formula>$H48&lt;&gt;""</formula>
    </cfRule>
  </conditionalFormatting>
  <conditionalFormatting sqref="J61:Q75">
    <cfRule type="expression" dxfId="455" priority="6">
      <formula>$H61&lt;&gt;""</formula>
    </cfRule>
  </conditionalFormatting>
  <conditionalFormatting sqref="J82:Q99">
    <cfRule type="expression" dxfId="454" priority="2">
      <formula>$H82&lt;&gt;""</formula>
    </cfRule>
  </conditionalFormatting>
  <conditionalFormatting sqref="K10:K14">
    <cfRule type="cellIs" dxfId="453" priority="90" operator="notEqual">
      <formula>""</formula>
    </cfRule>
  </conditionalFormatting>
  <conditionalFormatting sqref="K21:K25">
    <cfRule type="cellIs" dxfId="452" priority="19" operator="notEqual">
      <formula>""</formula>
    </cfRule>
  </conditionalFormatting>
  <conditionalFormatting sqref="K117">
    <cfRule type="containsText" dxfId="451" priority="42" operator="containsText" text="ok">
      <formula>NOT(ISERROR(SEARCH("ok",K117)))</formula>
    </cfRule>
  </conditionalFormatting>
  <conditionalFormatting sqref="K107:R115">
    <cfRule type="expression" dxfId="450" priority="1">
      <formula>$I107&lt;&gt;""</formula>
    </cfRule>
  </conditionalFormatting>
  <conditionalFormatting sqref="M26:M27">
    <cfRule type="containsText" dxfId="449" priority="47" operator="containsText" text="ok">
      <formula>NOT(ISERROR(SEARCH("ok",M26)))</formula>
    </cfRule>
  </conditionalFormatting>
  <conditionalFormatting sqref="M10:T14">
    <cfRule type="expression" dxfId="448" priority="20">
      <formula>$K10&lt;&gt;""</formula>
    </cfRule>
  </conditionalFormatting>
  <conditionalFormatting sqref="M21:T25">
    <cfRule type="expression" dxfId="447" priority="18">
      <formula>$K21&lt;&gt;""</formula>
    </cfRule>
  </conditionalFormatting>
  <dataValidations count="5">
    <dataValidation type="whole" allowBlank="1" showInputMessage="1" showErrorMessage="1" sqref="D61:D75" xr:uid="{957C9D4A-D22B-4DB0-ACFC-0DE8181ABF9C}">
      <formula1>0</formula1>
      <formula2>1000000</formula2>
    </dataValidation>
    <dataValidation allowBlank="1" showInputMessage="1" showErrorMessage="1" prompt="Enter length requiring rehab or leave blank and accept the default to the left._x000a_" sqref="F8" xr:uid="{9323EB8B-C3A7-43F0-90C3-43DCC4BD5ED5}"/>
    <dataValidation allowBlank="1" showInputMessage="1" showErrorMessage="1" prompt="Default proportion of length that will be rehabilitated." sqref="E7" xr:uid="{EC7D994E-9861-447F-97C6-CFA51ADBB7F9}"/>
    <dataValidation allowBlank="1" showInputMessage="1" showErrorMessage="1" prompt="Default proportion of area that will be rehabilitated." sqref="E18" xr:uid="{5D36D5F2-6058-41F7-8DD5-34097CE26B48}"/>
    <dataValidation allowBlank="1" showInputMessage="1" showErrorMessage="1" prompt="Enter area requiring rehab or leave blank and accept the default to the left._x000a_" sqref="F19" xr:uid="{DEE3014A-8639-4FA7-9163-60B894BCCF65}"/>
  </dataValidations>
  <hyperlinks>
    <hyperlink ref="B18" location="'2. Exploration'!B5" display="Top" xr:uid="{7DA453A1-84DB-4B5D-A301-0355FCBAE277}"/>
    <hyperlink ref="B2" location="CONTENTS!A1" display="Contents" xr:uid="{65EEF6F0-9C42-4B8E-A827-5B98F51E58B3}"/>
    <hyperlink ref="B29" location="'2. Exploration'!B5" display="Top" xr:uid="{BBCF0F1B-8080-4D8C-9713-FB4975A1E876}"/>
    <hyperlink ref="B45" location="'2. Exploration'!B5" display="Top" xr:uid="{A16F97FF-9B7F-49EC-82DB-68700EB979F1}"/>
    <hyperlink ref="B58" location="'2. Exploration'!B5" display="Top" xr:uid="{D3F9C188-3D18-4A36-9546-9C4704D6310C}"/>
    <hyperlink ref="B79" location="'2. Exploration'!B5" display="Top" xr:uid="{A95AF3B2-8A0A-47F5-A0B8-75D2BD92BEE4}"/>
    <hyperlink ref="B104" location="'2. Exploration'!B5" display="Top" xr:uid="{4677234F-1F00-46A0-B0CC-08AAD7A867B4}"/>
  </hyperlinks>
  <pageMargins left="0.7" right="0.7" top="0.75" bottom="0.75" header="0.3" footer="0.3"/>
  <pageSetup paperSize="8" scale="78" fitToHeight="0"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249977111117893"/>
  </sheetPr>
  <dimension ref="A1:CX570"/>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9" defaultRowHeight="12"/>
  <cols>
    <col min="1" max="1" width="3.42578125" style="475" customWidth="1"/>
    <col min="2" max="2" width="20.7109375" style="475" customWidth="1"/>
    <col min="3" max="3" width="9.28515625" style="475" customWidth="1"/>
    <col min="4" max="4" width="64.28515625" style="475" customWidth="1"/>
    <col min="5" max="5" width="18.7109375" style="474" customWidth="1"/>
    <col min="6" max="7" width="20.28515625" style="474" customWidth="1"/>
    <col min="8" max="24" width="18.7109375" style="474" customWidth="1"/>
    <col min="25" max="31" width="18.7109375" style="475" customWidth="1"/>
    <col min="32" max="42" width="18.7109375" style="474" customWidth="1"/>
    <col min="43" max="114" width="18.7109375" style="475" customWidth="1"/>
    <col min="115" max="117" width="16.7109375" style="475" customWidth="1"/>
    <col min="118" max="16384" width="9" style="475"/>
  </cols>
  <sheetData>
    <row r="1" spans="1:64" ht="14.25">
      <c r="B1" s="433" t="s">
        <v>0</v>
      </c>
      <c r="C1" s="808"/>
      <c r="D1" s="520"/>
      <c r="N1" s="768"/>
      <c r="S1" s="475"/>
      <c r="T1" s="475"/>
      <c r="U1" s="475"/>
      <c r="V1" s="475"/>
      <c r="W1" s="475"/>
      <c r="X1" s="475"/>
      <c r="AF1" s="475"/>
      <c r="AG1" s="475"/>
      <c r="AH1" s="475"/>
      <c r="AI1" s="475"/>
      <c r="AJ1" s="475"/>
      <c r="AK1" s="475"/>
      <c r="AL1" s="475"/>
      <c r="AM1" s="475"/>
      <c r="AN1" s="475"/>
      <c r="AO1" s="475"/>
      <c r="AP1" s="475"/>
    </row>
    <row r="2" spans="1:64" ht="18" customHeight="1">
      <c r="B2" s="286" t="s">
        <v>256</v>
      </c>
      <c r="C2" s="476" t="s">
        <v>1568</v>
      </c>
      <c r="D2" s="816"/>
      <c r="E2" s="817" t="s">
        <v>1569</v>
      </c>
      <c r="F2" s="286" t="s">
        <v>1570</v>
      </c>
      <c r="G2" s="286" t="s">
        <v>1571</v>
      </c>
      <c r="H2" s="286" t="s">
        <v>1572</v>
      </c>
      <c r="I2" s="223" t="s">
        <v>114</v>
      </c>
      <c r="J2" s="223" t="s">
        <v>248</v>
      </c>
      <c r="K2" s="223" t="s">
        <v>86</v>
      </c>
      <c r="N2" s="768"/>
      <c r="U2" s="475"/>
      <c r="V2" s="475"/>
      <c r="W2" s="475"/>
      <c r="X2" s="475"/>
      <c r="AF2" s="475"/>
      <c r="AG2" s="475"/>
      <c r="AH2" s="475"/>
      <c r="AI2" s="475"/>
      <c r="AJ2" s="475"/>
      <c r="AK2" s="475"/>
      <c r="AL2" s="475"/>
      <c r="AM2" s="475"/>
      <c r="AN2" s="475"/>
      <c r="AO2" s="475"/>
      <c r="AP2" s="475"/>
    </row>
    <row r="3" spans="1:64" ht="18" customHeight="1">
      <c r="B3" s="644">
        <f>M17+M44+M60+AU92+AT125+M136+M155+AV186+M206+AT238+M256+AI278+M291+M309+AF329+M366+M379+M393+M403+M413+M427+M445+M459+M469+M479+M489+M501+M516+M568</f>
        <v>0</v>
      </c>
      <c r="C3" s="736" t="s">
        <v>1516</v>
      </c>
      <c r="E3" s="789"/>
      <c r="F3" s="223" t="s">
        <v>127</v>
      </c>
      <c r="G3" s="223" t="s">
        <v>137</v>
      </c>
      <c r="H3" s="223" t="s">
        <v>1573</v>
      </c>
      <c r="I3" s="223" t="s">
        <v>1574</v>
      </c>
      <c r="J3" s="223" t="s">
        <v>1575</v>
      </c>
      <c r="K3" s="223" t="s">
        <v>1576</v>
      </c>
      <c r="N3" s="768"/>
      <c r="U3" s="475"/>
      <c r="V3" s="475"/>
      <c r="W3" s="475"/>
      <c r="X3" s="475"/>
      <c r="AF3" s="475"/>
      <c r="AG3" s="475"/>
      <c r="AH3" s="475"/>
      <c r="AI3" s="475"/>
      <c r="AJ3" s="475"/>
      <c r="AK3" s="475"/>
      <c r="AL3" s="475"/>
      <c r="AM3" s="475"/>
      <c r="AN3" s="475"/>
      <c r="AO3" s="475"/>
      <c r="AP3" s="475"/>
    </row>
    <row r="4" spans="1:64" ht="18" customHeight="1">
      <c r="A4" s="818"/>
      <c r="B4" s="738">
        <f>Summary!$G$122</f>
        <v>0</v>
      </c>
      <c r="C4" s="736" t="s">
        <v>1484</v>
      </c>
      <c r="F4" s="223" t="s">
        <v>1577</v>
      </c>
      <c r="G4" s="223" t="s">
        <v>1578</v>
      </c>
      <c r="H4" s="223" t="s">
        <v>1579</v>
      </c>
      <c r="I4" s="223" t="s">
        <v>1580</v>
      </c>
      <c r="J4" s="223" t="s">
        <v>1581</v>
      </c>
      <c r="K4" s="223" t="s">
        <v>251</v>
      </c>
      <c r="U4" s="475"/>
      <c r="V4" s="475"/>
      <c r="W4" s="475"/>
      <c r="X4" s="475"/>
      <c r="AF4" s="475"/>
      <c r="AG4" s="475"/>
      <c r="AH4" s="475"/>
      <c r="AI4" s="475"/>
      <c r="AJ4" s="475"/>
      <c r="AK4" s="475"/>
      <c r="AL4" s="475"/>
      <c r="AM4" s="475"/>
      <c r="AN4" s="475"/>
      <c r="AO4" s="475"/>
      <c r="AP4" s="475"/>
    </row>
    <row r="5" spans="1:64" ht="192" customHeight="1">
      <c r="A5" s="474"/>
      <c r="B5" s="474"/>
      <c r="C5" s="474"/>
      <c r="D5" s="474"/>
      <c r="U5" s="475"/>
      <c r="V5" s="475"/>
      <c r="W5" s="475"/>
      <c r="X5" s="475"/>
      <c r="AF5" s="475"/>
      <c r="AG5" s="475"/>
      <c r="AH5" s="475"/>
      <c r="AI5" s="475"/>
      <c r="AJ5" s="475"/>
      <c r="AK5" s="475"/>
      <c r="AL5" s="475"/>
      <c r="AM5" s="475"/>
      <c r="AN5" s="475"/>
      <c r="AO5" s="475"/>
      <c r="AP5" s="475"/>
    </row>
    <row r="6" spans="1:64">
      <c r="A6" s="818"/>
      <c r="B6" s="474"/>
      <c r="C6" s="474"/>
      <c r="D6" s="474"/>
      <c r="G6" s="819"/>
      <c r="U6" s="475"/>
      <c r="V6" s="475"/>
      <c r="W6" s="475"/>
      <c r="X6" s="475"/>
      <c r="AF6" s="475"/>
      <c r="AG6" s="475"/>
      <c r="AH6" s="475"/>
      <c r="AI6" s="475"/>
      <c r="AJ6" s="475"/>
      <c r="AK6" s="475"/>
      <c r="AL6" s="475"/>
      <c r="AM6" s="475"/>
      <c r="AN6" s="475"/>
      <c r="AO6" s="475"/>
      <c r="AP6" s="475"/>
    </row>
    <row r="7" spans="1:64">
      <c r="A7" s="818"/>
      <c r="B7" s="818"/>
      <c r="C7" s="818"/>
      <c r="D7" s="818"/>
      <c r="E7" s="818"/>
      <c r="F7" s="818"/>
      <c r="G7" s="818"/>
      <c r="U7" s="475"/>
      <c r="V7" s="475"/>
      <c r="W7" s="475"/>
      <c r="X7" s="475"/>
      <c r="AF7" s="475"/>
      <c r="AG7" s="475"/>
      <c r="AH7" s="475"/>
      <c r="AI7" s="475"/>
      <c r="AJ7" s="475"/>
      <c r="AK7" s="475"/>
      <c r="AL7" s="475"/>
      <c r="AM7" s="475"/>
      <c r="AN7" s="475"/>
      <c r="AO7" s="475"/>
      <c r="AP7" s="475"/>
    </row>
    <row r="8" spans="1:64" s="520" customFormat="1" ht="18" customHeight="1">
      <c r="A8" s="748"/>
      <c r="B8" s="475"/>
      <c r="C8" s="820" t="s">
        <v>1582</v>
      </c>
      <c r="D8" s="816"/>
      <c r="F8" s="793"/>
      <c r="G8" s="768"/>
      <c r="I8" s="768"/>
      <c r="J8" s="768"/>
      <c r="K8" s="768"/>
      <c r="L8" s="768"/>
      <c r="M8" s="768"/>
      <c r="N8" s="768"/>
      <c r="O8" s="768"/>
      <c r="P8" s="768"/>
      <c r="Q8" s="768"/>
      <c r="R8" s="768"/>
      <c r="S8" s="768"/>
      <c r="T8" s="768"/>
      <c r="U8" s="768"/>
      <c r="V8" s="768"/>
      <c r="W8" s="768"/>
      <c r="X8" s="768"/>
      <c r="Y8" s="768"/>
      <c r="Z8" s="768"/>
      <c r="AA8" s="768"/>
      <c r="AB8" s="768"/>
      <c r="AC8" s="768"/>
      <c r="AD8" s="768"/>
      <c r="AE8" s="768"/>
    </row>
    <row r="9" spans="1:64" s="495" customFormat="1" ht="31.9" customHeight="1">
      <c r="A9" s="748"/>
      <c r="B9" s="773" t="s">
        <v>1517</v>
      </c>
      <c r="C9" s="774" t="s">
        <v>27</v>
      </c>
      <c r="D9" s="821" t="s">
        <v>1583</v>
      </c>
      <c r="E9" s="812" t="s">
        <v>111</v>
      </c>
      <c r="F9" s="822"/>
      <c r="G9" s="823"/>
      <c r="H9" s="823" t="s">
        <v>244</v>
      </c>
      <c r="I9" s="773" t="s">
        <v>1584</v>
      </c>
      <c r="J9" s="773" t="s">
        <v>1585</v>
      </c>
      <c r="K9" s="773" t="s">
        <v>1549</v>
      </c>
      <c r="L9" s="773" t="s">
        <v>1586</v>
      </c>
      <c r="M9" s="775" t="s">
        <v>1587</v>
      </c>
      <c r="N9" s="776" t="s">
        <v>1526</v>
      </c>
      <c r="O9" s="777"/>
      <c r="P9" s="777"/>
      <c r="Q9" s="777"/>
      <c r="R9" s="777"/>
      <c r="S9" s="777"/>
      <c r="T9" s="777"/>
      <c r="U9" s="778"/>
      <c r="V9" s="793"/>
      <c r="W9" s="793"/>
      <c r="AI9" s="520"/>
      <c r="AJ9" s="520"/>
      <c r="BH9" s="520"/>
      <c r="BI9" s="520"/>
    </row>
    <row r="10" spans="1:64" s="520" customFormat="1" ht="18" customHeight="1">
      <c r="A10" s="748"/>
      <c r="B10" s="768"/>
      <c r="C10" s="768"/>
      <c r="D10" s="768"/>
      <c r="E10" s="768"/>
      <c r="F10" s="768"/>
      <c r="G10" s="768"/>
      <c r="H10" s="771" t="s">
        <v>1563</v>
      </c>
      <c r="I10" s="768"/>
      <c r="J10" s="768"/>
      <c r="K10" s="768"/>
      <c r="L10" s="768"/>
      <c r="M10" s="768"/>
      <c r="N10" s="748"/>
      <c r="O10" s="474"/>
      <c r="P10" s="474"/>
      <c r="Q10" s="474"/>
      <c r="R10" s="474"/>
      <c r="S10" s="474"/>
      <c r="T10" s="474"/>
      <c r="U10" s="779"/>
      <c r="V10" s="768"/>
      <c r="W10" s="768"/>
      <c r="X10" s="768"/>
      <c r="Y10" s="768"/>
      <c r="Z10" s="768"/>
      <c r="AA10" s="768"/>
      <c r="AB10" s="768"/>
      <c r="AC10" s="768"/>
      <c r="AD10" s="768"/>
      <c r="AE10" s="768"/>
    </row>
    <row r="11" spans="1:64" s="520" customFormat="1">
      <c r="A11" s="748"/>
      <c r="B11" s="306"/>
      <c r="C11" s="824">
        <v>1</v>
      </c>
      <c r="D11" s="166"/>
      <c r="E11" s="780" t="str">
        <f>VLOOKUP($J11,TOV!$C$85:$G$217,TOV!$E$1,FALSE)</f>
        <v xml:space="preserve">Disconnect and terminate all services </v>
      </c>
      <c r="F11" s="825"/>
      <c r="G11" s="826"/>
      <c r="H11" s="78"/>
      <c r="I11" s="827" t="str">
        <f>VLOOKUP($J11,TOV!$C$85:$G$217,TOV!$G$1,FALSE)</f>
        <v>Item</v>
      </c>
      <c r="J11" s="828" t="str">
        <f>TOV!$C85</f>
        <v>#3.01</v>
      </c>
      <c r="K11" s="63">
        <f>VLOOKUP($J11,TOV!$C$85:$G$217,TOV!$F$1,FALSE)</f>
        <v>38500</v>
      </c>
      <c r="L11" s="418"/>
      <c r="M11" s="104">
        <f>IF(L11="",K11,L11)*H11</f>
        <v>0</v>
      </c>
      <c r="N11" s="215"/>
      <c r="O11" s="217"/>
      <c r="P11" s="217"/>
      <c r="Q11" s="217"/>
      <c r="R11" s="217"/>
      <c r="S11" s="217"/>
      <c r="T11" s="217"/>
      <c r="U11" s="218"/>
      <c r="V11" s="768"/>
      <c r="W11" s="768"/>
      <c r="X11" s="768"/>
      <c r="Y11" s="768"/>
      <c r="Z11" s="768"/>
      <c r="AA11" s="768"/>
      <c r="AB11" s="768"/>
      <c r="AC11" s="768"/>
      <c r="AD11" s="768"/>
      <c r="AE11" s="768"/>
    </row>
    <row r="12" spans="1:64" s="520" customFormat="1">
      <c r="A12" s="748"/>
      <c r="B12" s="306"/>
      <c r="C12" s="824">
        <v>2</v>
      </c>
      <c r="D12" s="166"/>
      <c r="E12" s="780" t="str">
        <f>VLOOKUP($J12,TOV!$C$85:$G$217,TOV!$E$1,FALSE)</f>
        <v xml:space="preserve">Disconnect and terminate services at remote areas </v>
      </c>
      <c r="F12" s="825"/>
      <c r="G12" s="826"/>
      <c r="H12" s="78"/>
      <c r="I12" s="827" t="str">
        <f>VLOOKUP($J12,TOV!$C$85:$G$217,TOV!$G$1,FALSE)</f>
        <v>Item</v>
      </c>
      <c r="J12" s="828" t="str">
        <f>TOV!$C86</f>
        <v>#3.02</v>
      </c>
      <c r="K12" s="63">
        <f>VLOOKUP($J12,TOV!$C$85:$G$217,TOV!$F$1,FALSE)</f>
        <v>11000</v>
      </c>
      <c r="L12" s="418"/>
      <c r="M12" s="104">
        <f t="shared" ref="M12" si="0">IF(L12="",K12,L12)*H12</f>
        <v>0</v>
      </c>
      <c r="N12" s="215"/>
      <c r="O12" s="217"/>
      <c r="P12" s="217"/>
      <c r="Q12" s="217"/>
      <c r="R12" s="217"/>
      <c r="S12" s="217"/>
      <c r="T12" s="217"/>
      <c r="U12" s="218"/>
      <c r="V12" s="768"/>
      <c r="W12" s="768"/>
      <c r="X12" s="768"/>
      <c r="Y12" s="768"/>
      <c r="Z12" s="768"/>
      <c r="AA12" s="768"/>
      <c r="AB12" s="768"/>
      <c r="AC12" s="768"/>
      <c r="AD12" s="768"/>
      <c r="AE12" s="768"/>
    </row>
    <row r="13" spans="1:64" s="495" customFormat="1" ht="12.75">
      <c r="A13" s="748"/>
      <c r="B13" s="307"/>
      <c r="C13" s="824">
        <v>3</v>
      </c>
      <c r="D13" s="166"/>
      <c r="E13" s="937"/>
      <c r="F13" s="938"/>
      <c r="G13" s="939"/>
      <c r="H13" s="127"/>
      <c r="I13" s="33"/>
      <c r="J13" s="768"/>
      <c r="K13" s="518" t="str">
        <f>IF(AND(H13&gt;0,OR(L13="",L13=0)),"Enter Rate","No alert")</f>
        <v>No alert</v>
      </c>
      <c r="L13" s="418"/>
      <c r="M13" s="104">
        <f>L13*H13</f>
        <v>0</v>
      </c>
      <c r="N13" s="215"/>
      <c r="O13" s="217"/>
      <c r="P13" s="217"/>
      <c r="Q13" s="217"/>
      <c r="R13" s="217"/>
      <c r="S13" s="217"/>
      <c r="T13" s="217"/>
      <c r="U13" s="218"/>
      <c r="V13" s="829"/>
      <c r="W13" s="829"/>
      <c r="X13" s="829"/>
      <c r="Y13" s="829"/>
      <c r="Z13" s="829"/>
      <c r="AA13" s="829"/>
      <c r="AB13" s="829"/>
      <c r="AC13" s="829"/>
      <c r="AH13" s="520"/>
      <c r="BK13" s="520"/>
      <c r="BL13" s="520"/>
    </row>
    <row r="14" spans="1:64" s="495" customFormat="1" ht="12.75">
      <c r="A14" s="748"/>
      <c r="B14" s="307"/>
      <c r="C14" s="824">
        <v>4</v>
      </c>
      <c r="D14" s="166"/>
      <c r="E14" s="937"/>
      <c r="F14" s="938"/>
      <c r="G14" s="939"/>
      <c r="H14" s="127"/>
      <c r="I14" s="33"/>
      <c r="J14" s="768"/>
      <c r="K14" s="518" t="str">
        <f t="shared" ref="K14:K15" si="1">IF(AND(H14&gt;0,OR(L14="",L14=0)),"Enter Rate","No alert")</f>
        <v>No alert</v>
      </c>
      <c r="L14" s="418"/>
      <c r="M14" s="104">
        <f t="shared" ref="M14:M15" si="2">L14*H14</f>
        <v>0</v>
      </c>
      <c r="N14" s="215"/>
      <c r="O14" s="217"/>
      <c r="P14" s="217"/>
      <c r="Q14" s="217"/>
      <c r="R14" s="217"/>
      <c r="S14" s="217"/>
      <c r="T14" s="217"/>
      <c r="U14" s="218"/>
      <c r="V14" s="829"/>
      <c r="W14" s="829"/>
      <c r="X14" s="829"/>
      <c r="Y14" s="829"/>
      <c r="Z14" s="829"/>
      <c r="AA14" s="829"/>
      <c r="AB14" s="829"/>
      <c r="AC14" s="829"/>
      <c r="AH14" s="520"/>
      <c r="BK14" s="520"/>
      <c r="BL14" s="520"/>
    </row>
    <row r="15" spans="1:64" s="495" customFormat="1" ht="12.75">
      <c r="A15" s="748"/>
      <c r="B15" s="307"/>
      <c r="C15" s="824">
        <v>5</v>
      </c>
      <c r="D15" s="166"/>
      <c r="E15" s="937"/>
      <c r="F15" s="938"/>
      <c r="G15" s="939"/>
      <c r="H15" s="127"/>
      <c r="I15" s="33"/>
      <c r="J15" s="768"/>
      <c r="K15" s="518" t="str">
        <f t="shared" si="1"/>
        <v>No alert</v>
      </c>
      <c r="L15" s="418"/>
      <c r="M15" s="104">
        <f t="shared" si="2"/>
        <v>0</v>
      </c>
      <c r="N15" s="215"/>
      <c r="O15" s="217"/>
      <c r="P15" s="217"/>
      <c r="Q15" s="217"/>
      <c r="R15" s="217"/>
      <c r="S15" s="217"/>
      <c r="T15" s="217"/>
      <c r="U15" s="218"/>
      <c r="V15" s="829"/>
      <c r="W15" s="829"/>
      <c r="X15" s="829"/>
      <c r="Y15" s="829"/>
      <c r="Z15" s="829"/>
      <c r="AA15" s="829"/>
      <c r="AB15" s="829"/>
      <c r="AC15" s="829"/>
      <c r="AH15" s="520"/>
      <c r="BK15" s="520"/>
      <c r="BL15" s="520"/>
    </row>
    <row r="16" spans="1:64" s="520" customFormat="1" ht="18" customHeight="1">
      <c r="A16" s="748"/>
      <c r="F16" s="768"/>
      <c r="G16" s="768"/>
      <c r="H16" s="768"/>
      <c r="I16" s="768"/>
      <c r="J16" s="768"/>
      <c r="K16" s="768"/>
      <c r="L16" s="768"/>
      <c r="M16" s="768"/>
      <c r="N16" s="768"/>
      <c r="O16" s="768"/>
      <c r="P16" s="768"/>
      <c r="Q16" s="768"/>
      <c r="R16" s="768"/>
      <c r="S16" s="768"/>
      <c r="T16" s="768"/>
      <c r="U16" s="768"/>
      <c r="V16" s="768"/>
      <c r="W16" s="768"/>
      <c r="X16" s="768"/>
      <c r="Y16" s="768"/>
      <c r="Z16" s="768"/>
      <c r="AA16" s="791"/>
      <c r="AB16" s="791"/>
      <c r="AC16" s="791"/>
      <c r="AD16" s="791"/>
      <c r="AE16" s="768"/>
      <c r="AF16" s="768"/>
      <c r="AG16" s="768"/>
      <c r="AH16" s="768"/>
      <c r="AI16" s="768"/>
      <c r="AJ16" s="768"/>
      <c r="AK16" s="768"/>
    </row>
    <row r="17" spans="1:61" s="520" customFormat="1" ht="18" customHeight="1">
      <c r="A17" s="748"/>
      <c r="E17" s="768"/>
      <c r="F17" s="768"/>
      <c r="G17" s="768"/>
      <c r="H17" s="806">
        <f>SUM(H11:H15)</f>
        <v>0</v>
      </c>
      <c r="I17" s="790" t="s">
        <v>1487</v>
      </c>
      <c r="K17" s="789" t="s">
        <v>75</v>
      </c>
      <c r="L17" s="768"/>
      <c r="M17" s="107">
        <f>SUM(M11:M15)</f>
        <v>0</v>
      </c>
      <c r="N17" s="797">
        <f>IF(H17=0,0,M17/H17)</f>
        <v>0</v>
      </c>
      <c r="O17" s="520" t="str">
        <f>I17</f>
        <v>items</v>
      </c>
      <c r="P17" s="768"/>
      <c r="Q17" s="768"/>
      <c r="R17" s="768"/>
      <c r="S17" s="768"/>
      <c r="T17" s="768"/>
      <c r="U17" s="768"/>
      <c r="V17" s="768"/>
      <c r="W17" s="768"/>
      <c r="X17" s="768"/>
      <c r="AF17" s="768"/>
      <c r="AG17" s="768"/>
      <c r="AH17" s="768"/>
      <c r="AI17" s="768"/>
      <c r="AJ17" s="768"/>
      <c r="AK17" s="768"/>
      <c r="AL17" s="768"/>
      <c r="AM17" s="768"/>
      <c r="AN17" s="768"/>
      <c r="AO17" s="768"/>
      <c r="AP17" s="768"/>
    </row>
    <row r="18" spans="1:61" s="520" customFormat="1" ht="15" customHeight="1">
      <c r="A18" s="748"/>
      <c r="B18" s="287" t="s">
        <v>26</v>
      </c>
      <c r="G18" s="768"/>
      <c r="H18" s="768"/>
      <c r="I18" s="768"/>
      <c r="J18" s="768"/>
      <c r="K18" s="768"/>
      <c r="L18" s="768"/>
      <c r="M18" s="768"/>
      <c r="N18" s="768"/>
      <c r="O18" s="768"/>
      <c r="P18" s="768"/>
      <c r="Q18" s="768"/>
      <c r="R18" s="768"/>
      <c r="S18" s="768"/>
      <c r="T18" s="768"/>
      <c r="U18" s="768"/>
      <c r="V18" s="768"/>
      <c r="W18" s="768"/>
      <c r="X18" s="768"/>
      <c r="AF18" s="768"/>
      <c r="AG18" s="768"/>
      <c r="AH18" s="768"/>
      <c r="AI18" s="768"/>
      <c r="AJ18" s="768"/>
      <c r="AK18" s="768"/>
      <c r="AL18" s="768"/>
      <c r="AM18" s="768"/>
      <c r="AN18" s="768"/>
      <c r="AO18" s="768"/>
      <c r="AP18" s="768"/>
    </row>
    <row r="19" spans="1:61" ht="18" customHeight="1">
      <c r="A19" s="748"/>
      <c r="B19" s="284" t="s">
        <v>1588</v>
      </c>
      <c r="C19" s="820" t="s">
        <v>1589</v>
      </c>
      <c r="D19" s="816"/>
      <c r="E19" s="475"/>
      <c r="F19" s="804"/>
      <c r="Y19" s="474"/>
      <c r="Z19" s="474"/>
      <c r="AA19" s="474"/>
      <c r="AB19" s="474"/>
      <c r="AC19" s="474"/>
      <c r="AD19" s="474"/>
      <c r="AE19" s="474"/>
      <c r="AF19" s="475"/>
      <c r="AG19" s="475"/>
      <c r="AH19" s="475"/>
      <c r="AI19" s="475"/>
      <c r="AJ19" s="475"/>
      <c r="AK19" s="475"/>
      <c r="AL19" s="475"/>
      <c r="AM19" s="475"/>
      <c r="AN19" s="475"/>
      <c r="AO19" s="475"/>
      <c r="AP19" s="475"/>
    </row>
    <row r="20" spans="1:61" s="495" customFormat="1" ht="31.9" customHeight="1">
      <c r="A20" s="748"/>
      <c r="B20" s="774" t="s">
        <v>1517</v>
      </c>
      <c r="C20" s="774" t="s">
        <v>27</v>
      </c>
      <c r="D20" s="774"/>
      <c r="E20" s="812" t="s">
        <v>1590</v>
      </c>
      <c r="F20" s="822"/>
      <c r="G20" s="823"/>
      <c r="H20" s="773" t="s">
        <v>1485</v>
      </c>
      <c r="I20" s="773" t="s">
        <v>2</v>
      </c>
      <c r="J20" s="773" t="s">
        <v>1521</v>
      </c>
      <c r="K20" s="773" t="s">
        <v>1562</v>
      </c>
      <c r="L20" s="773" t="s">
        <v>1586</v>
      </c>
      <c r="M20" s="775" t="s">
        <v>32</v>
      </c>
      <c r="N20" s="776" t="s">
        <v>1526</v>
      </c>
      <c r="O20" s="777"/>
      <c r="P20" s="777"/>
      <c r="Q20" s="777"/>
      <c r="R20" s="777"/>
      <c r="S20" s="777"/>
      <c r="T20" s="777"/>
      <c r="U20" s="778"/>
      <c r="V20" s="793"/>
      <c r="W20" s="793"/>
      <c r="AI20" s="520"/>
      <c r="AJ20" s="520"/>
      <c r="BH20" s="520"/>
      <c r="BI20" s="520"/>
    </row>
    <row r="21" spans="1:61" s="520" customFormat="1" ht="18" customHeight="1">
      <c r="A21" s="748"/>
      <c r="B21" s="768"/>
      <c r="C21" s="768"/>
      <c r="D21" s="768"/>
      <c r="E21" s="768"/>
      <c r="F21" s="768"/>
      <c r="G21" s="768"/>
      <c r="H21" s="768"/>
      <c r="I21" s="830"/>
      <c r="J21" s="768"/>
      <c r="K21" s="768"/>
      <c r="L21" s="768"/>
      <c r="M21" s="768"/>
      <c r="N21" s="748"/>
      <c r="O21" s="474"/>
      <c r="P21" s="474"/>
      <c r="Q21" s="474"/>
      <c r="R21" s="474"/>
      <c r="S21" s="474"/>
      <c r="T21" s="474"/>
      <c r="U21" s="779"/>
      <c r="V21" s="768"/>
      <c r="W21" s="768"/>
      <c r="X21" s="768"/>
      <c r="Y21" s="768"/>
      <c r="Z21" s="768"/>
      <c r="AA21" s="768"/>
      <c r="AB21" s="768"/>
      <c r="AC21" s="768"/>
      <c r="AD21" s="768"/>
      <c r="AE21" s="768"/>
    </row>
    <row r="22" spans="1:61" s="520" customFormat="1">
      <c r="A22" s="748"/>
      <c r="B22" s="307"/>
      <c r="C22" s="824">
        <v>1</v>
      </c>
      <c r="D22" s="166"/>
      <c r="E22" s="780" t="str">
        <f>VLOOKUP($J22,TOV!$C$85:$G$217,TOV!$E$1,FALSE)</f>
        <v>Track, Earthen, No replace, 3 m wide, Pasture</v>
      </c>
      <c r="F22" s="831"/>
      <c r="G22" s="832"/>
      <c r="H22" s="316"/>
      <c r="I22" s="827" t="str">
        <f>VLOOKUP($J22,TOV!$C$85:$G$217,TOV!$G$1,FALSE)</f>
        <v>km</v>
      </c>
      <c r="J22" s="828" t="str">
        <f>TOV!$C87</f>
        <v>#3.03</v>
      </c>
      <c r="K22" s="63">
        <f>VLOOKUP($J22,TOV!$C$85:$G$217,TOV!$F$1,FALSE)</f>
        <v>616.69783722653074</v>
      </c>
      <c r="L22" s="296"/>
      <c r="M22" s="104">
        <f>IF(L22="",K22,L22)*H22</f>
        <v>0</v>
      </c>
      <c r="N22" s="215"/>
      <c r="O22" s="217"/>
      <c r="P22" s="217"/>
      <c r="Q22" s="217"/>
      <c r="R22" s="217"/>
      <c r="S22" s="217"/>
      <c r="T22" s="217"/>
      <c r="U22" s="218"/>
      <c r="V22" s="768"/>
      <c r="W22" s="768"/>
      <c r="X22" s="768"/>
      <c r="Y22" s="768"/>
      <c r="Z22" s="768"/>
      <c r="AA22" s="768"/>
      <c r="AB22" s="768"/>
      <c r="AC22" s="768"/>
      <c r="AD22" s="768"/>
      <c r="AE22" s="768"/>
    </row>
    <row r="23" spans="1:61" s="520" customFormat="1">
      <c r="A23" s="748"/>
      <c r="B23" s="307"/>
      <c r="C23" s="824">
        <f t="shared" ref="C23:C42" si="3">C22+1</f>
        <v>2</v>
      </c>
      <c r="D23" s="166"/>
      <c r="E23" s="780" t="str">
        <f>VLOOKUP($J23,TOV!$C$85:$G$217,TOV!$E$1,FALSE)</f>
        <v>Track, Earthen, No replace, 3 m wide, Native</v>
      </c>
      <c r="F23" s="833"/>
      <c r="G23" s="834"/>
      <c r="H23" s="316"/>
      <c r="I23" s="827" t="str">
        <f>VLOOKUP($J23,TOV!$C$85:$G$217,TOV!$G$1,FALSE)</f>
        <v>km</v>
      </c>
      <c r="J23" s="828" t="str">
        <f>TOV!$C88</f>
        <v>#3.04</v>
      </c>
      <c r="K23" s="63">
        <f>VLOOKUP($J23,TOV!$C$85:$G$217,TOV!$F$1,FALSE)</f>
        <v>1378.9978372265309</v>
      </c>
      <c r="L23" s="296"/>
      <c r="M23" s="104">
        <f t="shared" ref="M23:M39" si="4">IF(L23="",K23,L23)*H23</f>
        <v>0</v>
      </c>
      <c r="N23" s="215"/>
      <c r="O23" s="217"/>
      <c r="P23" s="217"/>
      <c r="Q23" s="217"/>
      <c r="R23" s="217"/>
      <c r="S23" s="217"/>
      <c r="T23" s="217"/>
      <c r="U23" s="218"/>
      <c r="V23" s="768"/>
      <c r="W23" s="768"/>
      <c r="X23" s="768"/>
      <c r="Y23" s="768"/>
      <c r="Z23" s="768"/>
      <c r="AA23" s="768"/>
      <c r="AB23" s="768"/>
      <c r="AC23" s="768"/>
      <c r="AD23" s="768"/>
      <c r="AE23" s="768"/>
    </row>
    <row r="24" spans="1:61" s="520" customFormat="1">
      <c r="A24" s="748"/>
      <c r="B24" s="307"/>
      <c r="C24" s="824">
        <f t="shared" si="3"/>
        <v>3</v>
      </c>
      <c r="D24" s="166"/>
      <c r="E24" s="780" t="str">
        <f>VLOOKUP($J24,TOV!$C$85:$G$217,TOV!$E$1,FALSE)</f>
        <v>Track, Earthen, No replace, 3 m wide, Arid</v>
      </c>
      <c r="F24" s="833"/>
      <c r="G24" s="834"/>
      <c r="H24" s="316"/>
      <c r="I24" s="827" t="str">
        <f>VLOOKUP($J24,TOV!$C$85:$G$217,TOV!$G$1,FALSE)</f>
        <v>km</v>
      </c>
      <c r="J24" s="828" t="str">
        <f>TOV!$C89</f>
        <v>#3.05</v>
      </c>
      <c r="K24" s="63">
        <f>VLOOKUP($J24,TOV!$C$85:$G$217,TOV!$F$1,FALSE)</f>
        <v>120.04783722653082</v>
      </c>
      <c r="L24" s="296"/>
      <c r="M24" s="104">
        <f t="shared" si="4"/>
        <v>0</v>
      </c>
      <c r="N24" s="215"/>
      <c r="O24" s="217"/>
      <c r="P24" s="217"/>
      <c r="Q24" s="217"/>
      <c r="R24" s="217"/>
      <c r="S24" s="217"/>
      <c r="T24" s="217"/>
      <c r="U24" s="218"/>
      <c r="V24" s="768"/>
      <c r="W24" s="768"/>
      <c r="X24" s="768"/>
      <c r="Y24" s="768"/>
      <c r="Z24" s="768"/>
      <c r="AA24" s="768"/>
      <c r="AB24" s="768"/>
      <c r="AC24" s="768"/>
      <c r="AD24" s="768"/>
      <c r="AE24" s="768"/>
    </row>
    <row r="25" spans="1:61" s="520" customFormat="1">
      <c r="A25" s="748"/>
      <c r="B25" s="307"/>
      <c r="C25" s="824">
        <f t="shared" si="3"/>
        <v>4</v>
      </c>
      <c r="D25" s="166"/>
      <c r="E25" s="780" t="str">
        <f>VLOOKUP($J25,TOV!$C$85:$G$217,TOV!$E$1,FALSE)</f>
        <v>Track, Earthen, No replace, 6 m wide, Pasture</v>
      </c>
      <c r="F25" s="833"/>
      <c r="G25" s="834"/>
      <c r="H25" s="316"/>
      <c r="I25" s="827" t="str">
        <f>VLOOKUP($J25,TOV!$C$85:$G$217,TOV!$G$1,FALSE)</f>
        <v>km</v>
      </c>
      <c r="J25" s="828" t="str">
        <f>TOV!$C90</f>
        <v>#3.06</v>
      </c>
      <c r="K25" s="63">
        <f>VLOOKUP($J25,TOV!$C$85:$G$217,TOV!$F$1,FALSE)</f>
        <v>1233.3956744530615</v>
      </c>
      <c r="L25" s="296"/>
      <c r="M25" s="104">
        <f t="shared" si="4"/>
        <v>0</v>
      </c>
      <c r="N25" s="215"/>
      <c r="O25" s="217"/>
      <c r="P25" s="217"/>
      <c r="Q25" s="217"/>
      <c r="R25" s="217"/>
      <c r="S25" s="217"/>
      <c r="T25" s="217"/>
      <c r="U25" s="218"/>
      <c r="V25" s="768"/>
      <c r="W25" s="768"/>
      <c r="X25" s="768"/>
      <c r="Y25" s="768"/>
      <c r="Z25" s="768"/>
      <c r="AA25" s="768"/>
      <c r="AB25" s="768"/>
      <c r="AC25" s="768"/>
      <c r="AD25" s="768"/>
      <c r="AE25" s="768"/>
    </row>
    <row r="26" spans="1:61" s="520" customFormat="1">
      <c r="A26" s="748"/>
      <c r="B26" s="307"/>
      <c r="C26" s="824">
        <f t="shared" si="3"/>
        <v>5</v>
      </c>
      <c r="D26" s="166"/>
      <c r="E26" s="780" t="str">
        <f>VLOOKUP($J26,TOV!$C$85:$G$217,TOV!$E$1,FALSE)</f>
        <v>Track, Earthen, No replace, 6 m wide, Native</v>
      </c>
      <c r="F26" s="833"/>
      <c r="G26" s="834"/>
      <c r="H26" s="316"/>
      <c r="I26" s="827" t="str">
        <f>VLOOKUP($J26,TOV!$C$85:$G$217,TOV!$G$1,FALSE)</f>
        <v>km</v>
      </c>
      <c r="J26" s="828" t="str">
        <f>TOV!$C91</f>
        <v>#3.07</v>
      </c>
      <c r="K26" s="63">
        <f>VLOOKUP($J26,TOV!$C$85:$G$217,TOV!$F$1,FALSE)</f>
        <v>2757.9956744530618</v>
      </c>
      <c r="L26" s="296"/>
      <c r="M26" s="104">
        <f t="shared" si="4"/>
        <v>0</v>
      </c>
      <c r="N26" s="215"/>
      <c r="O26" s="217"/>
      <c r="P26" s="217"/>
      <c r="Q26" s="217"/>
      <c r="R26" s="217"/>
      <c r="S26" s="217"/>
      <c r="T26" s="217"/>
      <c r="U26" s="218"/>
      <c r="V26" s="768"/>
      <c r="W26" s="768"/>
      <c r="X26" s="768"/>
      <c r="Y26" s="768"/>
      <c r="Z26" s="768"/>
      <c r="AA26" s="768"/>
      <c r="AB26" s="768"/>
      <c r="AC26" s="768"/>
      <c r="AD26" s="768"/>
      <c r="AE26" s="768"/>
    </row>
    <row r="27" spans="1:61" s="520" customFormat="1">
      <c r="A27" s="748"/>
      <c r="B27" s="307"/>
      <c r="C27" s="824">
        <f t="shared" si="3"/>
        <v>6</v>
      </c>
      <c r="D27" s="166"/>
      <c r="E27" s="780" t="str">
        <f>VLOOKUP($J27,TOV!$C$85:$G$217,TOV!$E$1,FALSE)</f>
        <v>Track, Earthen, No replace, 6 m wide, Arid</v>
      </c>
      <c r="F27" s="833"/>
      <c r="G27" s="834"/>
      <c r="H27" s="316"/>
      <c r="I27" s="827" t="str">
        <f>VLOOKUP($J27,TOV!$C$85:$G$217,TOV!$G$1,FALSE)</f>
        <v>km</v>
      </c>
      <c r="J27" s="828" t="str">
        <f>TOV!$C92</f>
        <v>#3.08</v>
      </c>
      <c r="K27" s="63">
        <f>VLOOKUP($J27,TOV!$C$85:$G$217,TOV!$F$1,FALSE)</f>
        <v>240.09567445306163</v>
      </c>
      <c r="L27" s="296"/>
      <c r="M27" s="104">
        <f t="shared" si="4"/>
        <v>0</v>
      </c>
      <c r="N27" s="215"/>
      <c r="O27" s="217"/>
      <c r="P27" s="217"/>
      <c r="Q27" s="217"/>
      <c r="R27" s="217"/>
      <c r="S27" s="217"/>
      <c r="T27" s="217"/>
      <c r="U27" s="218"/>
      <c r="V27" s="768"/>
      <c r="W27" s="768"/>
      <c r="X27" s="768"/>
      <c r="Y27" s="768"/>
      <c r="Z27" s="768"/>
      <c r="AA27" s="768"/>
      <c r="AB27" s="768"/>
      <c r="AC27" s="768"/>
      <c r="AD27" s="768"/>
      <c r="AE27" s="768"/>
    </row>
    <row r="28" spans="1:61" s="520" customFormat="1">
      <c r="A28" s="748"/>
      <c r="B28" s="307"/>
      <c r="C28" s="824">
        <f t="shared" si="3"/>
        <v>7</v>
      </c>
      <c r="D28" s="166"/>
      <c r="E28" s="780" t="str">
        <f>VLOOKUP($J28,TOV!$C$85:$G$217,TOV!$E$1,FALSE)</f>
        <v>Track, Rock, No replace, 3 m wide, Pasture</v>
      </c>
      <c r="F28" s="833"/>
      <c r="G28" s="834"/>
      <c r="H28" s="316"/>
      <c r="I28" s="827" t="str">
        <f>VLOOKUP($J28,TOV!$C$85:$G$217,TOV!$G$1,FALSE)</f>
        <v>km</v>
      </c>
      <c r="J28" s="828" t="str">
        <f>TOV!$C93</f>
        <v>#3.09</v>
      </c>
      <c r="K28" s="63">
        <f>VLOOKUP($J28,TOV!$C$85:$G$217,TOV!$F$1,FALSE)</f>
        <v>2467.4638072334947</v>
      </c>
      <c r="L28" s="296"/>
      <c r="M28" s="104">
        <f t="shared" si="4"/>
        <v>0</v>
      </c>
      <c r="N28" s="215"/>
      <c r="O28" s="217"/>
      <c r="P28" s="217"/>
      <c r="Q28" s="217"/>
      <c r="R28" s="217"/>
      <c r="S28" s="217"/>
      <c r="T28" s="217"/>
      <c r="U28" s="218"/>
      <c r="V28" s="768"/>
      <c r="W28" s="768"/>
      <c r="X28" s="768"/>
      <c r="Y28" s="768"/>
      <c r="Z28" s="768"/>
      <c r="AA28" s="768"/>
      <c r="AB28" s="768"/>
      <c r="AC28" s="768"/>
      <c r="AD28" s="768"/>
      <c r="AE28" s="768"/>
    </row>
    <row r="29" spans="1:61" s="520" customFormat="1">
      <c r="A29" s="748"/>
      <c r="B29" s="307"/>
      <c r="C29" s="824">
        <f t="shared" si="3"/>
        <v>8</v>
      </c>
      <c r="D29" s="166"/>
      <c r="E29" s="780" t="str">
        <f>VLOOKUP($J29,TOV!$C$85:$G$217,TOV!$E$1,FALSE)</f>
        <v>Track, Rock, No replace, 3 m wide, Native</v>
      </c>
      <c r="F29" s="833"/>
      <c r="G29" s="834"/>
      <c r="H29" s="316"/>
      <c r="I29" s="827" t="str">
        <f>VLOOKUP($J29,TOV!$C$85:$G$217,TOV!$G$1,FALSE)</f>
        <v>km</v>
      </c>
      <c r="J29" s="828" t="str">
        <f>TOV!$C94</f>
        <v>#3.10</v>
      </c>
      <c r="K29" s="63">
        <f>VLOOKUP($J29,TOV!$C$85:$G$217,TOV!$F$1,FALSE)</f>
        <v>3229.7638072334948</v>
      </c>
      <c r="L29" s="296"/>
      <c r="M29" s="104">
        <f t="shared" si="4"/>
        <v>0</v>
      </c>
      <c r="N29" s="215"/>
      <c r="O29" s="217"/>
      <c r="P29" s="217"/>
      <c r="Q29" s="217"/>
      <c r="R29" s="217"/>
      <c r="S29" s="217"/>
      <c r="T29" s="217"/>
      <c r="U29" s="218"/>
      <c r="V29" s="768"/>
      <c r="W29" s="768"/>
      <c r="X29" s="768"/>
      <c r="Y29" s="768"/>
      <c r="Z29" s="768"/>
      <c r="AA29" s="768"/>
      <c r="AB29" s="768"/>
      <c r="AC29" s="768"/>
      <c r="AD29" s="768"/>
      <c r="AE29" s="768"/>
    </row>
    <row r="30" spans="1:61" s="520" customFormat="1">
      <c r="A30" s="748"/>
      <c r="B30" s="307"/>
      <c r="C30" s="824">
        <f t="shared" si="3"/>
        <v>9</v>
      </c>
      <c r="D30" s="166"/>
      <c r="E30" s="780" t="str">
        <f>VLOOKUP($J30,TOV!$C$85:$G$217,TOV!$E$1,FALSE)</f>
        <v>Track, Rock, No replace, 3 m wide, Arid</v>
      </c>
      <c r="F30" s="833"/>
      <c r="G30" s="834"/>
      <c r="H30" s="316"/>
      <c r="I30" s="827" t="str">
        <f>VLOOKUP($J30,TOV!$C$85:$G$217,TOV!$G$1,FALSE)</f>
        <v>km</v>
      </c>
      <c r="J30" s="828" t="str">
        <f>TOV!$C95</f>
        <v>#3.11</v>
      </c>
      <c r="K30" s="63">
        <f>VLOOKUP($J30,TOV!$C$85:$G$217,TOV!$F$1,FALSE)</f>
        <v>1970.8138072334946</v>
      </c>
      <c r="L30" s="296"/>
      <c r="M30" s="104">
        <f t="shared" si="4"/>
        <v>0</v>
      </c>
      <c r="N30" s="215"/>
      <c r="O30" s="217"/>
      <c r="P30" s="217"/>
      <c r="Q30" s="217"/>
      <c r="R30" s="217"/>
      <c r="S30" s="217"/>
      <c r="T30" s="217"/>
      <c r="U30" s="218"/>
      <c r="V30" s="768"/>
      <c r="W30" s="768"/>
      <c r="X30" s="768"/>
      <c r="Y30" s="768"/>
      <c r="Z30" s="768"/>
      <c r="AA30" s="768"/>
      <c r="AB30" s="768"/>
      <c r="AC30" s="768"/>
      <c r="AD30" s="768"/>
      <c r="AE30" s="768"/>
    </row>
    <row r="31" spans="1:61" s="520" customFormat="1">
      <c r="A31" s="748"/>
      <c r="B31" s="307"/>
      <c r="C31" s="824">
        <f t="shared" si="3"/>
        <v>10</v>
      </c>
      <c r="D31" s="166"/>
      <c r="E31" s="780" t="str">
        <f>VLOOKUP($J31,TOV!$C$85:$G$217,TOV!$E$1,FALSE)</f>
        <v>Track, Rock, No replace, 6 m wide, Pasture</v>
      </c>
      <c r="F31" s="833"/>
      <c r="G31" s="834"/>
      <c r="H31" s="316"/>
      <c r="I31" s="827" t="str">
        <f>VLOOKUP($J31,TOV!$C$85:$G$217,TOV!$G$1,FALSE)</f>
        <v>km</v>
      </c>
      <c r="J31" s="828" t="str">
        <f>TOV!$C96</f>
        <v>#3.12</v>
      </c>
      <c r="K31" s="63">
        <f>VLOOKUP($J31,TOV!$C$85:$G$217,TOV!$F$1,FALSE)</f>
        <v>4934.9276144669893</v>
      </c>
      <c r="L31" s="296"/>
      <c r="M31" s="104">
        <f t="shared" si="4"/>
        <v>0</v>
      </c>
      <c r="N31" s="215"/>
      <c r="O31" s="217"/>
      <c r="P31" s="217"/>
      <c r="Q31" s="217"/>
      <c r="R31" s="217"/>
      <c r="S31" s="217"/>
      <c r="T31" s="217"/>
      <c r="U31" s="218"/>
      <c r="V31" s="768"/>
      <c r="W31" s="768"/>
      <c r="X31" s="768"/>
      <c r="Y31" s="768"/>
      <c r="Z31" s="768"/>
      <c r="AA31" s="768"/>
      <c r="AB31" s="768"/>
      <c r="AC31" s="768"/>
      <c r="AD31" s="768"/>
      <c r="AE31" s="768"/>
    </row>
    <row r="32" spans="1:61" s="520" customFormat="1">
      <c r="A32" s="748"/>
      <c r="B32" s="307"/>
      <c r="C32" s="824">
        <f t="shared" si="3"/>
        <v>11</v>
      </c>
      <c r="D32" s="166"/>
      <c r="E32" s="780" t="str">
        <f>VLOOKUP($J32,TOV!$C$85:$G$217,TOV!$E$1,FALSE)</f>
        <v>Track, Rock, No replace, 6 m wide, Native</v>
      </c>
      <c r="F32" s="833"/>
      <c r="G32" s="834"/>
      <c r="H32" s="316"/>
      <c r="I32" s="827" t="str">
        <f>VLOOKUP($J32,TOV!$C$85:$G$217,TOV!$G$1,FALSE)</f>
        <v>km</v>
      </c>
      <c r="J32" s="828" t="str">
        <f>TOV!$C97</f>
        <v>#3.13</v>
      </c>
      <c r="K32" s="63">
        <f>VLOOKUP($J32,TOV!$C$85:$G$217,TOV!$F$1,FALSE)</f>
        <v>6459.5276144669897</v>
      </c>
      <c r="L32" s="296"/>
      <c r="M32" s="104">
        <f t="shared" si="4"/>
        <v>0</v>
      </c>
      <c r="N32" s="215"/>
      <c r="O32" s="217"/>
      <c r="P32" s="217"/>
      <c r="Q32" s="217"/>
      <c r="R32" s="217"/>
      <c r="S32" s="217"/>
      <c r="T32" s="217"/>
      <c r="U32" s="218"/>
      <c r="V32" s="768"/>
      <c r="W32" s="768"/>
      <c r="X32" s="768"/>
      <c r="Y32" s="768"/>
      <c r="Z32" s="768"/>
      <c r="AA32" s="768"/>
      <c r="AB32" s="768"/>
      <c r="AC32" s="768"/>
      <c r="AD32" s="768"/>
      <c r="AE32" s="768"/>
    </row>
    <row r="33" spans="1:64" s="520" customFormat="1">
      <c r="A33" s="748"/>
      <c r="B33" s="307"/>
      <c r="C33" s="824">
        <f t="shared" si="3"/>
        <v>12</v>
      </c>
      <c r="D33" s="166"/>
      <c r="E33" s="780" t="str">
        <f>VLOOKUP($J33,TOV!$C$85:$G$217,TOV!$E$1,FALSE)</f>
        <v>Track, Rock, No replace, 6 m wide, Arid</v>
      </c>
      <c r="F33" s="833"/>
      <c r="G33" s="834"/>
      <c r="H33" s="316"/>
      <c r="I33" s="827" t="str">
        <f>VLOOKUP($J33,TOV!$C$85:$G$217,TOV!$G$1,FALSE)</f>
        <v>km</v>
      </c>
      <c r="J33" s="828" t="str">
        <f>TOV!$C98</f>
        <v>#3.14</v>
      </c>
      <c r="K33" s="63">
        <f>VLOOKUP($J33,TOV!$C$85:$G$217,TOV!$F$1,FALSE)</f>
        <v>3941.6276144669891</v>
      </c>
      <c r="L33" s="296"/>
      <c r="M33" s="104">
        <f t="shared" si="4"/>
        <v>0</v>
      </c>
      <c r="N33" s="215"/>
      <c r="O33" s="217"/>
      <c r="P33" s="217"/>
      <c r="Q33" s="217"/>
      <c r="R33" s="217"/>
      <c r="S33" s="217"/>
      <c r="T33" s="217"/>
      <c r="U33" s="218"/>
      <c r="V33" s="768"/>
      <c r="W33" s="768"/>
      <c r="X33" s="768"/>
      <c r="Y33" s="768"/>
      <c r="Z33" s="768"/>
      <c r="AA33" s="768"/>
      <c r="AB33" s="768"/>
      <c r="AC33" s="768"/>
      <c r="AD33" s="768"/>
      <c r="AE33" s="768"/>
    </row>
    <row r="34" spans="1:64" s="520" customFormat="1">
      <c r="A34" s="748"/>
      <c r="B34" s="307"/>
      <c r="C34" s="824">
        <f t="shared" si="3"/>
        <v>13</v>
      </c>
      <c r="D34" s="166"/>
      <c r="E34" s="780" t="str">
        <f>VLOOKUP($J34,TOV!$C$85:$G$217,TOV!$E$1,FALSE)</f>
        <v>Track, Rock, Replace rock, 3 m wide, Pasture</v>
      </c>
      <c r="F34" s="833"/>
      <c r="G34" s="834"/>
      <c r="H34" s="316"/>
      <c r="I34" s="827" t="str">
        <f>VLOOKUP($J34,TOV!$C$85:$G$217,TOV!$G$1,FALSE)</f>
        <v>km</v>
      </c>
      <c r="J34" s="828" t="str">
        <f>TOV!$C99</f>
        <v>#3.15</v>
      </c>
      <c r="K34" s="63">
        <f>VLOOKUP($J34,TOV!$C$85:$G$217,TOV!$F$1,FALSE)</f>
        <v>4159.5031320458438</v>
      </c>
      <c r="L34" s="296"/>
      <c r="M34" s="104">
        <f t="shared" si="4"/>
        <v>0</v>
      </c>
      <c r="N34" s="215"/>
      <c r="O34" s="217"/>
      <c r="P34" s="217"/>
      <c r="Q34" s="217"/>
      <c r="R34" s="217"/>
      <c r="S34" s="217"/>
      <c r="T34" s="217"/>
      <c r="U34" s="218"/>
      <c r="V34" s="768"/>
      <c r="W34" s="768"/>
      <c r="X34" s="768"/>
      <c r="Y34" s="768"/>
      <c r="Z34" s="768"/>
      <c r="AA34" s="768"/>
      <c r="AB34" s="768"/>
      <c r="AC34" s="768"/>
      <c r="AD34" s="768"/>
      <c r="AE34" s="768"/>
    </row>
    <row r="35" spans="1:64" s="520" customFormat="1">
      <c r="A35" s="748"/>
      <c r="B35" s="307"/>
      <c r="C35" s="824">
        <f t="shared" si="3"/>
        <v>14</v>
      </c>
      <c r="D35" s="166"/>
      <c r="E35" s="780" t="str">
        <f>VLOOKUP($J35,TOV!$C$85:$G$217,TOV!$E$1,FALSE)</f>
        <v>Track, Rock, Replace rock, 3 m wide, Native</v>
      </c>
      <c r="F35" s="833"/>
      <c r="G35" s="834"/>
      <c r="H35" s="316"/>
      <c r="I35" s="827" t="str">
        <f>VLOOKUP($J35,TOV!$C$85:$G$217,TOV!$G$1,FALSE)</f>
        <v>km</v>
      </c>
      <c r="J35" s="828" t="str">
        <f>TOV!$C100</f>
        <v>#3.16</v>
      </c>
      <c r="K35" s="63">
        <f>VLOOKUP($J35,TOV!$C$85:$G$217,TOV!$F$1,FALSE)</f>
        <v>4159.5031320458438</v>
      </c>
      <c r="L35" s="296"/>
      <c r="M35" s="104">
        <f t="shared" si="4"/>
        <v>0</v>
      </c>
      <c r="N35" s="215"/>
      <c r="O35" s="217"/>
      <c r="P35" s="217"/>
      <c r="Q35" s="217"/>
      <c r="R35" s="217"/>
      <c r="S35" s="217"/>
      <c r="T35" s="217"/>
      <c r="U35" s="218"/>
      <c r="V35" s="768"/>
      <c r="W35" s="768"/>
      <c r="X35" s="768"/>
      <c r="Y35" s="768"/>
      <c r="Z35" s="768"/>
      <c r="AA35" s="768"/>
      <c r="AB35" s="768"/>
      <c r="AC35" s="768"/>
      <c r="AD35" s="768"/>
      <c r="AE35" s="768"/>
    </row>
    <row r="36" spans="1:64" s="520" customFormat="1">
      <c r="A36" s="748"/>
      <c r="B36" s="307"/>
      <c r="C36" s="824">
        <f t="shared" si="3"/>
        <v>15</v>
      </c>
      <c r="D36" s="166"/>
      <c r="E36" s="780" t="str">
        <f>VLOOKUP($J36,TOV!$C$85:$G$217,TOV!$E$1,FALSE)</f>
        <v>Track, Rock, Replace rock, 3 m wide, Arid</v>
      </c>
      <c r="F36" s="833"/>
      <c r="G36" s="834"/>
      <c r="H36" s="316"/>
      <c r="I36" s="827" t="str">
        <f>VLOOKUP($J36,TOV!$C$85:$G$217,TOV!$G$1,FALSE)</f>
        <v>km</v>
      </c>
      <c r="J36" s="828" t="str">
        <f>TOV!$C101</f>
        <v>#3.17</v>
      </c>
      <c r="K36" s="63">
        <f>VLOOKUP($J36,TOV!$C$85:$G$217,TOV!$F$1,FALSE)</f>
        <v>4159.5031320458438</v>
      </c>
      <c r="L36" s="296"/>
      <c r="M36" s="104">
        <f t="shared" si="4"/>
        <v>0</v>
      </c>
      <c r="N36" s="215"/>
      <c r="O36" s="217"/>
      <c r="P36" s="217"/>
      <c r="Q36" s="217"/>
      <c r="R36" s="217"/>
      <c r="S36" s="217"/>
      <c r="T36" s="217"/>
      <c r="U36" s="218"/>
      <c r="V36" s="768"/>
      <c r="W36" s="768"/>
      <c r="X36" s="768"/>
      <c r="Y36" s="768"/>
      <c r="Z36" s="768"/>
      <c r="AA36" s="768"/>
      <c r="AB36" s="768"/>
      <c r="AC36" s="768"/>
      <c r="AD36" s="768"/>
      <c r="AE36" s="768"/>
    </row>
    <row r="37" spans="1:64" s="520" customFormat="1">
      <c r="A37" s="748"/>
      <c r="B37" s="307"/>
      <c r="C37" s="824">
        <f t="shared" si="3"/>
        <v>16</v>
      </c>
      <c r="D37" s="166"/>
      <c r="E37" s="780" t="str">
        <f>VLOOKUP($J37,TOV!$C$85:$G$217,TOV!$E$1,FALSE)</f>
        <v>Track, Rock, Replace rock, 6 m wide, Pasture</v>
      </c>
      <c r="F37" s="833"/>
      <c r="G37" s="834"/>
      <c r="H37" s="316"/>
      <c r="I37" s="827" t="str">
        <f>VLOOKUP($J37,TOV!$C$85:$G$217,TOV!$G$1,FALSE)</f>
        <v>km</v>
      </c>
      <c r="J37" s="828" t="str">
        <f>TOV!$C102</f>
        <v>#3.18</v>
      </c>
      <c r="K37" s="63">
        <f>VLOOKUP($J37,TOV!$C$85:$G$217,TOV!$F$1,FALSE)</f>
        <v>8319.0062640916876</v>
      </c>
      <c r="L37" s="296"/>
      <c r="M37" s="104">
        <f t="shared" si="4"/>
        <v>0</v>
      </c>
      <c r="N37" s="215"/>
      <c r="O37" s="217"/>
      <c r="P37" s="217"/>
      <c r="Q37" s="217"/>
      <c r="R37" s="217"/>
      <c r="S37" s="217"/>
      <c r="T37" s="217"/>
      <c r="U37" s="218"/>
      <c r="V37" s="768"/>
      <c r="W37" s="768"/>
      <c r="X37" s="768"/>
      <c r="Y37" s="768"/>
      <c r="Z37" s="768"/>
      <c r="AA37" s="768"/>
      <c r="AB37" s="768"/>
      <c r="AC37" s="768"/>
      <c r="AD37" s="768"/>
      <c r="AE37" s="768"/>
    </row>
    <row r="38" spans="1:64" s="520" customFormat="1">
      <c r="A38" s="748"/>
      <c r="B38" s="307"/>
      <c r="C38" s="824">
        <f t="shared" si="3"/>
        <v>17</v>
      </c>
      <c r="D38" s="166"/>
      <c r="E38" s="780" t="str">
        <f>VLOOKUP($J38,TOV!$C$85:$G$217,TOV!$E$1,FALSE)</f>
        <v>Track, Rock, Replace rock, 6 m wide, Native</v>
      </c>
      <c r="F38" s="833"/>
      <c r="G38" s="834"/>
      <c r="H38" s="316"/>
      <c r="I38" s="827" t="str">
        <f>VLOOKUP($J38,TOV!$C$85:$G$217,TOV!$G$1,FALSE)</f>
        <v>km</v>
      </c>
      <c r="J38" s="828" t="str">
        <f>TOV!$C103</f>
        <v>#3.19</v>
      </c>
      <c r="K38" s="63">
        <f>VLOOKUP($J38,TOV!$C$85:$G$217,TOV!$F$1,FALSE)</f>
        <v>8319.0062640916876</v>
      </c>
      <c r="L38" s="296"/>
      <c r="M38" s="104">
        <f t="shared" si="4"/>
        <v>0</v>
      </c>
      <c r="N38" s="215"/>
      <c r="O38" s="217"/>
      <c r="P38" s="217"/>
      <c r="Q38" s="217"/>
      <c r="R38" s="217"/>
      <c r="S38" s="217"/>
      <c r="T38" s="217"/>
      <c r="U38" s="218"/>
      <c r="V38" s="768"/>
      <c r="W38" s="768"/>
      <c r="X38" s="768"/>
      <c r="Y38" s="768"/>
      <c r="Z38" s="768"/>
      <c r="AA38" s="768"/>
      <c r="AB38" s="768"/>
      <c r="AC38" s="768"/>
      <c r="AD38" s="768"/>
      <c r="AE38" s="768"/>
    </row>
    <row r="39" spans="1:64" s="520" customFormat="1">
      <c r="A39" s="748"/>
      <c r="B39" s="307"/>
      <c r="C39" s="824">
        <f t="shared" si="3"/>
        <v>18</v>
      </c>
      <c r="D39" s="166"/>
      <c r="E39" s="780" t="str">
        <f>VLOOKUP($J39,TOV!$C$85:$G$217,TOV!$E$1,FALSE)</f>
        <v>Track, Rock, Replace rock, 6 m wide, Arid</v>
      </c>
      <c r="F39" s="833"/>
      <c r="G39" s="834"/>
      <c r="H39" s="316"/>
      <c r="I39" s="827" t="str">
        <f>VLOOKUP($J39,TOV!$C$85:$G$217,TOV!$G$1,FALSE)</f>
        <v>km</v>
      </c>
      <c r="J39" s="828" t="str">
        <f>TOV!$C104</f>
        <v>#3.20</v>
      </c>
      <c r="K39" s="63">
        <f>VLOOKUP($J39,TOV!$C$85:$G$217,TOV!$F$1,FALSE)</f>
        <v>8319.0062640916876</v>
      </c>
      <c r="L39" s="296"/>
      <c r="M39" s="104">
        <f t="shared" si="4"/>
        <v>0</v>
      </c>
      <c r="N39" s="215"/>
      <c r="O39" s="217"/>
      <c r="P39" s="217"/>
      <c r="Q39" s="217"/>
      <c r="R39" s="217"/>
      <c r="S39" s="217"/>
      <c r="T39" s="217"/>
      <c r="U39" s="218"/>
      <c r="V39" s="768"/>
      <c r="W39" s="768"/>
      <c r="X39" s="768"/>
      <c r="Y39" s="768"/>
      <c r="Z39" s="768"/>
      <c r="AA39" s="768"/>
      <c r="AB39" s="768"/>
      <c r="AC39" s="768"/>
      <c r="AD39" s="768"/>
      <c r="AE39" s="768"/>
    </row>
    <row r="40" spans="1:64" s="495" customFormat="1" ht="12.75">
      <c r="A40" s="748"/>
      <c r="B40" s="307"/>
      <c r="C40" s="824">
        <f t="shared" si="3"/>
        <v>19</v>
      </c>
      <c r="D40" s="166"/>
      <c r="E40" s="937"/>
      <c r="F40" s="938"/>
      <c r="G40" s="939"/>
      <c r="H40" s="321"/>
      <c r="I40" s="835" t="s">
        <v>24</v>
      </c>
      <c r="J40" s="768"/>
      <c r="K40" s="518" t="str">
        <f>IF(AND(H40&gt;0,OR(L40="",L40=0)),"Enter Rate","No alert")</f>
        <v>No alert</v>
      </c>
      <c r="L40" s="296"/>
      <c r="M40" s="104">
        <f>L40*H40</f>
        <v>0</v>
      </c>
      <c r="N40" s="215"/>
      <c r="O40" s="217"/>
      <c r="P40" s="217"/>
      <c r="Q40" s="217"/>
      <c r="R40" s="217"/>
      <c r="S40" s="217"/>
      <c r="T40" s="217"/>
      <c r="U40" s="218"/>
      <c r="V40" s="520"/>
      <c r="W40" s="520"/>
      <c r="X40" s="520"/>
      <c r="Y40" s="520"/>
      <c r="Z40" s="520"/>
      <c r="AA40" s="520"/>
      <c r="AB40" s="520"/>
      <c r="AC40" s="520"/>
      <c r="AH40" s="520"/>
      <c r="BK40" s="520"/>
      <c r="BL40" s="520"/>
    </row>
    <row r="41" spans="1:64" s="495" customFormat="1" ht="12.75">
      <c r="A41" s="748"/>
      <c r="B41" s="307"/>
      <c r="C41" s="824">
        <f t="shared" si="3"/>
        <v>20</v>
      </c>
      <c r="D41" s="166"/>
      <c r="E41" s="937"/>
      <c r="F41" s="938"/>
      <c r="G41" s="939"/>
      <c r="H41" s="321"/>
      <c r="I41" s="835" t="s">
        <v>24</v>
      </c>
      <c r="J41" s="768"/>
      <c r="K41" s="518" t="str">
        <f t="shared" ref="K41:K42" si="5">IF(AND(H41&gt;0,OR(L41="",L41=0)),"Enter Rate","No alert")</f>
        <v>No alert</v>
      </c>
      <c r="L41" s="296"/>
      <c r="M41" s="104">
        <f t="shared" ref="M41:M42" si="6">L41*H41</f>
        <v>0</v>
      </c>
      <c r="N41" s="215"/>
      <c r="O41" s="217"/>
      <c r="P41" s="217"/>
      <c r="Q41" s="217"/>
      <c r="R41" s="217"/>
      <c r="S41" s="217"/>
      <c r="T41" s="217"/>
      <c r="U41" s="218"/>
      <c r="V41" s="829"/>
      <c r="W41" s="829"/>
      <c r="X41" s="829"/>
      <c r="Y41" s="829"/>
      <c r="Z41" s="829"/>
      <c r="AA41" s="829"/>
      <c r="AB41" s="829"/>
      <c r="AC41" s="829"/>
      <c r="AH41" s="520"/>
      <c r="BK41" s="520"/>
      <c r="BL41" s="520"/>
    </row>
    <row r="42" spans="1:64" s="495" customFormat="1" ht="12.75">
      <c r="A42" s="748"/>
      <c r="B42" s="307"/>
      <c r="C42" s="824">
        <f t="shared" si="3"/>
        <v>21</v>
      </c>
      <c r="D42" s="166"/>
      <c r="E42" s="937"/>
      <c r="F42" s="938"/>
      <c r="G42" s="939"/>
      <c r="H42" s="321"/>
      <c r="I42" s="835" t="s">
        <v>24</v>
      </c>
      <c r="J42" s="768"/>
      <c r="K42" s="518" t="str">
        <f t="shared" si="5"/>
        <v>No alert</v>
      </c>
      <c r="L42" s="296"/>
      <c r="M42" s="104">
        <f t="shared" si="6"/>
        <v>0</v>
      </c>
      <c r="N42" s="215"/>
      <c r="O42" s="217"/>
      <c r="P42" s="217"/>
      <c r="Q42" s="217"/>
      <c r="R42" s="217"/>
      <c r="S42" s="217"/>
      <c r="T42" s="217"/>
      <c r="U42" s="218"/>
      <c r="V42" s="829"/>
      <c r="W42" s="829"/>
      <c r="X42" s="829"/>
      <c r="Y42" s="829"/>
      <c r="Z42" s="829"/>
      <c r="AA42" s="829"/>
      <c r="AB42" s="829"/>
      <c r="AC42" s="829"/>
      <c r="AH42" s="520"/>
      <c r="BK42" s="520"/>
      <c r="BL42" s="520"/>
    </row>
    <row r="43" spans="1:64" s="520" customFormat="1" ht="18" customHeight="1">
      <c r="A43" s="748"/>
      <c r="B43" s="53"/>
      <c r="C43" s="53"/>
      <c r="E43" s="53"/>
      <c r="F43" s="768"/>
      <c r="G43" s="768"/>
      <c r="H43" s="322"/>
      <c r="I43" s="53"/>
      <c r="J43" s="768"/>
      <c r="K43" s="836"/>
      <c r="L43" s="105"/>
      <c r="M43" s="105"/>
      <c r="N43" s="768"/>
      <c r="O43" s="23"/>
      <c r="P43" s="23"/>
      <c r="Q43" s="23"/>
      <c r="R43" s="23"/>
      <c r="S43" s="23"/>
      <c r="T43" s="23"/>
      <c r="U43" s="23"/>
      <c r="V43" s="23"/>
      <c r="AA43" s="829"/>
      <c r="AB43" s="829"/>
      <c r="AF43" s="768"/>
      <c r="AG43" s="768"/>
      <c r="AI43" s="495"/>
      <c r="AJ43" s="768"/>
      <c r="AO43" s="837"/>
      <c r="AP43" s="838"/>
      <c r="AQ43" s="838"/>
      <c r="AR43" s="838"/>
      <c r="AS43" s="838"/>
      <c r="AT43" s="838"/>
      <c r="AU43" s="838"/>
    </row>
    <row r="44" spans="1:64" s="495" customFormat="1" ht="18" customHeight="1">
      <c r="A44" s="748"/>
      <c r="B44" s="839"/>
      <c r="D44" s="520"/>
      <c r="F44" s="768"/>
      <c r="G44" s="840" t="s">
        <v>1591</v>
      </c>
      <c r="H44" s="841">
        <f>SUM(H21:H43)</f>
        <v>0</v>
      </c>
      <c r="I44" s="835" t="s">
        <v>24</v>
      </c>
      <c r="J44" s="768"/>
      <c r="K44" s="768"/>
      <c r="L44" s="842"/>
      <c r="M44" s="106">
        <f>SUM(M21:M43)</f>
        <v>0</v>
      </c>
      <c r="N44" s="797">
        <f>IF(H44=0,0,M44/H44)</f>
        <v>0</v>
      </c>
      <c r="O44" s="520" t="str">
        <f>I44</f>
        <v>km</v>
      </c>
      <c r="P44" s="843"/>
      <c r="Q44" s="843"/>
      <c r="R44" s="843"/>
      <c r="S44" s="843"/>
      <c r="T44" s="843"/>
      <c r="U44" s="843"/>
      <c r="V44" s="843"/>
      <c r="AH44" s="520"/>
      <c r="BK44" s="520"/>
      <c r="BL44" s="520"/>
    </row>
    <row r="45" spans="1:64" ht="15" customHeight="1">
      <c r="A45" s="748"/>
      <c r="B45" s="287" t="s">
        <v>26</v>
      </c>
      <c r="G45" s="819"/>
      <c r="L45" s="814"/>
      <c r="M45" s="814"/>
      <c r="U45" s="475"/>
      <c r="V45" s="475"/>
      <c r="W45" s="475"/>
      <c r="X45" s="475"/>
      <c r="AF45" s="475"/>
      <c r="AG45" s="475"/>
      <c r="AH45" s="475"/>
      <c r="AI45" s="475"/>
      <c r="AJ45" s="475"/>
      <c r="AK45" s="475"/>
      <c r="AL45" s="475"/>
      <c r="AM45" s="475"/>
      <c r="AN45" s="475"/>
      <c r="AO45" s="475"/>
      <c r="AP45" s="475"/>
    </row>
    <row r="46" spans="1:64" ht="18" customHeight="1">
      <c r="A46" s="748"/>
      <c r="B46" s="284" t="s">
        <v>1588</v>
      </c>
      <c r="C46" s="820" t="s">
        <v>1592</v>
      </c>
      <c r="D46" s="816"/>
      <c r="E46" s="475"/>
      <c r="F46" s="804"/>
      <c r="Y46" s="474"/>
      <c r="Z46" s="474"/>
      <c r="AA46" s="474"/>
      <c r="AB46" s="474"/>
      <c r="AC46" s="474"/>
      <c r="AD46" s="474"/>
      <c r="AE46" s="474"/>
      <c r="AF46" s="475"/>
      <c r="AG46" s="475"/>
      <c r="AH46" s="475"/>
      <c r="AI46" s="475"/>
      <c r="AJ46" s="475"/>
      <c r="AK46" s="475"/>
      <c r="AL46" s="475"/>
      <c r="AM46" s="475"/>
      <c r="AN46" s="475"/>
      <c r="AO46" s="475"/>
      <c r="AP46" s="475"/>
    </row>
    <row r="47" spans="1:64" s="495" customFormat="1" ht="31.9" customHeight="1">
      <c r="A47" s="748"/>
      <c r="B47" s="774" t="s">
        <v>1517</v>
      </c>
      <c r="C47" s="774" t="s">
        <v>27</v>
      </c>
      <c r="D47" s="774"/>
      <c r="E47" s="812" t="s">
        <v>1590</v>
      </c>
      <c r="F47" s="822"/>
      <c r="G47" s="823"/>
      <c r="H47" s="773" t="s">
        <v>1485</v>
      </c>
      <c r="I47" s="773" t="s">
        <v>2</v>
      </c>
      <c r="J47" s="773" t="s">
        <v>1521</v>
      </c>
      <c r="K47" s="773" t="s">
        <v>1562</v>
      </c>
      <c r="L47" s="773" t="s">
        <v>1586</v>
      </c>
      <c r="M47" s="775" t="s">
        <v>32</v>
      </c>
      <c r="N47" s="776" t="s">
        <v>1526</v>
      </c>
      <c r="O47" s="777"/>
      <c r="P47" s="777"/>
      <c r="Q47" s="777"/>
      <c r="R47" s="777"/>
      <c r="S47" s="777"/>
      <c r="T47" s="777"/>
      <c r="U47" s="778"/>
      <c r="V47" s="793"/>
      <c r="W47" s="793"/>
      <c r="AI47" s="520"/>
      <c r="AJ47" s="520"/>
      <c r="BH47" s="520"/>
      <c r="BI47" s="520"/>
    </row>
    <row r="48" spans="1:64" s="520" customFormat="1" ht="18" customHeight="1">
      <c r="A48" s="748"/>
      <c r="B48" s="768"/>
      <c r="C48" s="768"/>
      <c r="D48" s="768"/>
      <c r="E48" s="768"/>
      <c r="F48" s="768"/>
      <c r="G48" s="768"/>
      <c r="H48" s="768"/>
      <c r="I48" s="830"/>
      <c r="J48" s="768"/>
      <c r="K48" s="768"/>
      <c r="L48" s="768"/>
      <c r="M48" s="768"/>
      <c r="N48" s="748"/>
      <c r="O48" s="474"/>
      <c r="P48" s="474"/>
      <c r="Q48" s="474"/>
      <c r="R48" s="474"/>
      <c r="S48" s="474"/>
      <c r="T48" s="474"/>
      <c r="U48" s="779"/>
      <c r="V48" s="768"/>
      <c r="W48" s="768"/>
      <c r="X48" s="768"/>
      <c r="Y48" s="768"/>
      <c r="Z48" s="768"/>
      <c r="AA48" s="768"/>
      <c r="AB48" s="768"/>
      <c r="AC48" s="768"/>
      <c r="AD48" s="768"/>
      <c r="AE48" s="768"/>
    </row>
    <row r="49" spans="1:64" s="520" customFormat="1">
      <c r="A49" s="748"/>
      <c r="B49" s="307"/>
      <c r="C49" s="824">
        <v>1</v>
      </c>
      <c r="D49" s="166"/>
      <c r="E49" s="780" t="str">
        <f>VLOOKUP($J49,TOV!$C$85:$G$217,TOV!$E$1,FALSE)</f>
        <v>Track, Pasture, Earthen, No replace</v>
      </c>
      <c r="F49" s="833"/>
      <c r="G49" s="834"/>
      <c r="H49" s="316"/>
      <c r="I49" s="827" t="str">
        <f>VLOOKUP($J49,TOV!$C$85:$G$217,TOV!$G$1,FALSE)</f>
        <v>ha</v>
      </c>
      <c r="J49" s="828" t="str">
        <f>TOV!$C105</f>
        <v>#3.21</v>
      </c>
      <c r="K49" s="63">
        <f>VLOOKUP($J49,TOV!$C$85:$G$217,TOV!$F$1,FALSE)</f>
        <v>2055.6594574217693</v>
      </c>
      <c r="L49" s="296"/>
      <c r="M49" s="104">
        <f>IF(L49="",K49,L49)*H49</f>
        <v>0</v>
      </c>
      <c r="N49" s="215"/>
      <c r="O49" s="217"/>
      <c r="P49" s="217"/>
      <c r="Q49" s="217"/>
      <c r="R49" s="217"/>
      <c r="S49" s="217"/>
      <c r="T49" s="217"/>
      <c r="U49" s="218"/>
      <c r="V49" s="768"/>
      <c r="W49" s="768"/>
      <c r="X49" s="768"/>
      <c r="Y49" s="768"/>
      <c r="Z49" s="768"/>
      <c r="AA49" s="768"/>
      <c r="AB49" s="768"/>
      <c r="AC49" s="768"/>
      <c r="AD49" s="768"/>
      <c r="AE49" s="768"/>
    </row>
    <row r="50" spans="1:64" s="520" customFormat="1">
      <c r="A50" s="748"/>
      <c r="B50" s="307"/>
      <c r="C50" s="824">
        <f t="shared" ref="C50:C58" si="7">C49+1</f>
        <v>2</v>
      </c>
      <c r="D50" s="166"/>
      <c r="E50" s="780" t="str">
        <f>VLOOKUP($J50,TOV!$C$85:$G$217,TOV!$E$1,FALSE)</f>
        <v>Track, Native, Earthen, No replace</v>
      </c>
      <c r="F50" s="833"/>
      <c r="G50" s="834"/>
      <c r="H50" s="316"/>
      <c r="I50" s="827" t="str">
        <f>VLOOKUP($J50,TOV!$C$85:$G$217,TOV!$G$1,FALSE)</f>
        <v>ha</v>
      </c>
      <c r="J50" s="828" t="str">
        <f>TOV!$C106</f>
        <v>#3.22</v>
      </c>
      <c r="K50" s="63">
        <f>VLOOKUP($J50,TOV!$C$85:$G$217,TOV!$F$1,FALSE)</f>
        <v>4596.6594574217697</v>
      </c>
      <c r="L50" s="296"/>
      <c r="M50" s="104">
        <f t="shared" ref="M50:M55" si="8">IF(L50="",K50,L50)*H50</f>
        <v>0</v>
      </c>
      <c r="N50" s="215"/>
      <c r="O50" s="217"/>
      <c r="P50" s="217"/>
      <c r="Q50" s="217"/>
      <c r="R50" s="217"/>
      <c r="S50" s="217"/>
      <c r="T50" s="217"/>
      <c r="U50" s="218"/>
      <c r="V50" s="768"/>
      <c r="W50" s="768"/>
      <c r="X50" s="768"/>
      <c r="Y50" s="768"/>
      <c r="Z50" s="768"/>
      <c r="AA50" s="768"/>
      <c r="AB50" s="768"/>
      <c r="AC50" s="768"/>
      <c r="AD50" s="768"/>
      <c r="AE50" s="768"/>
    </row>
    <row r="51" spans="1:64" s="520" customFormat="1">
      <c r="A51" s="748"/>
      <c r="B51" s="307"/>
      <c r="C51" s="824">
        <f t="shared" si="7"/>
        <v>3</v>
      </c>
      <c r="D51" s="166"/>
      <c r="E51" s="780" t="str">
        <f>VLOOKUP($J51,TOV!$C$85:$G$217,TOV!$E$1,FALSE)</f>
        <v>Track, Arid, Earthen, No replace</v>
      </c>
      <c r="F51" s="833"/>
      <c r="G51" s="834"/>
      <c r="H51" s="316"/>
      <c r="I51" s="827" t="str">
        <f>VLOOKUP($J51,TOV!$C$85:$G$217,TOV!$G$1,FALSE)</f>
        <v>ha</v>
      </c>
      <c r="J51" s="828" t="str">
        <f>TOV!$C107</f>
        <v>#3.23</v>
      </c>
      <c r="K51" s="63">
        <f>VLOOKUP($J51,TOV!$C$85:$G$217,TOV!$F$1,FALSE)</f>
        <v>400.15945742176939</v>
      </c>
      <c r="L51" s="296"/>
      <c r="M51" s="104">
        <f t="shared" si="8"/>
        <v>0</v>
      </c>
      <c r="N51" s="215"/>
      <c r="O51" s="217"/>
      <c r="P51" s="217"/>
      <c r="Q51" s="217"/>
      <c r="R51" s="217"/>
      <c r="S51" s="217"/>
      <c r="T51" s="217"/>
      <c r="U51" s="218"/>
      <c r="V51" s="768"/>
      <c r="W51" s="768"/>
      <c r="X51" s="768"/>
      <c r="Y51" s="768"/>
      <c r="Z51" s="768"/>
      <c r="AA51" s="768"/>
      <c r="AB51" s="768"/>
      <c r="AC51" s="768"/>
      <c r="AD51" s="768"/>
      <c r="AE51" s="768"/>
    </row>
    <row r="52" spans="1:64" s="520" customFormat="1">
      <c r="A52" s="748"/>
      <c r="B52" s="307"/>
      <c r="C52" s="824">
        <f t="shared" si="7"/>
        <v>4</v>
      </c>
      <c r="D52" s="166"/>
      <c r="E52" s="780" t="str">
        <f>VLOOKUP($J52,TOV!$C$85:$G$217,TOV!$E$1,FALSE)</f>
        <v>Track, Pasture, Rock, No replace</v>
      </c>
      <c r="F52" s="833"/>
      <c r="G52" s="834"/>
      <c r="H52" s="316"/>
      <c r="I52" s="827" t="str">
        <f>VLOOKUP($J52,TOV!$C$85:$G$217,TOV!$G$1,FALSE)</f>
        <v>ha</v>
      </c>
      <c r="J52" s="828" t="str">
        <f>TOV!$C108</f>
        <v>#3.24</v>
      </c>
      <c r="K52" s="63">
        <f>VLOOKUP($J52,TOV!$C$85:$G$217,TOV!$F$1,FALSE)</f>
        <v>8224.8793574449828</v>
      </c>
      <c r="L52" s="296"/>
      <c r="M52" s="104">
        <f t="shared" si="8"/>
        <v>0</v>
      </c>
      <c r="N52" s="215"/>
      <c r="O52" s="217"/>
      <c r="P52" s="217"/>
      <c r="Q52" s="217"/>
      <c r="R52" s="217"/>
      <c r="S52" s="217"/>
      <c r="T52" s="217"/>
      <c r="U52" s="218"/>
      <c r="V52" s="768"/>
      <c r="W52" s="768"/>
      <c r="X52" s="768"/>
      <c r="Y52" s="768"/>
      <c r="Z52" s="768"/>
      <c r="AA52" s="768"/>
      <c r="AB52" s="768"/>
      <c r="AC52" s="768"/>
      <c r="AD52" s="768"/>
      <c r="AE52" s="768"/>
    </row>
    <row r="53" spans="1:64" s="520" customFormat="1">
      <c r="A53" s="748"/>
      <c r="B53" s="307"/>
      <c r="C53" s="824">
        <f t="shared" si="7"/>
        <v>5</v>
      </c>
      <c r="D53" s="166"/>
      <c r="E53" s="780" t="str">
        <f>VLOOKUP($J53,TOV!$C$85:$G$217,TOV!$E$1,FALSE)</f>
        <v>Track, Native, Rock, No replace</v>
      </c>
      <c r="F53" s="833"/>
      <c r="G53" s="834"/>
      <c r="H53" s="316"/>
      <c r="I53" s="827" t="str">
        <f>VLOOKUP($J53,TOV!$C$85:$G$217,TOV!$G$1,FALSE)</f>
        <v>ha</v>
      </c>
      <c r="J53" s="828" t="str">
        <f>TOV!$C109</f>
        <v>#3.25</v>
      </c>
      <c r="K53" s="63">
        <f>VLOOKUP($J53,TOV!$C$85:$G$217,TOV!$F$1,FALSE)</f>
        <v>10765.879357444983</v>
      </c>
      <c r="L53" s="296"/>
      <c r="M53" s="104">
        <f t="shared" si="8"/>
        <v>0</v>
      </c>
      <c r="N53" s="215"/>
      <c r="O53" s="217"/>
      <c r="P53" s="217"/>
      <c r="Q53" s="217"/>
      <c r="R53" s="217"/>
      <c r="S53" s="217"/>
      <c r="T53" s="217"/>
      <c r="U53" s="218"/>
      <c r="V53" s="768"/>
      <c r="W53" s="768"/>
      <c r="X53" s="768"/>
      <c r="Y53" s="768"/>
      <c r="Z53" s="768"/>
      <c r="AA53" s="768"/>
      <c r="AB53" s="768"/>
      <c r="AC53" s="768"/>
      <c r="AD53" s="768"/>
      <c r="AE53" s="768"/>
    </row>
    <row r="54" spans="1:64" s="520" customFormat="1">
      <c r="A54" s="748"/>
      <c r="B54" s="307"/>
      <c r="C54" s="824">
        <f t="shared" si="7"/>
        <v>6</v>
      </c>
      <c r="D54" s="166"/>
      <c r="E54" s="780" t="str">
        <f>VLOOKUP($J54,TOV!$C$85:$G$217,TOV!$E$1,FALSE)</f>
        <v>Track, Arid, Rock, No replace</v>
      </c>
      <c r="F54" s="833"/>
      <c r="G54" s="834"/>
      <c r="H54" s="316"/>
      <c r="I54" s="827" t="str">
        <f>VLOOKUP($J54,TOV!$C$85:$G$217,TOV!$G$1,FALSE)</f>
        <v>ha</v>
      </c>
      <c r="J54" s="828" t="str">
        <f>TOV!$C110</f>
        <v>#3.26</v>
      </c>
      <c r="K54" s="63">
        <f>VLOOKUP($J54,TOV!$C$85:$G$217,TOV!$F$1,FALSE)</f>
        <v>6569.3793574449819</v>
      </c>
      <c r="L54" s="296"/>
      <c r="M54" s="104">
        <f t="shared" si="8"/>
        <v>0</v>
      </c>
      <c r="N54" s="215"/>
      <c r="O54" s="217"/>
      <c r="P54" s="217"/>
      <c r="Q54" s="217"/>
      <c r="R54" s="217"/>
      <c r="S54" s="217"/>
      <c r="T54" s="217"/>
      <c r="U54" s="218"/>
      <c r="V54" s="768"/>
      <c r="W54" s="768"/>
      <c r="X54" s="768"/>
      <c r="Y54" s="768"/>
      <c r="Z54" s="768"/>
      <c r="AA54" s="768"/>
      <c r="AB54" s="768"/>
      <c r="AC54" s="768"/>
      <c r="AD54" s="768"/>
      <c r="AE54" s="768"/>
    </row>
    <row r="55" spans="1:64" s="520" customFormat="1">
      <c r="A55" s="748"/>
      <c r="B55" s="307"/>
      <c r="C55" s="824">
        <f t="shared" si="7"/>
        <v>7</v>
      </c>
      <c r="D55" s="166"/>
      <c r="E55" s="780" t="str">
        <f>VLOOKUP($J55,TOV!$C$85:$G$217,TOV!$E$1,FALSE)</f>
        <v>Track, any land, Rock, Replace rock</v>
      </c>
      <c r="F55" s="833"/>
      <c r="G55" s="834"/>
      <c r="H55" s="316"/>
      <c r="I55" s="827" t="str">
        <f>VLOOKUP($J55,TOV!$C$85:$G$217,TOV!$G$1,FALSE)</f>
        <v>ha</v>
      </c>
      <c r="J55" s="828" t="str">
        <f>TOV!$C111</f>
        <v>#3.27</v>
      </c>
      <c r="K55" s="63">
        <f>VLOOKUP($J55,TOV!$C$85:$G$217,TOV!$F$1,FALSE)</f>
        <v>13865.010440152813</v>
      </c>
      <c r="L55" s="296"/>
      <c r="M55" s="104">
        <f t="shared" si="8"/>
        <v>0</v>
      </c>
      <c r="N55" s="215"/>
      <c r="O55" s="217"/>
      <c r="P55" s="217"/>
      <c r="Q55" s="217"/>
      <c r="R55" s="217"/>
      <c r="S55" s="217"/>
      <c r="T55" s="217"/>
      <c r="U55" s="218"/>
      <c r="V55" s="768"/>
      <c r="W55" s="768"/>
      <c r="X55" s="768"/>
      <c r="Y55" s="768"/>
      <c r="Z55" s="768"/>
      <c r="AA55" s="768"/>
      <c r="AB55" s="768"/>
      <c r="AC55" s="768"/>
      <c r="AD55" s="768"/>
      <c r="AE55" s="768"/>
    </row>
    <row r="56" spans="1:64" s="495" customFormat="1" ht="12.75">
      <c r="A56" s="748"/>
      <c r="B56" s="307"/>
      <c r="C56" s="824">
        <f t="shared" si="7"/>
        <v>8</v>
      </c>
      <c r="D56" s="166"/>
      <c r="E56" s="937"/>
      <c r="F56" s="938"/>
      <c r="G56" s="939"/>
      <c r="H56" s="321"/>
      <c r="I56" s="835" t="s">
        <v>95</v>
      </c>
      <c r="J56" s="768"/>
      <c r="K56" s="518" t="str">
        <f t="shared" ref="K56:K58" si="9">IF(AND(H56&gt;0,OR(L56="",L56=0)),"Enter Rate","No alert")</f>
        <v>No alert</v>
      </c>
      <c r="L56" s="296"/>
      <c r="M56" s="104">
        <f>L56*H56</f>
        <v>0</v>
      </c>
      <c r="N56" s="215"/>
      <c r="O56" s="217"/>
      <c r="P56" s="217"/>
      <c r="Q56" s="217"/>
      <c r="R56" s="217"/>
      <c r="S56" s="217"/>
      <c r="T56" s="217"/>
      <c r="U56" s="218"/>
      <c r="V56" s="520"/>
      <c r="W56" s="520"/>
      <c r="X56" s="520"/>
      <c r="Y56" s="520"/>
      <c r="Z56" s="520"/>
      <c r="AA56" s="520"/>
      <c r="AB56" s="520"/>
      <c r="AC56" s="520"/>
      <c r="AH56" s="520"/>
      <c r="BK56" s="520"/>
      <c r="BL56" s="520"/>
    </row>
    <row r="57" spans="1:64" s="495" customFormat="1" ht="12.75">
      <c r="A57" s="748"/>
      <c r="B57" s="307"/>
      <c r="C57" s="824">
        <f t="shared" si="7"/>
        <v>9</v>
      </c>
      <c r="D57" s="166"/>
      <c r="E57" s="937"/>
      <c r="F57" s="938"/>
      <c r="G57" s="939"/>
      <c r="H57" s="321"/>
      <c r="I57" s="835" t="s">
        <v>95</v>
      </c>
      <c r="J57" s="768"/>
      <c r="K57" s="518" t="str">
        <f t="shared" si="9"/>
        <v>No alert</v>
      </c>
      <c r="L57" s="296"/>
      <c r="M57" s="104">
        <f t="shared" ref="M57:M58" si="10">L57*H57</f>
        <v>0</v>
      </c>
      <c r="N57" s="215"/>
      <c r="O57" s="217"/>
      <c r="P57" s="217"/>
      <c r="Q57" s="217"/>
      <c r="R57" s="217"/>
      <c r="S57" s="217"/>
      <c r="T57" s="217"/>
      <c r="U57" s="218"/>
      <c r="V57" s="829"/>
      <c r="W57" s="829"/>
      <c r="X57" s="829"/>
      <c r="Y57" s="829"/>
      <c r="Z57" s="829"/>
      <c r="AA57" s="829"/>
      <c r="AB57" s="829"/>
      <c r="AC57" s="829"/>
      <c r="AH57" s="520"/>
      <c r="BK57" s="520"/>
      <c r="BL57" s="520"/>
    </row>
    <row r="58" spans="1:64" s="495" customFormat="1" ht="12.75">
      <c r="A58" s="748"/>
      <c r="B58" s="307"/>
      <c r="C58" s="824">
        <f t="shared" si="7"/>
        <v>10</v>
      </c>
      <c r="D58" s="166"/>
      <c r="E58" s="937"/>
      <c r="F58" s="938"/>
      <c r="G58" s="939"/>
      <c r="H58" s="321"/>
      <c r="I58" s="835" t="s">
        <v>95</v>
      </c>
      <c r="J58" s="768"/>
      <c r="K58" s="518" t="str">
        <f t="shared" si="9"/>
        <v>No alert</v>
      </c>
      <c r="L58" s="296"/>
      <c r="M58" s="104">
        <f t="shared" si="10"/>
        <v>0</v>
      </c>
      <c r="N58" s="215"/>
      <c r="O58" s="217"/>
      <c r="P58" s="217"/>
      <c r="Q58" s="217"/>
      <c r="R58" s="217"/>
      <c r="S58" s="217"/>
      <c r="T58" s="217"/>
      <c r="U58" s="218"/>
      <c r="V58" s="829"/>
      <c r="W58" s="829"/>
      <c r="X58" s="829"/>
      <c r="Y58" s="829"/>
      <c r="Z58" s="829"/>
      <c r="AA58" s="829"/>
      <c r="AB58" s="829"/>
      <c r="AC58" s="829"/>
      <c r="AH58" s="520"/>
      <c r="BK58" s="520"/>
      <c r="BL58" s="520"/>
    </row>
    <row r="59" spans="1:64" s="520" customFormat="1" ht="18" customHeight="1">
      <c r="A59" s="748"/>
      <c r="B59" s="53"/>
      <c r="C59" s="53"/>
      <c r="E59" s="53"/>
      <c r="F59" s="768"/>
      <c r="G59" s="768"/>
      <c r="H59" s="322"/>
      <c r="I59" s="53"/>
      <c r="J59" s="768"/>
      <c r="K59" s="836"/>
      <c r="L59" s="53"/>
      <c r="M59" s="105"/>
      <c r="N59" s="768"/>
      <c r="O59" s="23"/>
      <c r="P59" s="23"/>
      <c r="Q59" s="23"/>
      <c r="R59" s="23"/>
      <c r="S59" s="23"/>
      <c r="T59" s="23"/>
      <c r="U59" s="23"/>
      <c r="V59" s="23"/>
      <c r="AA59" s="829"/>
      <c r="AB59" s="829"/>
      <c r="AF59" s="768"/>
      <c r="AG59" s="768"/>
      <c r="AI59" s="495"/>
      <c r="AJ59" s="768"/>
    </row>
    <row r="60" spans="1:64" s="495" customFormat="1" ht="18" customHeight="1">
      <c r="A60" s="748"/>
      <c r="B60" s="839"/>
      <c r="D60" s="520"/>
      <c r="E60" s="840"/>
      <c r="F60" s="768"/>
      <c r="G60" s="844" t="s">
        <v>1593</v>
      </c>
      <c r="H60" s="841">
        <f>SUM(H48:H59)</f>
        <v>0</v>
      </c>
      <c r="I60" s="845" t="s">
        <v>95</v>
      </c>
      <c r="J60" s="768"/>
      <c r="K60" s="768"/>
      <c r="L60" s="846"/>
      <c r="M60" s="106">
        <f>SUM(M48:M59)</f>
        <v>0</v>
      </c>
      <c r="N60" s="797">
        <f>IF(H60=0,0,M60/H60)</f>
        <v>0</v>
      </c>
      <c r="O60" s="520" t="str">
        <f>I60</f>
        <v>ha</v>
      </c>
      <c r="P60" s="843"/>
      <c r="Q60" s="843"/>
      <c r="R60" s="843"/>
      <c r="S60" s="843"/>
      <c r="T60" s="843"/>
      <c r="U60" s="843"/>
      <c r="V60" s="843"/>
      <c r="AH60" s="520"/>
      <c r="AP60" s="520"/>
      <c r="AQ60" s="520"/>
      <c r="AR60" s="520"/>
      <c r="AS60" s="520"/>
      <c r="AU60" s="520"/>
      <c r="BK60" s="520"/>
      <c r="BL60" s="520"/>
    </row>
    <row r="61" spans="1:64" s="495" customFormat="1" ht="18" customHeight="1">
      <c r="A61" s="748"/>
      <c r="B61" s="839"/>
      <c r="D61" s="520"/>
      <c r="E61" s="840"/>
      <c r="F61" s="768"/>
      <c r="G61" s="844"/>
      <c r="H61" s="844"/>
      <c r="I61" s="844"/>
      <c r="J61" s="844"/>
      <c r="K61" s="844"/>
      <c r="L61" s="844"/>
      <c r="M61" s="844"/>
      <c r="N61" s="844"/>
      <c r="O61" s="844"/>
      <c r="P61" s="844"/>
      <c r="Q61" s="844"/>
      <c r="R61" s="844"/>
      <c r="S61" s="843"/>
      <c r="T61" s="843"/>
      <c r="U61" s="843"/>
      <c r="AG61" s="520"/>
      <c r="AO61" s="520"/>
      <c r="AP61" s="768"/>
      <c r="AQ61" s="768"/>
      <c r="AR61" s="768"/>
      <c r="AU61" s="520"/>
      <c r="BK61" s="520"/>
      <c r="BL61" s="520"/>
    </row>
    <row r="62" spans="1:64" s="495" customFormat="1" ht="12.75">
      <c r="A62" s="748"/>
      <c r="B62" s="839"/>
      <c r="C62" s="789" t="s">
        <v>1594</v>
      </c>
      <c r="D62" s="520"/>
      <c r="E62" s="840"/>
      <c r="F62" s="768"/>
      <c r="G62" s="844"/>
      <c r="H62" s="844"/>
      <c r="I62" s="844"/>
      <c r="J62" s="844"/>
      <c r="K62" s="844"/>
      <c r="L62" s="844"/>
      <c r="M62" s="844"/>
      <c r="N62" s="844"/>
      <c r="O62" s="844"/>
      <c r="P62" s="844"/>
      <c r="Q62" s="844"/>
      <c r="R62" s="844"/>
      <c r="S62" s="843"/>
      <c r="T62" s="843"/>
      <c r="AF62" s="520"/>
      <c r="AO62" s="768"/>
      <c r="AP62" s="520"/>
      <c r="AQ62" s="847" t="str">
        <f>IF(AQ65="","No Alert","Enter justification")</f>
        <v>No Alert</v>
      </c>
      <c r="AS62" s="582" t="s">
        <v>1595</v>
      </c>
      <c r="AT62" s="582" t="s">
        <v>1549</v>
      </c>
      <c r="AU62" s="582" t="s">
        <v>1556</v>
      </c>
      <c r="BI62" s="520"/>
      <c r="BJ62" s="520"/>
    </row>
    <row r="63" spans="1:64" s="495" customFormat="1" ht="18" customHeight="1">
      <c r="A63" s="748"/>
      <c r="C63" s="789" t="s">
        <v>1596</v>
      </c>
      <c r="D63" s="520"/>
      <c r="E63" s="840"/>
      <c r="F63" s="768"/>
      <c r="G63" s="844"/>
      <c r="H63" s="844"/>
      <c r="I63" s="844"/>
      <c r="J63" s="844"/>
      <c r="K63" s="844"/>
      <c r="L63" s="844"/>
      <c r="M63" s="844"/>
      <c r="N63" s="844"/>
      <c r="O63" s="844"/>
      <c r="P63" s="844"/>
      <c r="Q63" s="844"/>
      <c r="R63" s="844"/>
      <c r="S63" s="843"/>
      <c r="T63" s="843"/>
      <c r="AF63" s="520"/>
      <c r="AP63" s="848" t="s">
        <v>1596</v>
      </c>
      <c r="AQ63" s="828" t="str">
        <f>TOV!$C$218</f>
        <v>#3.134</v>
      </c>
      <c r="AR63" s="789" t="s">
        <v>93</v>
      </c>
      <c r="AS63" s="614" t="str">
        <f>TOV!$C$575</f>
        <v>#14.40</v>
      </c>
      <c r="AT63" s="63">
        <f>VLOOKUP(AS63,TOV!$C$575:$G$576,TOV!$F$1,FALSE)</f>
        <v>1655.5</v>
      </c>
      <c r="AU63" s="117"/>
      <c r="AV63" s="849" t="str">
        <f>IF(AU63="","No Alert","Enter justification")</f>
        <v>No Alert</v>
      </c>
      <c r="BI63" s="520"/>
      <c r="BJ63" s="520"/>
    </row>
    <row r="64" spans="1:64" s="495" customFormat="1" ht="18" customHeight="1">
      <c r="A64" s="748"/>
      <c r="C64" s="789" t="s">
        <v>35</v>
      </c>
      <c r="D64" s="520"/>
      <c r="E64" s="840"/>
      <c r="F64" s="768"/>
      <c r="G64" s="844"/>
      <c r="H64" s="844"/>
      <c r="I64" s="844"/>
      <c r="J64" s="844"/>
      <c r="K64" s="844"/>
      <c r="L64" s="844"/>
      <c r="M64" s="844"/>
      <c r="N64" s="844"/>
      <c r="O64" s="844"/>
      <c r="P64" s="844"/>
      <c r="Q64" s="844"/>
      <c r="R64" s="844"/>
      <c r="S64" s="843"/>
      <c r="T64" s="843"/>
      <c r="AF64" s="520"/>
      <c r="AP64" s="848" t="s">
        <v>35</v>
      </c>
      <c r="AQ64" s="81">
        <f>VLOOKUP(AQ63,TOV!$C$85:$G$218,4,FALSE)</f>
        <v>400.15945742176939</v>
      </c>
      <c r="AR64" s="789" t="s">
        <v>116</v>
      </c>
      <c r="AS64" s="614" t="str">
        <f>TOV!$C$576</f>
        <v>#14.41</v>
      </c>
      <c r="AT64" s="63">
        <f>VLOOKUP(AS64,TOV!$C$575:$G$576,TOV!$F$1,FALSE)</f>
        <v>4196.5</v>
      </c>
      <c r="AU64" s="117"/>
      <c r="AV64" s="849" t="str">
        <f>IF(AU64="","No Alert","Enter justification")</f>
        <v>No Alert</v>
      </c>
      <c r="BI64" s="520"/>
      <c r="BJ64" s="520"/>
    </row>
    <row r="65" spans="1:62" s="495" customFormat="1" ht="18" customHeight="1">
      <c r="A65" s="748"/>
      <c r="C65" s="789" t="s">
        <v>1556</v>
      </c>
      <c r="D65" s="520"/>
      <c r="E65" s="840"/>
      <c r="F65" s="768"/>
      <c r="G65" s="844"/>
      <c r="H65" s="844"/>
      <c r="I65" s="844"/>
      <c r="J65" s="844"/>
      <c r="K65" s="844"/>
      <c r="L65" s="844"/>
      <c r="M65" s="844"/>
      <c r="N65" s="844"/>
      <c r="O65" s="844"/>
      <c r="P65" s="844"/>
      <c r="Q65" s="844"/>
      <c r="R65" s="844"/>
      <c r="S65" s="843"/>
      <c r="T65" s="843"/>
      <c r="AF65" s="520"/>
      <c r="AP65" s="848" t="s">
        <v>1556</v>
      </c>
      <c r="AQ65" s="117"/>
      <c r="AU65" s="520"/>
      <c r="BI65" s="520"/>
      <c r="BJ65" s="520"/>
    </row>
    <row r="66" spans="1:62" s="495" customFormat="1" ht="18" customHeight="1">
      <c r="A66" s="748"/>
      <c r="C66" s="789" t="s">
        <v>1597</v>
      </c>
      <c r="D66" s="520"/>
      <c r="E66" s="520"/>
      <c r="F66" s="520"/>
      <c r="G66" s="520"/>
      <c r="H66" s="520"/>
      <c r="I66" s="520"/>
      <c r="J66" s="520"/>
      <c r="K66" s="520"/>
      <c r="L66" s="520"/>
      <c r="M66" s="520"/>
      <c r="N66" s="520"/>
      <c r="O66" s="520"/>
      <c r="P66" s="520"/>
      <c r="Q66" s="520"/>
      <c r="R66" s="843"/>
      <c r="T66" s="843"/>
      <c r="AF66" s="520"/>
      <c r="AP66" s="848" t="s">
        <v>1597</v>
      </c>
      <c r="AQ66" s="850" t="s">
        <v>1598</v>
      </c>
      <c r="AS66" s="768"/>
      <c r="AT66" s="850" t="s">
        <v>1598</v>
      </c>
      <c r="BI66" s="520"/>
      <c r="BJ66" s="520"/>
    </row>
    <row r="67" spans="1:62" s="495" customFormat="1" ht="18" customHeight="1">
      <c r="A67" s="748"/>
      <c r="C67" s="789" t="s">
        <v>1599</v>
      </c>
      <c r="D67" s="789" t="s">
        <v>1600</v>
      </c>
      <c r="E67" s="851">
        <v>6</v>
      </c>
      <c r="F67" s="520"/>
      <c r="G67" s="520"/>
      <c r="H67" s="520"/>
      <c r="I67" s="520"/>
      <c r="J67" s="824">
        <f>Default_Track_Cover</f>
        <v>150</v>
      </c>
      <c r="K67" s="520"/>
      <c r="L67" s="520"/>
      <c r="N67" s="824">
        <f>Default_Track_Cover</f>
        <v>150</v>
      </c>
      <c r="O67" s="520"/>
      <c r="P67" s="520"/>
      <c r="Q67" s="520"/>
      <c r="R67" s="843"/>
      <c r="S67" s="852">
        <v>150</v>
      </c>
      <c r="T67" s="843"/>
      <c r="AF67" s="520"/>
      <c r="AP67" s="848"/>
      <c r="AQ67" s="853"/>
      <c r="AS67" s="768"/>
      <c r="AT67" s="854"/>
      <c r="BI67" s="520"/>
      <c r="BJ67" s="520"/>
    </row>
    <row r="68" spans="1:62" s="520" customFormat="1" ht="18" customHeight="1">
      <c r="B68" s="287" t="s">
        <v>26</v>
      </c>
      <c r="C68" s="820" t="s">
        <v>1601</v>
      </c>
      <c r="D68" s="816"/>
      <c r="E68" s="855" t="s">
        <v>1602</v>
      </c>
      <c r="F68" s="856"/>
      <c r="G68" s="856"/>
      <c r="H68" s="857"/>
      <c r="I68" s="855" t="s">
        <v>1603</v>
      </c>
      <c r="J68" s="858"/>
      <c r="K68" s="858"/>
      <c r="L68" s="858"/>
      <c r="M68" s="855" t="s">
        <v>1604</v>
      </c>
      <c r="N68" s="859"/>
      <c r="O68" s="859"/>
      <c r="P68" s="855" t="s">
        <v>1605</v>
      </c>
      <c r="Q68" s="859"/>
      <c r="R68" s="859"/>
      <c r="S68" s="859"/>
      <c r="T68" s="859"/>
      <c r="U68" s="859"/>
      <c r="V68" s="859"/>
      <c r="W68" s="860"/>
      <c r="X68" s="860"/>
      <c r="Y68" s="860"/>
      <c r="Z68" s="861"/>
      <c r="AA68" s="855" t="s">
        <v>1606</v>
      </c>
      <c r="AB68" s="860"/>
      <c r="AC68" s="860"/>
      <c r="AD68" s="860"/>
      <c r="AE68" s="860"/>
      <c r="AF68" s="860"/>
      <c r="AG68" s="860"/>
      <c r="AH68" s="860"/>
      <c r="AI68" s="860"/>
      <c r="AJ68" s="860"/>
      <c r="AK68" s="860"/>
      <c r="AL68" s="860"/>
      <c r="AM68" s="862" t="s">
        <v>1607</v>
      </c>
      <c r="AN68" s="860"/>
      <c r="AO68" s="860"/>
      <c r="AP68" s="855" t="s">
        <v>1608</v>
      </c>
      <c r="AQ68" s="859"/>
      <c r="AR68" s="859"/>
      <c r="AS68" s="860"/>
      <c r="AT68" s="861"/>
    </row>
    <row r="69" spans="1:62" s="520" customFormat="1" ht="81.599999999999994" customHeight="1">
      <c r="A69" s="748"/>
      <c r="B69" s="774" t="s">
        <v>1517</v>
      </c>
      <c r="C69" s="774" t="s">
        <v>27</v>
      </c>
      <c r="D69" s="774" t="s">
        <v>1609</v>
      </c>
      <c r="E69" s="774" t="s">
        <v>1610</v>
      </c>
      <c r="F69" s="774" t="s">
        <v>1611</v>
      </c>
      <c r="G69" s="812" t="s">
        <v>1612</v>
      </c>
      <c r="H69" s="863"/>
      <c r="I69" s="774" t="s">
        <v>1613</v>
      </c>
      <c r="J69" s="774" t="s">
        <v>1614</v>
      </c>
      <c r="K69" s="774" t="s">
        <v>1615</v>
      </c>
      <c r="L69" s="774" t="s">
        <v>1616</v>
      </c>
      <c r="M69" s="774" t="s">
        <v>1617</v>
      </c>
      <c r="N69" s="774" t="s">
        <v>1618</v>
      </c>
      <c r="O69" s="774" t="s">
        <v>1619</v>
      </c>
      <c r="P69" s="821" t="s">
        <v>1620</v>
      </c>
      <c r="Q69" s="774" t="s">
        <v>1621</v>
      </c>
      <c r="R69" s="774" t="s">
        <v>1622</v>
      </c>
      <c r="S69" s="774" t="s">
        <v>1623</v>
      </c>
      <c r="T69" s="774" t="s">
        <v>1624</v>
      </c>
      <c r="U69" s="774" t="s">
        <v>1625</v>
      </c>
      <c r="V69" s="774" t="s">
        <v>1626</v>
      </c>
      <c r="W69" s="863" t="s">
        <v>1627</v>
      </c>
      <c r="X69" s="774" t="s">
        <v>1628</v>
      </c>
      <c r="Y69" s="774" t="s">
        <v>1629</v>
      </c>
      <c r="Z69" s="774" t="s">
        <v>1630</v>
      </c>
      <c r="AA69" s="812" t="s">
        <v>1631</v>
      </c>
      <c r="AB69" s="863"/>
      <c r="AC69" s="812" t="s">
        <v>1632</v>
      </c>
      <c r="AD69" s="863"/>
      <c r="AE69" s="812" t="s">
        <v>1633</v>
      </c>
      <c r="AF69" s="863"/>
      <c r="AG69" s="812" t="s">
        <v>1634</v>
      </c>
      <c r="AH69" s="863"/>
      <c r="AI69" s="812" t="s">
        <v>1635</v>
      </c>
      <c r="AJ69" s="863"/>
      <c r="AK69" s="812" t="s">
        <v>1636</v>
      </c>
      <c r="AL69" s="863"/>
      <c r="AM69" s="774" t="s">
        <v>1637</v>
      </c>
      <c r="AN69" s="774" t="s">
        <v>1638</v>
      </c>
      <c r="AO69" s="774" t="s">
        <v>1639</v>
      </c>
      <c r="AP69" s="774" t="s">
        <v>1640</v>
      </c>
      <c r="AQ69" s="774" t="s">
        <v>1641</v>
      </c>
      <c r="AR69" s="774" t="s">
        <v>1642</v>
      </c>
      <c r="AS69" s="774" t="s">
        <v>1643</v>
      </c>
      <c r="AT69" s="774" t="s">
        <v>1644</v>
      </c>
      <c r="AU69" s="864" t="s">
        <v>1587</v>
      </c>
      <c r="AV69" s="776" t="s">
        <v>1645</v>
      </c>
      <c r="AW69" s="831"/>
      <c r="AX69" s="831"/>
      <c r="AY69" s="865"/>
      <c r="AZ69" s="865"/>
      <c r="BA69" s="831"/>
      <c r="BB69" s="865"/>
      <c r="BC69" s="831"/>
      <c r="BD69" s="831"/>
      <c r="BE69" s="832"/>
    </row>
    <row r="70" spans="1:62" s="520" customFormat="1" ht="18" customHeight="1">
      <c r="B70" s="64"/>
      <c r="C70" s="64"/>
      <c r="D70" s="64"/>
      <c r="E70" s="64"/>
      <c r="F70" s="132"/>
      <c r="G70" s="125" t="s">
        <v>1646</v>
      </c>
      <c r="H70" s="64"/>
      <c r="I70" s="64"/>
      <c r="J70" s="64"/>
      <c r="K70" s="64"/>
      <c r="L70" s="64"/>
      <c r="M70" s="64"/>
      <c r="N70" s="64"/>
      <c r="O70" s="64"/>
      <c r="P70" s="64"/>
      <c r="Q70" s="64"/>
      <c r="R70" s="64"/>
      <c r="S70" s="64"/>
      <c r="T70" s="64"/>
      <c r="U70" s="64"/>
      <c r="V70" s="64"/>
      <c r="Z70" s="768"/>
      <c r="AA70" s="125" t="s">
        <v>1646</v>
      </c>
      <c r="AB70" s="124"/>
      <c r="AC70" s="125" t="s">
        <v>1646</v>
      </c>
      <c r="AD70" s="124"/>
      <c r="AE70" s="125" t="s">
        <v>1646</v>
      </c>
      <c r="AF70" s="124"/>
      <c r="AG70" s="125" t="s">
        <v>1646</v>
      </c>
      <c r="AH70" s="124"/>
      <c r="AI70" s="125" t="s">
        <v>1646</v>
      </c>
      <c r="AJ70" s="124"/>
      <c r="AK70" s="125" t="s">
        <v>1646</v>
      </c>
      <c r="AL70" s="64"/>
      <c r="AM70" s="225" t="str">
        <f>Subrates_Table_1</f>
        <v>Subrates Table 1</v>
      </c>
      <c r="AN70" s="225" t="str">
        <f>Subrates_Table_1</f>
        <v>Subrates Table 1</v>
      </c>
      <c r="AO70" s="225" t="str">
        <f>Subrates_Table_1</f>
        <v>Subrates Table 1</v>
      </c>
      <c r="AP70" s="64"/>
      <c r="AQ70" s="64"/>
      <c r="AR70" s="64"/>
      <c r="AS70" s="64"/>
      <c r="AT70" s="768"/>
      <c r="AV70" s="748"/>
      <c r="AY70" s="768"/>
      <c r="AZ70" s="768"/>
      <c r="BA70" s="838"/>
      <c r="BB70" s="768"/>
    </row>
    <row r="71" spans="1:62" s="520" customFormat="1" ht="15">
      <c r="B71" s="307"/>
      <c r="C71" s="824">
        <v>1</v>
      </c>
      <c r="D71" s="173"/>
      <c r="E71" s="49"/>
      <c r="F71" s="316"/>
      <c r="G71" s="37" t="s">
        <v>117</v>
      </c>
      <c r="H71" s="68"/>
      <c r="I71" s="316">
        <f t="shared" ref="I71:I90" si="11">F71</f>
        <v>0</v>
      </c>
      <c r="J71" s="30"/>
      <c r="K71" s="866">
        <f t="shared" ref="K71:K90" si="12">IF(J71="",IF(G71=Earthen,0,Default_Track_Cover),J71)</f>
        <v>0</v>
      </c>
      <c r="L71" s="867">
        <f t="shared" ref="L71:L90" si="13">I71*1000*IF(E71="",Track_width_default,E71)*K71/1000</f>
        <v>0</v>
      </c>
      <c r="M71" s="316"/>
      <c r="N71" s="30"/>
      <c r="O71" s="867">
        <f t="shared" ref="O71:O90" si="14">M71*1000*IF(E71="",Track_width_default,E71)*(IF(N71="",IF(G71=Earthen,0,Default_Track_Cover),N71))/1000</f>
        <v>0</v>
      </c>
      <c r="P71" s="324">
        <f t="shared" ref="P71:P90" si="15">I71-M71</f>
        <v>0</v>
      </c>
      <c r="Q71" s="325">
        <f t="shared" ref="Q71:Q90" si="16">P71*1000*IF(E71="",Track_width_default,E71)/10000</f>
        <v>0</v>
      </c>
      <c r="R71" s="316">
        <f>Q71</f>
        <v>0</v>
      </c>
      <c r="S71" s="74"/>
      <c r="T71" s="316">
        <v>0</v>
      </c>
      <c r="U71" s="324">
        <f t="shared" ref="U71:U90" si="17">IF(T71="",R71*10000*IF(S71&lt;&gt;"",S71,Default_Growth_Media)/1000,T71)</f>
        <v>0</v>
      </c>
      <c r="V71" s="316">
        <f t="shared" ref="V71:V90" si="18">Q71</f>
        <v>0</v>
      </c>
      <c r="W71" s="66">
        <v>1</v>
      </c>
      <c r="X71" s="66"/>
      <c r="Y71" s="67">
        <f t="shared" ref="Y71:Y90" si="19">100%-W71-X71</f>
        <v>0</v>
      </c>
      <c r="Z71" s="16" t="str">
        <f>IF(Y71&lt;0%,"Error","No Alert")</f>
        <v>No Alert</v>
      </c>
      <c r="AA71" s="37" t="s">
        <v>125</v>
      </c>
      <c r="AB71" s="60"/>
      <c r="AC71" s="40" t="s">
        <v>348</v>
      </c>
      <c r="AD71" s="60"/>
      <c r="AE71" s="37" t="s">
        <v>125</v>
      </c>
      <c r="AF71" s="60"/>
      <c r="AG71" s="79" t="s">
        <v>349</v>
      </c>
      <c r="AH71" s="60"/>
      <c r="AI71" s="37" t="s">
        <v>125</v>
      </c>
      <c r="AJ71" s="60"/>
      <c r="AK71" s="40" t="s">
        <v>348</v>
      </c>
      <c r="AL71" s="60"/>
      <c r="AM71" s="63">
        <f t="shared" ref="AM71:AM90" si="20">INDEX(Load_and_Haul_Values,MATCH(AA71,Load_and_Haul,0),MATCH(AC71,Load_Haul_Fleet_size,0))</f>
        <v>4.8064250364478198</v>
      </c>
      <c r="AN71" s="63">
        <f t="shared" ref="AN71:AN90" si="21">INDEX(Load_and_Haul_Values,MATCH(AE71,Load_and_Haul,0),MATCH(AG71,Load_Haul_Fleet_size,0))</f>
        <v>6.2664411871606829</v>
      </c>
      <c r="AO71" s="63">
        <f t="shared" ref="AO71:AO90" si="22">INDEX(Load_and_Haul_Values,MATCH(AI71,Load_and_Haul,0),MATCH(AK71,Load_Haul_Fleet_size,0))</f>
        <v>4.8064250364478198</v>
      </c>
      <c r="AP71" s="351">
        <f t="shared" ref="AP71:AP90" si="23">L71*AM71</f>
        <v>0</v>
      </c>
      <c r="AQ71" s="351">
        <f>Q71*IF($AQ$65="",$AQ$64,$AQ$65)</f>
        <v>0</v>
      </c>
      <c r="AR71" s="351">
        <f t="shared" ref="AR71:AR90" si="24">U71*AO71</f>
        <v>0</v>
      </c>
      <c r="AS71" s="351">
        <f t="shared" ref="AS71:AS90" si="25">O71*AN71</f>
        <v>0</v>
      </c>
      <c r="AT71" s="351">
        <f>V71*(W71*IF($AU$63="",$AT$63,$AU$63)+X71*IF($AU$64="",$AT$64,$AU$64))</f>
        <v>0</v>
      </c>
      <c r="AU71" s="276">
        <f t="shared" ref="AU71:AU90" si="26">SUM(AP71:AT71)</f>
        <v>0</v>
      </c>
      <c r="AV71" s="215"/>
      <c r="AW71" s="217"/>
      <c r="AX71" s="217"/>
      <c r="AY71" s="217"/>
      <c r="AZ71" s="217"/>
      <c r="BA71" s="217"/>
      <c r="BB71" s="217"/>
      <c r="BC71" s="217"/>
      <c r="BD71" s="217"/>
      <c r="BE71" s="218"/>
    </row>
    <row r="72" spans="1:62" s="520" customFormat="1" ht="15">
      <c r="B72" s="307"/>
      <c r="C72" s="824">
        <f t="shared" ref="C72:C90" si="27">C71+1</f>
        <v>2</v>
      </c>
      <c r="D72" s="173"/>
      <c r="E72" s="49"/>
      <c r="F72" s="316"/>
      <c r="G72" s="37" t="s">
        <v>118</v>
      </c>
      <c r="H72" s="68"/>
      <c r="I72" s="316">
        <f t="shared" si="11"/>
        <v>0</v>
      </c>
      <c r="J72" s="30"/>
      <c r="K72" s="866">
        <f t="shared" si="12"/>
        <v>150</v>
      </c>
      <c r="L72" s="867">
        <f t="shared" si="13"/>
        <v>0</v>
      </c>
      <c r="M72" s="316"/>
      <c r="N72" s="30"/>
      <c r="O72" s="867">
        <f t="shared" si="14"/>
        <v>0</v>
      </c>
      <c r="P72" s="324">
        <f t="shared" si="15"/>
        <v>0</v>
      </c>
      <c r="Q72" s="325">
        <f t="shared" si="16"/>
        <v>0</v>
      </c>
      <c r="R72" s="316">
        <f t="shared" ref="R72:R90" si="28">Q72</f>
        <v>0</v>
      </c>
      <c r="S72" s="74"/>
      <c r="T72" s="316"/>
      <c r="U72" s="324">
        <f t="shared" si="17"/>
        <v>0</v>
      </c>
      <c r="V72" s="316">
        <f t="shared" si="18"/>
        <v>0</v>
      </c>
      <c r="W72" s="66">
        <v>1</v>
      </c>
      <c r="X72" s="66"/>
      <c r="Y72" s="67">
        <f t="shared" si="19"/>
        <v>0</v>
      </c>
      <c r="Z72" s="16" t="str">
        <f t="shared" ref="Z72:Z90" si="29">IF(Y72&lt;0%,"Error","No Alert")</f>
        <v>No Alert</v>
      </c>
      <c r="AA72" s="37" t="s">
        <v>125</v>
      </c>
      <c r="AB72" s="60"/>
      <c r="AC72" s="40" t="s">
        <v>348</v>
      </c>
      <c r="AD72" s="60"/>
      <c r="AE72" s="37" t="s">
        <v>125</v>
      </c>
      <c r="AF72" s="60"/>
      <c r="AG72" s="79" t="s">
        <v>349</v>
      </c>
      <c r="AH72" s="60"/>
      <c r="AI72" s="37" t="s">
        <v>125</v>
      </c>
      <c r="AJ72" s="60"/>
      <c r="AK72" s="40" t="s">
        <v>348</v>
      </c>
      <c r="AL72" s="60"/>
      <c r="AM72" s="63">
        <f t="shared" si="20"/>
        <v>4.8064250364478198</v>
      </c>
      <c r="AN72" s="63">
        <f t="shared" si="21"/>
        <v>6.2664411871606829</v>
      </c>
      <c r="AO72" s="63">
        <f t="shared" si="22"/>
        <v>4.8064250364478198</v>
      </c>
      <c r="AP72" s="351">
        <f t="shared" si="23"/>
        <v>0</v>
      </c>
      <c r="AQ72" s="351">
        <f t="shared" ref="AQ72:AQ90" si="30">Q72*IF($AQ$65="",$AQ$64,$AQ$65)</f>
        <v>0</v>
      </c>
      <c r="AR72" s="351">
        <f t="shared" si="24"/>
        <v>0</v>
      </c>
      <c r="AS72" s="351">
        <f t="shared" si="25"/>
        <v>0</v>
      </c>
      <c r="AT72" s="351">
        <f t="shared" ref="AT72:AT90" si="31">V72*(W72*IF($AU$63="",$AT$63,$AU$63)+X72*IF($AU$64="",$AT$64,$AU$64))</f>
        <v>0</v>
      </c>
      <c r="AU72" s="276">
        <f t="shared" si="26"/>
        <v>0</v>
      </c>
      <c r="AV72" s="215"/>
      <c r="AW72" s="217"/>
      <c r="AX72" s="217"/>
      <c r="AY72" s="217"/>
      <c r="AZ72" s="217"/>
      <c r="BA72" s="217"/>
      <c r="BB72" s="217"/>
      <c r="BC72" s="217"/>
      <c r="BD72" s="217"/>
      <c r="BE72" s="218"/>
    </row>
    <row r="73" spans="1:62" s="520" customFormat="1" ht="15">
      <c r="B73" s="307"/>
      <c r="C73" s="824">
        <f t="shared" si="27"/>
        <v>3</v>
      </c>
      <c r="D73" s="173"/>
      <c r="E73" s="49"/>
      <c r="F73" s="316"/>
      <c r="G73" s="37" t="s">
        <v>46</v>
      </c>
      <c r="H73" s="68"/>
      <c r="I73" s="316">
        <f t="shared" si="11"/>
        <v>0</v>
      </c>
      <c r="J73" s="30"/>
      <c r="K73" s="866">
        <f t="shared" si="12"/>
        <v>150</v>
      </c>
      <c r="L73" s="867">
        <f t="shared" si="13"/>
        <v>0</v>
      </c>
      <c r="M73" s="316"/>
      <c r="N73" s="30"/>
      <c r="O73" s="867">
        <f t="shared" si="14"/>
        <v>0</v>
      </c>
      <c r="P73" s="324">
        <f t="shared" si="15"/>
        <v>0</v>
      </c>
      <c r="Q73" s="325">
        <f t="shared" si="16"/>
        <v>0</v>
      </c>
      <c r="R73" s="316">
        <f t="shared" si="28"/>
        <v>0</v>
      </c>
      <c r="S73" s="74"/>
      <c r="T73" s="316"/>
      <c r="U73" s="324">
        <f t="shared" si="17"/>
        <v>0</v>
      </c>
      <c r="V73" s="316">
        <f t="shared" si="18"/>
        <v>0</v>
      </c>
      <c r="W73" s="66">
        <v>1</v>
      </c>
      <c r="X73" s="66"/>
      <c r="Y73" s="67">
        <f t="shared" si="19"/>
        <v>0</v>
      </c>
      <c r="Z73" s="16" t="str">
        <f t="shared" si="29"/>
        <v>No Alert</v>
      </c>
      <c r="AA73" s="37" t="s">
        <v>125</v>
      </c>
      <c r="AB73" s="60"/>
      <c r="AC73" s="40" t="s">
        <v>348</v>
      </c>
      <c r="AD73" s="60"/>
      <c r="AE73" s="37" t="s">
        <v>125</v>
      </c>
      <c r="AF73" s="60"/>
      <c r="AG73" s="79" t="s">
        <v>349</v>
      </c>
      <c r="AH73" s="60"/>
      <c r="AI73" s="37" t="s">
        <v>125</v>
      </c>
      <c r="AJ73" s="60"/>
      <c r="AK73" s="40" t="s">
        <v>348</v>
      </c>
      <c r="AL73" s="60"/>
      <c r="AM73" s="63">
        <f t="shared" si="20"/>
        <v>4.8064250364478198</v>
      </c>
      <c r="AN73" s="63">
        <f t="shared" si="21"/>
        <v>6.2664411871606829</v>
      </c>
      <c r="AO73" s="63">
        <f t="shared" si="22"/>
        <v>4.8064250364478198</v>
      </c>
      <c r="AP73" s="351">
        <f t="shared" si="23"/>
        <v>0</v>
      </c>
      <c r="AQ73" s="351">
        <f t="shared" si="30"/>
        <v>0</v>
      </c>
      <c r="AR73" s="351">
        <f t="shared" si="24"/>
        <v>0</v>
      </c>
      <c r="AS73" s="351">
        <f t="shared" si="25"/>
        <v>0</v>
      </c>
      <c r="AT73" s="351">
        <f t="shared" si="31"/>
        <v>0</v>
      </c>
      <c r="AU73" s="276">
        <f t="shared" si="26"/>
        <v>0</v>
      </c>
      <c r="AV73" s="215"/>
      <c r="AW73" s="217"/>
      <c r="AX73" s="217"/>
      <c r="AY73" s="217"/>
      <c r="AZ73" s="217"/>
      <c r="BA73" s="217"/>
      <c r="BB73" s="217"/>
      <c r="BC73" s="217"/>
      <c r="BD73" s="217"/>
      <c r="BE73" s="218"/>
    </row>
    <row r="74" spans="1:62" s="520" customFormat="1" ht="15">
      <c r="B74" s="307"/>
      <c r="C74" s="824">
        <f t="shared" si="27"/>
        <v>4</v>
      </c>
      <c r="D74" s="173"/>
      <c r="E74" s="49"/>
      <c r="F74" s="316"/>
      <c r="G74" s="37" t="s">
        <v>1647</v>
      </c>
      <c r="H74" s="68"/>
      <c r="I74" s="316">
        <f t="shared" si="11"/>
        <v>0</v>
      </c>
      <c r="J74" s="30"/>
      <c r="K74" s="866">
        <f t="shared" si="12"/>
        <v>150</v>
      </c>
      <c r="L74" s="867">
        <f t="shared" si="13"/>
        <v>0</v>
      </c>
      <c r="M74" s="316"/>
      <c r="N74" s="30"/>
      <c r="O74" s="867">
        <f t="shared" si="14"/>
        <v>0</v>
      </c>
      <c r="P74" s="324">
        <f t="shared" si="15"/>
        <v>0</v>
      </c>
      <c r="Q74" s="325">
        <f t="shared" si="16"/>
        <v>0</v>
      </c>
      <c r="R74" s="316">
        <f t="shared" si="28"/>
        <v>0</v>
      </c>
      <c r="S74" s="74"/>
      <c r="T74" s="316"/>
      <c r="U74" s="324">
        <f t="shared" si="17"/>
        <v>0</v>
      </c>
      <c r="V74" s="316">
        <f t="shared" si="18"/>
        <v>0</v>
      </c>
      <c r="W74" s="66">
        <v>1</v>
      </c>
      <c r="X74" s="66"/>
      <c r="Y74" s="67">
        <f t="shared" si="19"/>
        <v>0</v>
      </c>
      <c r="Z74" s="16" t="str">
        <f t="shared" si="29"/>
        <v>No Alert</v>
      </c>
      <c r="AA74" s="37" t="s">
        <v>125</v>
      </c>
      <c r="AB74" s="60"/>
      <c r="AC74" s="40" t="s">
        <v>348</v>
      </c>
      <c r="AD74" s="60"/>
      <c r="AE74" s="37" t="s">
        <v>125</v>
      </c>
      <c r="AF74" s="60"/>
      <c r="AG74" s="79" t="s">
        <v>349</v>
      </c>
      <c r="AH74" s="60"/>
      <c r="AI74" s="37" t="s">
        <v>125</v>
      </c>
      <c r="AJ74" s="60"/>
      <c r="AK74" s="40" t="s">
        <v>348</v>
      </c>
      <c r="AL74" s="60"/>
      <c r="AM74" s="63">
        <f t="shared" si="20"/>
        <v>4.8064250364478198</v>
      </c>
      <c r="AN74" s="63">
        <f t="shared" si="21"/>
        <v>6.2664411871606829</v>
      </c>
      <c r="AO74" s="63">
        <f t="shared" si="22"/>
        <v>4.8064250364478198</v>
      </c>
      <c r="AP74" s="351">
        <f t="shared" si="23"/>
        <v>0</v>
      </c>
      <c r="AQ74" s="351">
        <f t="shared" si="30"/>
        <v>0</v>
      </c>
      <c r="AR74" s="351">
        <f t="shared" si="24"/>
        <v>0</v>
      </c>
      <c r="AS74" s="351">
        <f t="shared" si="25"/>
        <v>0</v>
      </c>
      <c r="AT74" s="351">
        <f t="shared" si="31"/>
        <v>0</v>
      </c>
      <c r="AU74" s="276">
        <f t="shared" si="26"/>
        <v>0</v>
      </c>
      <c r="AV74" s="215"/>
      <c r="AW74" s="217"/>
      <c r="AX74" s="217"/>
      <c r="AY74" s="217"/>
      <c r="AZ74" s="217"/>
      <c r="BA74" s="217"/>
      <c r="BB74" s="217"/>
      <c r="BC74" s="217"/>
      <c r="BD74" s="217"/>
      <c r="BE74" s="218"/>
    </row>
    <row r="75" spans="1:62" s="520" customFormat="1" ht="15">
      <c r="B75" s="307"/>
      <c r="C75" s="824">
        <f t="shared" si="27"/>
        <v>5</v>
      </c>
      <c r="D75" s="173"/>
      <c r="E75" s="49"/>
      <c r="F75" s="316"/>
      <c r="G75" s="37" t="s">
        <v>117</v>
      </c>
      <c r="H75" s="68"/>
      <c r="I75" s="316">
        <f t="shared" si="11"/>
        <v>0</v>
      </c>
      <c r="J75" s="30"/>
      <c r="K75" s="866">
        <f t="shared" si="12"/>
        <v>0</v>
      </c>
      <c r="L75" s="867">
        <f t="shared" si="13"/>
        <v>0</v>
      </c>
      <c r="M75" s="316"/>
      <c r="N75" s="30"/>
      <c r="O75" s="867">
        <f t="shared" si="14"/>
        <v>0</v>
      </c>
      <c r="P75" s="324">
        <f t="shared" si="15"/>
        <v>0</v>
      </c>
      <c r="Q75" s="325">
        <f t="shared" si="16"/>
        <v>0</v>
      </c>
      <c r="R75" s="316">
        <f t="shared" si="28"/>
        <v>0</v>
      </c>
      <c r="S75" s="74"/>
      <c r="T75" s="316"/>
      <c r="U75" s="324">
        <f t="shared" si="17"/>
        <v>0</v>
      </c>
      <c r="V75" s="316">
        <f t="shared" si="18"/>
        <v>0</v>
      </c>
      <c r="W75" s="66">
        <v>1</v>
      </c>
      <c r="X75" s="66"/>
      <c r="Y75" s="67">
        <f t="shared" si="19"/>
        <v>0</v>
      </c>
      <c r="Z75" s="16" t="str">
        <f t="shared" si="29"/>
        <v>No Alert</v>
      </c>
      <c r="AA75" s="37" t="s">
        <v>125</v>
      </c>
      <c r="AB75" s="60"/>
      <c r="AC75" s="40" t="s">
        <v>348</v>
      </c>
      <c r="AD75" s="60"/>
      <c r="AE75" s="37" t="s">
        <v>125</v>
      </c>
      <c r="AF75" s="60"/>
      <c r="AG75" s="79" t="s">
        <v>349</v>
      </c>
      <c r="AH75" s="60"/>
      <c r="AI75" s="37" t="s">
        <v>125</v>
      </c>
      <c r="AJ75" s="60"/>
      <c r="AK75" s="40" t="s">
        <v>348</v>
      </c>
      <c r="AL75" s="60"/>
      <c r="AM75" s="63">
        <f t="shared" si="20"/>
        <v>4.8064250364478198</v>
      </c>
      <c r="AN75" s="63">
        <f t="shared" si="21"/>
        <v>6.2664411871606829</v>
      </c>
      <c r="AO75" s="63">
        <f t="shared" si="22"/>
        <v>4.8064250364478198</v>
      </c>
      <c r="AP75" s="351">
        <f t="shared" si="23"/>
        <v>0</v>
      </c>
      <c r="AQ75" s="351">
        <f t="shared" si="30"/>
        <v>0</v>
      </c>
      <c r="AR75" s="351">
        <f t="shared" si="24"/>
        <v>0</v>
      </c>
      <c r="AS75" s="351">
        <f t="shared" si="25"/>
        <v>0</v>
      </c>
      <c r="AT75" s="351">
        <f t="shared" si="31"/>
        <v>0</v>
      </c>
      <c r="AU75" s="276">
        <f t="shared" si="26"/>
        <v>0</v>
      </c>
      <c r="AV75" s="215"/>
      <c r="AW75" s="217"/>
      <c r="AX75" s="217"/>
      <c r="AY75" s="217"/>
      <c r="AZ75" s="217"/>
      <c r="BA75" s="217"/>
      <c r="BB75" s="217"/>
      <c r="BC75" s="217"/>
      <c r="BD75" s="217"/>
      <c r="BE75" s="218"/>
    </row>
    <row r="76" spans="1:62" s="520" customFormat="1" ht="15">
      <c r="B76" s="307"/>
      <c r="C76" s="824">
        <f t="shared" si="27"/>
        <v>6</v>
      </c>
      <c r="D76" s="173"/>
      <c r="E76" s="49"/>
      <c r="F76" s="316"/>
      <c r="G76" s="37" t="s">
        <v>117</v>
      </c>
      <c r="H76" s="68"/>
      <c r="I76" s="316">
        <f t="shared" si="11"/>
        <v>0</v>
      </c>
      <c r="J76" s="30"/>
      <c r="K76" s="866">
        <f t="shared" si="12"/>
        <v>0</v>
      </c>
      <c r="L76" s="867">
        <f t="shared" si="13"/>
        <v>0</v>
      </c>
      <c r="M76" s="316"/>
      <c r="N76" s="30"/>
      <c r="O76" s="867">
        <f t="shared" si="14"/>
        <v>0</v>
      </c>
      <c r="P76" s="324">
        <f t="shared" si="15"/>
        <v>0</v>
      </c>
      <c r="Q76" s="325">
        <f t="shared" si="16"/>
        <v>0</v>
      </c>
      <c r="R76" s="316">
        <f t="shared" si="28"/>
        <v>0</v>
      </c>
      <c r="S76" s="74"/>
      <c r="T76" s="316"/>
      <c r="U76" s="324">
        <f t="shared" si="17"/>
        <v>0</v>
      </c>
      <c r="V76" s="316">
        <f t="shared" si="18"/>
        <v>0</v>
      </c>
      <c r="W76" s="66">
        <v>1</v>
      </c>
      <c r="X76" s="66"/>
      <c r="Y76" s="67">
        <f t="shared" si="19"/>
        <v>0</v>
      </c>
      <c r="Z76" s="16" t="str">
        <f t="shared" si="29"/>
        <v>No Alert</v>
      </c>
      <c r="AA76" s="37" t="s">
        <v>125</v>
      </c>
      <c r="AB76" s="60"/>
      <c r="AC76" s="40" t="s">
        <v>348</v>
      </c>
      <c r="AD76" s="60"/>
      <c r="AE76" s="37" t="s">
        <v>125</v>
      </c>
      <c r="AF76" s="60"/>
      <c r="AG76" s="79" t="s">
        <v>349</v>
      </c>
      <c r="AH76" s="60"/>
      <c r="AI76" s="37" t="s">
        <v>125</v>
      </c>
      <c r="AJ76" s="60"/>
      <c r="AK76" s="40" t="s">
        <v>348</v>
      </c>
      <c r="AL76" s="60"/>
      <c r="AM76" s="63">
        <f t="shared" si="20"/>
        <v>4.8064250364478198</v>
      </c>
      <c r="AN76" s="63">
        <f t="shared" si="21"/>
        <v>6.2664411871606829</v>
      </c>
      <c r="AO76" s="63">
        <f t="shared" si="22"/>
        <v>4.8064250364478198</v>
      </c>
      <c r="AP76" s="351">
        <f t="shared" si="23"/>
        <v>0</v>
      </c>
      <c r="AQ76" s="351">
        <f t="shared" si="30"/>
        <v>0</v>
      </c>
      <c r="AR76" s="351">
        <f t="shared" si="24"/>
        <v>0</v>
      </c>
      <c r="AS76" s="351">
        <f t="shared" si="25"/>
        <v>0</v>
      </c>
      <c r="AT76" s="351">
        <f t="shared" si="31"/>
        <v>0</v>
      </c>
      <c r="AU76" s="276">
        <f t="shared" si="26"/>
        <v>0</v>
      </c>
      <c r="AV76" s="215"/>
      <c r="AW76" s="217"/>
      <c r="AX76" s="217"/>
      <c r="AY76" s="217"/>
      <c r="AZ76" s="217"/>
      <c r="BA76" s="217"/>
      <c r="BB76" s="217"/>
      <c r="BC76" s="217"/>
      <c r="BD76" s="217"/>
      <c r="BE76" s="218"/>
    </row>
    <row r="77" spans="1:62" s="520" customFormat="1" ht="15">
      <c r="B77" s="307"/>
      <c r="C77" s="824">
        <f t="shared" si="27"/>
        <v>7</v>
      </c>
      <c r="D77" s="173"/>
      <c r="E77" s="49"/>
      <c r="F77" s="316"/>
      <c r="G77" s="37" t="s">
        <v>117</v>
      </c>
      <c r="H77" s="68"/>
      <c r="I77" s="316">
        <f t="shared" si="11"/>
        <v>0</v>
      </c>
      <c r="J77" s="30"/>
      <c r="K77" s="866">
        <f t="shared" si="12"/>
        <v>0</v>
      </c>
      <c r="L77" s="867">
        <f t="shared" si="13"/>
        <v>0</v>
      </c>
      <c r="M77" s="316"/>
      <c r="N77" s="30"/>
      <c r="O77" s="867">
        <f t="shared" si="14"/>
        <v>0</v>
      </c>
      <c r="P77" s="324">
        <f t="shared" si="15"/>
        <v>0</v>
      </c>
      <c r="Q77" s="325">
        <f t="shared" si="16"/>
        <v>0</v>
      </c>
      <c r="R77" s="316">
        <f t="shared" si="28"/>
        <v>0</v>
      </c>
      <c r="S77" s="74"/>
      <c r="T77" s="316"/>
      <c r="U77" s="324">
        <f t="shared" si="17"/>
        <v>0</v>
      </c>
      <c r="V77" s="316">
        <f t="shared" si="18"/>
        <v>0</v>
      </c>
      <c r="W77" s="66">
        <v>1</v>
      </c>
      <c r="X77" s="66"/>
      <c r="Y77" s="67">
        <f t="shared" si="19"/>
        <v>0</v>
      </c>
      <c r="Z77" s="16" t="str">
        <f t="shared" si="29"/>
        <v>No Alert</v>
      </c>
      <c r="AA77" s="37" t="s">
        <v>125</v>
      </c>
      <c r="AB77" s="60"/>
      <c r="AC77" s="40" t="s">
        <v>348</v>
      </c>
      <c r="AD77" s="60"/>
      <c r="AE77" s="37" t="s">
        <v>125</v>
      </c>
      <c r="AF77" s="60"/>
      <c r="AG77" s="79" t="s">
        <v>349</v>
      </c>
      <c r="AH77" s="60"/>
      <c r="AI77" s="37" t="s">
        <v>125</v>
      </c>
      <c r="AJ77" s="60"/>
      <c r="AK77" s="40" t="s">
        <v>348</v>
      </c>
      <c r="AL77" s="60"/>
      <c r="AM77" s="63">
        <f t="shared" si="20"/>
        <v>4.8064250364478198</v>
      </c>
      <c r="AN77" s="63">
        <f t="shared" si="21"/>
        <v>6.2664411871606829</v>
      </c>
      <c r="AO77" s="63">
        <f t="shared" si="22"/>
        <v>4.8064250364478198</v>
      </c>
      <c r="AP77" s="351">
        <f t="shared" si="23"/>
        <v>0</v>
      </c>
      <c r="AQ77" s="351">
        <f t="shared" si="30"/>
        <v>0</v>
      </c>
      <c r="AR77" s="351">
        <f t="shared" si="24"/>
        <v>0</v>
      </c>
      <c r="AS77" s="351">
        <f t="shared" si="25"/>
        <v>0</v>
      </c>
      <c r="AT77" s="351">
        <f t="shared" si="31"/>
        <v>0</v>
      </c>
      <c r="AU77" s="276">
        <f t="shared" si="26"/>
        <v>0</v>
      </c>
      <c r="AV77" s="215"/>
      <c r="AW77" s="217"/>
      <c r="AX77" s="217"/>
      <c r="AY77" s="217"/>
      <c r="AZ77" s="217"/>
      <c r="BA77" s="217"/>
      <c r="BB77" s="217"/>
      <c r="BC77" s="217"/>
      <c r="BD77" s="217"/>
      <c r="BE77" s="218"/>
    </row>
    <row r="78" spans="1:62" s="520" customFormat="1" ht="15">
      <c r="B78" s="307"/>
      <c r="C78" s="824">
        <f t="shared" si="27"/>
        <v>8</v>
      </c>
      <c r="D78" s="173"/>
      <c r="E78" s="49"/>
      <c r="F78" s="316"/>
      <c r="G78" s="37" t="s">
        <v>117</v>
      </c>
      <c r="H78" s="68"/>
      <c r="I78" s="316">
        <f t="shared" si="11"/>
        <v>0</v>
      </c>
      <c r="J78" s="30"/>
      <c r="K78" s="866">
        <f t="shared" si="12"/>
        <v>0</v>
      </c>
      <c r="L78" s="867">
        <f t="shared" si="13"/>
        <v>0</v>
      </c>
      <c r="M78" s="316"/>
      <c r="N78" s="30"/>
      <c r="O78" s="867">
        <f t="shared" si="14"/>
        <v>0</v>
      </c>
      <c r="P78" s="324">
        <f t="shared" si="15"/>
        <v>0</v>
      </c>
      <c r="Q78" s="325">
        <f t="shared" si="16"/>
        <v>0</v>
      </c>
      <c r="R78" s="316">
        <f t="shared" si="28"/>
        <v>0</v>
      </c>
      <c r="S78" s="74"/>
      <c r="T78" s="316"/>
      <c r="U78" s="324">
        <f t="shared" si="17"/>
        <v>0</v>
      </c>
      <c r="V78" s="316">
        <f t="shared" si="18"/>
        <v>0</v>
      </c>
      <c r="W78" s="66">
        <v>1</v>
      </c>
      <c r="X78" s="66"/>
      <c r="Y78" s="67">
        <f t="shared" si="19"/>
        <v>0</v>
      </c>
      <c r="Z78" s="16" t="str">
        <f t="shared" si="29"/>
        <v>No Alert</v>
      </c>
      <c r="AA78" s="37" t="s">
        <v>125</v>
      </c>
      <c r="AB78" s="60"/>
      <c r="AC78" s="40" t="s">
        <v>348</v>
      </c>
      <c r="AD78" s="60"/>
      <c r="AE78" s="37" t="s">
        <v>125</v>
      </c>
      <c r="AF78" s="60"/>
      <c r="AG78" s="79" t="s">
        <v>349</v>
      </c>
      <c r="AH78" s="60"/>
      <c r="AI78" s="37" t="s">
        <v>125</v>
      </c>
      <c r="AJ78" s="60"/>
      <c r="AK78" s="40" t="s">
        <v>348</v>
      </c>
      <c r="AL78" s="60"/>
      <c r="AM78" s="63">
        <f t="shared" si="20"/>
        <v>4.8064250364478198</v>
      </c>
      <c r="AN78" s="63">
        <f t="shared" si="21"/>
        <v>6.2664411871606829</v>
      </c>
      <c r="AO78" s="63">
        <f t="shared" si="22"/>
        <v>4.8064250364478198</v>
      </c>
      <c r="AP78" s="351">
        <f t="shared" si="23"/>
        <v>0</v>
      </c>
      <c r="AQ78" s="351">
        <f t="shared" si="30"/>
        <v>0</v>
      </c>
      <c r="AR78" s="351">
        <f t="shared" si="24"/>
        <v>0</v>
      </c>
      <c r="AS78" s="351">
        <f t="shared" si="25"/>
        <v>0</v>
      </c>
      <c r="AT78" s="351">
        <f t="shared" si="31"/>
        <v>0</v>
      </c>
      <c r="AU78" s="276">
        <f t="shared" si="26"/>
        <v>0</v>
      </c>
      <c r="AV78" s="215"/>
      <c r="AW78" s="217"/>
      <c r="AX78" s="217"/>
      <c r="AY78" s="217"/>
      <c r="AZ78" s="217"/>
      <c r="BA78" s="217"/>
      <c r="BB78" s="217"/>
      <c r="BC78" s="217"/>
      <c r="BD78" s="217"/>
      <c r="BE78" s="218"/>
    </row>
    <row r="79" spans="1:62" s="520" customFormat="1" ht="15">
      <c r="B79" s="307"/>
      <c r="C79" s="824">
        <f t="shared" si="27"/>
        <v>9</v>
      </c>
      <c r="D79" s="173"/>
      <c r="E79" s="49"/>
      <c r="F79" s="316"/>
      <c r="G79" s="37" t="s">
        <v>117</v>
      </c>
      <c r="H79" s="68"/>
      <c r="I79" s="316">
        <f t="shared" si="11"/>
        <v>0</v>
      </c>
      <c r="J79" s="30"/>
      <c r="K79" s="866">
        <f t="shared" si="12"/>
        <v>0</v>
      </c>
      <c r="L79" s="867">
        <f t="shared" si="13"/>
        <v>0</v>
      </c>
      <c r="M79" s="316"/>
      <c r="N79" s="30"/>
      <c r="O79" s="867">
        <f t="shared" si="14"/>
        <v>0</v>
      </c>
      <c r="P79" s="324">
        <f t="shared" si="15"/>
        <v>0</v>
      </c>
      <c r="Q79" s="325">
        <f t="shared" si="16"/>
        <v>0</v>
      </c>
      <c r="R79" s="316">
        <f t="shared" si="28"/>
        <v>0</v>
      </c>
      <c r="S79" s="74"/>
      <c r="T79" s="316"/>
      <c r="U79" s="324">
        <f t="shared" si="17"/>
        <v>0</v>
      </c>
      <c r="V79" s="316">
        <f t="shared" si="18"/>
        <v>0</v>
      </c>
      <c r="W79" s="66">
        <v>1</v>
      </c>
      <c r="X79" s="66"/>
      <c r="Y79" s="67">
        <f t="shared" si="19"/>
        <v>0</v>
      </c>
      <c r="Z79" s="16" t="str">
        <f t="shared" si="29"/>
        <v>No Alert</v>
      </c>
      <c r="AA79" s="37" t="s">
        <v>125</v>
      </c>
      <c r="AB79" s="60"/>
      <c r="AC79" s="40" t="s">
        <v>348</v>
      </c>
      <c r="AD79" s="60"/>
      <c r="AE79" s="37" t="s">
        <v>125</v>
      </c>
      <c r="AF79" s="60"/>
      <c r="AG79" s="79" t="s">
        <v>349</v>
      </c>
      <c r="AH79" s="60"/>
      <c r="AI79" s="37" t="s">
        <v>125</v>
      </c>
      <c r="AJ79" s="60"/>
      <c r="AK79" s="40" t="s">
        <v>348</v>
      </c>
      <c r="AL79" s="60"/>
      <c r="AM79" s="63">
        <f t="shared" si="20"/>
        <v>4.8064250364478198</v>
      </c>
      <c r="AN79" s="63">
        <f t="shared" si="21"/>
        <v>6.2664411871606829</v>
      </c>
      <c r="AO79" s="63">
        <f t="shared" si="22"/>
        <v>4.8064250364478198</v>
      </c>
      <c r="AP79" s="351">
        <f t="shared" si="23"/>
        <v>0</v>
      </c>
      <c r="AQ79" s="351">
        <f t="shared" si="30"/>
        <v>0</v>
      </c>
      <c r="AR79" s="351">
        <f t="shared" si="24"/>
        <v>0</v>
      </c>
      <c r="AS79" s="351">
        <f t="shared" si="25"/>
        <v>0</v>
      </c>
      <c r="AT79" s="351">
        <f t="shared" si="31"/>
        <v>0</v>
      </c>
      <c r="AU79" s="276">
        <f t="shared" si="26"/>
        <v>0</v>
      </c>
      <c r="AV79" s="215"/>
      <c r="AW79" s="217"/>
      <c r="AX79" s="217"/>
      <c r="AY79" s="217"/>
      <c r="AZ79" s="217"/>
      <c r="BA79" s="217"/>
      <c r="BB79" s="217"/>
      <c r="BC79" s="217"/>
      <c r="BD79" s="217"/>
      <c r="BE79" s="218"/>
    </row>
    <row r="80" spans="1:62" s="520" customFormat="1" ht="15">
      <c r="B80" s="307"/>
      <c r="C80" s="824">
        <f t="shared" si="27"/>
        <v>10</v>
      </c>
      <c r="D80" s="173"/>
      <c r="E80" s="49"/>
      <c r="F80" s="316"/>
      <c r="G80" s="37" t="s">
        <v>117</v>
      </c>
      <c r="H80" s="68"/>
      <c r="I80" s="316">
        <f t="shared" si="11"/>
        <v>0</v>
      </c>
      <c r="J80" s="30"/>
      <c r="K80" s="866">
        <f t="shared" si="12"/>
        <v>0</v>
      </c>
      <c r="L80" s="867">
        <f t="shared" si="13"/>
        <v>0</v>
      </c>
      <c r="M80" s="316"/>
      <c r="N80" s="30"/>
      <c r="O80" s="867">
        <f t="shared" si="14"/>
        <v>0</v>
      </c>
      <c r="P80" s="324">
        <f t="shared" si="15"/>
        <v>0</v>
      </c>
      <c r="Q80" s="325">
        <f t="shared" si="16"/>
        <v>0</v>
      </c>
      <c r="R80" s="316">
        <f t="shared" si="28"/>
        <v>0</v>
      </c>
      <c r="S80" s="74"/>
      <c r="T80" s="316"/>
      <c r="U80" s="324">
        <f t="shared" si="17"/>
        <v>0</v>
      </c>
      <c r="V80" s="316">
        <f t="shared" si="18"/>
        <v>0</v>
      </c>
      <c r="W80" s="66">
        <v>1</v>
      </c>
      <c r="X80" s="66"/>
      <c r="Y80" s="67">
        <f t="shared" si="19"/>
        <v>0</v>
      </c>
      <c r="Z80" s="16" t="str">
        <f t="shared" si="29"/>
        <v>No Alert</v>
      </c>
      <c r="AA80" s="37" t="s">
        <v>125</v>
      </c>
      <c r="AB80" s="60"/>
      <c r="AC80" s="40" t="s">
        <v>348</v>
      </c>
      <c r="AD80" s="60"/>
      <c r="AE80" s="37" t="s">
        <v>125</v>
      </c>
      <c r="AF80" s="60"/>
      <c r="AG80" s="79" t="s">
        <v>349</v>
      </c>
      <c r="AH80" s="60"/>
      <c r="AI80" s="37" t="s">
        <v>125</v>
      </c>
      <c r="AJ80" s="60"/>
      <c r="AK80" s="40" t="s">
        <v>348</v>
      </c>
      <c r="AL80" s="60"/>
      <c r="AM80" s="63">
        <f t="shared" si="20"/>
        <v>4.8064250364478198</v>
      </c>
      <c r="AN80" s="63">
        <f t="shared" si="21"/>
        <v>6.2664411871606829</v>
      </c>
      <c r="AO80" s="63">
        <f t="shared" si="22"/>
        <v>4.8064250364478198</v>
      </c>
      <c r="AP80" s="351">
        <f t="shared" si="23"/>
        <v>0</v>
      </c>
      <c r="AQ80" s="351">
        <f t="shared" si="30"/>
        <v>0</v>
      </c>
      <c r="AR80" s="351">
        <f t="shared" si="24"/>
        <v>0</v>
      </c>
      <c r="AS80" s="351">
        <f t="shared" si="25"/>
        <v>0</v>
      </c>
      <c r="AT80" s="351">
        <f t="shared" si="31"/>
        <v>0</v>
      </c>
      <c r="AU80" s="276">
        <f t="shared" si="26"/>
        <v>0</v>
      </c>
      <c r="AV80" s="215"/>
      <c r="AW80" s="217"/>
      <c r="AX80" s="217"/>
      <c r="AY80" s="217"/>
      <c r="AZ80" s="217"/>
      <c r="BA80" s="217"/>
      <c r="BB80" s="217"/>
      <c r="BC80" s="217"/>
      <c r="BD80" s="217"/>
      <c r="BE80" s="218"/>
    </row>
    <row r="81" spans="2:57" s="520" customFormat="1" ht="15">
      <c r="B81" s="307"/>
      <c r="C81" s="824">
        <f t="shared" si="27"/>
        <v>11</v>
      </c>
      <c r="D81" s="173"/>
      <c r="E81" s="49"/>
      <c r="F81" s="316"/>
      <c r="G81" s="37" t="s">
        <v>117</v>
      </c>
      <c r="H81" s="68"/>
      <c r="I81" s="316">
        <f t="shared" si="11"/>
        <v>0</v>
      </c>
      <c r="J81" s="30"/>
      <c r="K81" s="866">
        <f t="shared" si="12"/>
        <v>0</v>
      </c>
      <c r="L81" s="867">
        <f t="shared" si="13"/>
        <v>0</v>
      </c>
      <c r="M81" s="316"/>
      <c r="N81" s="30"/>
      <c r="O81" s="867">
        <f t="shared" si="14"/>
        <v>0</v>
      </c>
      <c r="P81" s="324">
        <f t="shared" si="15"/>
        <v>0</v>
      </c>
      <c r="Q81" s="325">
        <f t="shared" si="16"/>
        <v>0</v>
      </c>
      <c r="R81" s="316">
        <f t="shared" si="28"/>
        <v>0</v>
      </c>
      <c r="S81" s="74"/>
      <c r="T81" s="316"/>
      <c r="U81" s="324">
        <f t="shared" si="17"/>
        <v>0</v>
      </c>
      <c r="V81" s="316">
        <f t="shared" si="18"/>
        <v>0</v>
      </c>
      <c r="W81" s="66">
        <v>1</v>
      </c>
      <c r="X81" s="66"/>
      <c r="Y81" s="67">
        <f t="shared" si="19"/>
        <v>0</v>
      </c>
      <c r="Z81" s="16" t="str">
        <f t="shared" si="29"/>
        <v>No Alert</v>
      </c>
      <c r="AA81" s="37" t="s">
        <v>125</v>
      </c>
      <c r="AB81" s="60"/>
      <c r="AC81" s="40" t="s">
        <v>348</v>
      </c>
      <c r="AD81" s="60"/>
      <c r="AE81" s="37" t="s">
        <v>125</v>
      </c>
      <c r="AF81" s="60"/>
      <c r="AG81" s="79" t="s">
        <v>349</v>
      </c>
      <c r="AH81" s="60"/>
      <c r="AI81" s="37" t="s">
        <v>125</v>
      </c>
      <c r="AJ81" s="60"/>
      <c r="AK81" s="40" t="s">
        <v>348</v>
      </c>
      <c r="AL81" s="60"/>
      <c r="AM81" s="63">
        <f t="shared" si="20"/>
        <v>4.8064250364478198</v>
      </c>
      <c r="AN81" s="63">
        <f t="shared" si="21"/>
        <v>6.2664411871606829</v>
      </c>
      <c r="AO81" s="63">
        <f t="shared" si="22"/>
        <v>4.8064250364478198</v>
      </c>
      <c r="AP81" s="351">
        <f t="shared" si="23"/>
        <v>0</v>
      </c>
      <c r="AQ81" s="351">
        <f t="shared" si="30"/>
        <v>0</v>
      </c>
      <c r="AR81" s="351">
        <f t="shared" si="24"/>
        <v>0</v>
      </c>
      <c r="AS81" s="351">
        <f t="shared" si="25"/>
        <v>0</v>
      </c>
      <c r="AT81" s="351">
        <f t="shared" si="31"/>
        <v>0</v>
      </c>
      <c r="AU81" s="276">
        <f t="shared" si="26"/>
        <v>0</v>
      </c>
      <c r="AV81" s="215"/>
      <c r="AW81" s="217"/>
      <c r="AX81" s="217"/>
      <c r="AY81" s="217"/>
      <c r="AZ81" s="217"/>
      <c r="BA81" s="217"/>
      <c r="BB81" s="217"/>
      <c r="BC81" s="217"/>
      <c r="BD81" s="217"/>
      <c r="BE81" s="218"/>
    </row>
    <row r="82" spans="2:57" s="520" customFormat="1" ht="15">
      <c r="B82" s="307"/>
      <c r="C82" s="824">
        <f t="shared" si="27"/>
        <v>12</v>
      </c>
      <c r="D82" s="173"/>
      <c r="E82" s="49"/>
      <c r="F82" s="316"/>
      <c r="G82" s="37" t="s">
        <v>117</v>
      </c>
      <c r="H82" s="68"/>
      <c r="I82" s="316">
        <f t="shared" si="11"/>
        <v>0</v>
      </c>
      <c r="J82" s="30"/>
      <c r="K82" s="866">
        <f t="shared" si="12"/>
        <v>0</v>
      </c>
      <c r="L82" s="867">
        <f t="shared" si="13"/>
        <v>0</v>
      </c>
      <c r="M82" s="316"/>
      <c r="N82" s="30"/>
      <c r="O82" s="867">
        <f t="shared" si="14"/>
        <v>0</v>
      </c>
      <c r="P82" s="324">
        <f t="shared" si="15"/>
        <v>0</v>
      </c>
      <c r="Q82" s="325">
        <f t="shared" si="16"/>
        <v>0</v>
      </c>
      <c r="R82" s="316">
        <f t="shared" si="28"/>
        <v>0</v>
      </c>
      <c r="S82" s="74"/>
      <c r="T82" s="316"/>
      <c r="U82" s="324">
        <f t="shared" si="17"/>
        <v>0</v>
      </c>
      <c r="V82" s="316">
        <f t="shared" si="18"/>
        <v>0</v>
      </c>
      <c r="W82" s="66">
        <v>1</v>
      </c>
      <c r="X82" s="66"/>
      <c r="Y82" s="67">
        <f t="shared" si="19"/>
        <v>0</v>
      </c>
      <c r="Z82" s="16" t="str">
        <f t="shared" si="29"/>
        <v>No Alert</v>
      </c>
      <c r="AA82" s="37" t="s">
        <v>125</v>
      </c>
      <c r="AB82" s="60"/>
      <c r="AC82" s="40" t="s">
        <v>348</v>
      </c>
      <c r="AD82" s="60"/>
      <c r="AE82" s="37" t="s">
        <v>125</v>
      </c>
      <c r="AF82" s="60"/>
      <c r="AG82" s="79" t="s">
        <v>349</v>
      </c>
      <c r="AH82" s="60"/>
      <c r="AI82" s="37" t="s">
        <v>125</v>
      </c>
      <c r="AJ82" s="60"/>
      <c r="AK82" s="40" t="s">
        <v>348</v>
      </c>
      <c r="AL82" s="60"/>
      <c r="AM82" s="63">
        <f t="shared" si="20"/>
        <v>4.8064250364478198</v>
      </c>
      <c r="AN82" s="63">
        <f t="shared" si="21"/>
        <v>6.2664411871606829</v>
      </c>
      <c r="AO82" s="63">
        <f t="shared" si="22"/>
        <v>4.8064250364478198</v>
      </c>
      <c r="AP82" s="351">
        <f t="shared" si="23"/>
        <v>0</v>
      </c>
      <c r="AQ82" s="351">
        <f t="shared" si="30"/>
        <v>0</v>
      </c>
      <c r="AR82" s="351">
        <f t="shared" si="24"/>
        <v>0</v>
      </c>
      <c r="AS82" s="351">
        <f t="shared" si="25"/>
        <v>0</v>
      </c>
      <c r="AT82" s="351">
        <f t="shared" si="31"/>
        <v>0</v>
      </c>
      <c r="AU82" s="276">
        <f t="shared" si="26"/>
        <v>0</v>
      </c>
      <c r="AV82" s="215"/>
      <c r="AW82" s="217"/>
      <c r="AX82" s="217"/>
      <c r="AY82" s="217"/>
      <c r="AZ82" s="217"/>
      <c r="BA82" s="217"/>
      <c r="BB82" s="217"/>
      <c r="BC82" s="217"/>
      <c r="BD82" s="217"/>
      <c r="BE82" s="218"/>
    </row>
    <row r="83" spans="2:57" s="520" customFormat="1" ht="15">
      <c r="B83" s="307"/>
      <c r="C83" s="824">
        <f t="shared" si="27"/>
        <v>13</v>
      </c>
      <c r="D83" s="173"/>
      <c r="E83" s="49"/>
      <c r="F83" s="316"/>
      <c r="G83" s="37" t="s">
        <v>117</v>
      </c>
      <c r="H83" s="68"/>
      <c r="I83" s="316">
        <f t="shared" si="11"/>
        <v>0</v>
      </c>
      <c r="J83" s="30"/>
      <c r="K83" s="866">
        <f t="shared" si="12"/>
        <v>0</v>
      </c>
      <c r="L83" s="867">
        <f t="shared" si="13"/>
        <v>0</v>
      </c>
      <c r="M83" s="316"/>
      <c r="N83" s="30"/>
      <c r="O83" s="867">
        <f t="shared" si="14"/>
        <v>0</v>
      </c>
      <c r="P83" s="324">
        <f t="shared" si="15"/>
        <v>0</v>
      </c>
      <c r="Q83" s="325">
        <f t="shared" si="16"/>
        <v>0</v>
      </c>
      <c r="R83" s="316">
        <f t="shared" si="28"/>
        <v>0</v>
      </c>
      <c r="S83" s="74"/>
      <c r="T83" s="316"/>
      <c r="U83" s="324">
        <f t="shared" si="17"/>
        <v>0</v>
      </c>
      <c r="V83" s="316">
        <f t="shared" si="18"/>
        <v>0</v>
      </c>
      <c r="W83" s="66">
        <v>1</v>
      </c>
      <c r="X83" s="66"/>
      <c r="Y83" s="67">
        <f t="shared" si="19"/>
        <v>0</v>
      </c>
      <c r="Z83" s="16" t="str">
        <f t="shared" si="29"/>
        <v>No Alert</v>
      </c>
      <c r="AA83" s="37" t="s">
        <v>125</v>
      </c>
      <c r="AB83" s="60"/>
      <c r="AC83" s="40" t="s">
        <v>348</v>
      </c>
      <c r="AD83" s="60"/>
      <c r="AE83" s="37" t="s">
        <v>125</v>
      </c>
      <c r="AF83" s="60"/>
      <c r="AG83" s="79" t="s">
        <v>349</v>
      </c>
      <c r="AH83" s="60"/>
      <c r="AI83" s="37" t="s">
        <v>125</v>
      </c>
      <c r="AJ83" s="60"/>
      <c r="AK83" s="40" t="s">
        <v>348</v>
      </c>
      <c r="AL83" s="60"/>
      <c r="AM83" s="63">
        <f t="shared" si="20"/>
        <v>4.8064250364478198</v>
      </c>
      <c r="AN83" s="63">
        <f t="shared" si="21"/>
        <v>6.2664411871606829</v>
      </c>
      <c r="AO83" s="63">
        <f t="shared" si="22"/>
        <v>4.8064250364478198</v>
      </c>
      <c r="AP83" s="351">
        <f t="shared" si="23"/>
        <v>0</v>
      </c>
      <c r="AQ83" s="351">
        <f t="shared" si="30"/>
        <v>0</v>
      </c>
      <c r="AR83" s="351">
        <f t="shared" si="24"/>
        <v>0</v>
      </c>
      <c r="AS83" s="351">
        <f t="shared" si="25"/>
        <v>0</v>
      </c>
      <c r="AT83" s="351">
        <f t="shared" si="31"/>
        <v>0</v>
      </c>
      <c r="AU83" s="276">
        <f t="shared" si="26"/>
        <v>0</v>
      </c>
      <c r="AV83" s="215"/>
      <c r="AW83" s="217"/>
      <c r="AX83" s="217"/>
      <c r="AY83" s="217"/>
      <c r="AZ83" s="217"/>
      <c r="BA83" s="217"/>
      <c r="BB83" s="217"/>
      <c r="BC83" s="217"/>
      <c r="BD83" s="217"/>
      <c r="BE83" s="218"/>
    </row>
    <row r="84" spans="2:57" s="520" customFormat="1" ht="15">
      <c r="B84" s="307"/>
      <c r="C84" s="824">
        <f t="shared" si="27"/>
        <v>14</v>
      </c>
      <c r="D84" s="173"/>
      <c r="E84" s="49"/>
      <c r="F84" s="316"/>
      <c r="G84" s="37" t="s">
        <v>117</v>
      </c>
      <c r="H84" s="68"/>
      <c r="I84" s="316">
        <f t="shared" si="11"/>
        <v>0</v>
      </c>
      <c r="J84" s="30"/>
      <c r="K84" s="866">
        <f t="shared" si="12"/>
        <v>0</v>
      </c>
      <c r="L84" s="867">
        <f t="shared" si="13"/>
        <v>0</v>
      </c>
      <c r="M84" s="316"/>
      <c r="N84" s="30"/>
      <c r="O84" s="867">
        <f t="shared" si="14"/>
        <v>0</v>
      </c>
      <c r="P84" s="324">
        <f t="shared" si="15"/>
        <v>0</v>
      </c>
      <c r="Q84" s="325">
        <f t="shared" si="16"/>
        <v>0</v>
      </c>
      <c r="R84" s="316">
        <f t="shared" si="28"/>
        <v>0</v>
      </c>
      <c r="S84" s="74"/>
      <c r="T84" s="316"/>
      <c r="U84" s="324">
        <f t="shared" si="17"/>
        <v>0</v>
      </c>
      <c r="V84" s="316">
        <f t="shared" si="18"/>
        <v>0</v>
      </c>
      <c r="W84" s="66">
        <v>1</v>
      </c>
      <c r="X84" s="66"/>
      <c r="Y84" s="67">
        <f t="shared" si="19"/>
        <v>0</v>
      </c>
      <c r="Z84" s="16" t="str">
        <f t="shared" si="29"/>
        <v>No Alert</v>
      </c>
      <c r="AA84" s="37" t="s">
        <v>125</v>
      </c>
      <c r="AB84" s="60"/>
      <c r="AC84" s="40" t="s">
        <v>348</v>
      </c>
      <c r="AD84" s="60"/>
      <c r="AE84" s="37" t="s">
        <v>125</v>
      </c>
      <c r="AF84" s="60"/>
      <c r="AG84" s="79" t="s">
        <v>349</v>
      </c>
      <c r="AH84" s="60"/>
      <c r="AI84" s="37" t="s">
        <v>125</v>
      </c>
      <c r="AJ84" s="60"/>
      <c r="AK84" s="40" t="s">
        <v>348</v>
      </c>
      <c r="AL84" s="60"/>
      <c r="AM84" s="63">
        <f t="shared" si="20"/>
        <v>4.8064250364478198</v>
      </c>
      <c r="AN84" s="63">
        <f t="shared" si="21"/>
        <v>6.2664411871606829</v>
      </c>
      <c r="AO84" s="63">
        <f t="shared" si="22"/>
        <v>4.8064250364478198</v>
      </c>
      <c r="AP84" s="351">
        <f t="shared" si="23"/>
        <v>0</v>
      </c>
      <c r="AQ84" s="351">
        <f t="shared" si="30"/>
        <v>0</v>
      </c>
      <c r="AR84" s="351">
        <f t="shared" si="24"/>
        <v>0</v>
      </c>
      <c r="AS84" s="351">
        <f t="shared" si="25"/>
        <v>0</v>
      </c>
      <c r="AT84" s="351">
        <f t="shared" si="31"/>
        <v>0</v>
      </c>
      <c r="AU84" s="276">
        <f t="shared" si="26"/>
        <v>0</v>
      </c>
      <c r="AV84" s="215"/>
      <c r="AW84" s="217"/>
      <c r="AX84" s="217"/>
      <c r="AY84" s="217"/>
      <c r="AZ84" s="217"/>
      <c r="BA84" s="217"/>
      <c r="BB84" s="217"/>
      <c r="BC84" s="217"/>
      <c r="BD84" s="217"/>
      <c r="BE84" s="218"/>
    </row>
    <row r="85" spans="2:57" s="520" customFormat="1" ht="15">
      <c r="B85" s="307"/>
      <c r="C85" s="824">
        <f t="shared" si="27"/>
        <v>15</v>
      </c>
      <c r="D85" s="173"/>
      <c r="E85" s="49"/>
      <c r="F85" s="316"/>
      <c r="G85" s="37" t="s">
        <v>117</v>
      </c>
      <c r="H85" s="68"/>
      <c r="I85" s="316">
        <f t="shared" si="11"/>
        <v>0</v>
      </c>
      <c r="J85" s="30"/>
      <c r="K85" s="866">
        <f t="shared" si="12"/>
        <v>0</v>
      </c>
      <c r="L85" s="867">
        <f t="shared" si="13"/>
        <v>0</v>
      </c>
      <c r="M85" s="316"/>
      <c r="N85" s="30"/>
      <c r="O85" s="867">
        <f t="shared" si="14"/>
        <v>0</v>
      </c>
      <c r="P85" s="324">
        <f t="shared" si="15"/>
        <v>0</v>
      </c>
      <c r="Q85" s="325">
        <f t="shared" si="16"/>
        <v>0</v>
      </c>
      <c r="R85" s="316">
        <f t="shared" si="28"/>
        <v>0</v>
      </c>
      <c r="S85" s="74"/>
      <c r="T85" s="316"/>
      <c r="U85" s="324">
        <f t="shared" si="17"/>
        <v>0</v>
      </c>
      <c r="V85" s="316">
        <f t="shared" si="18"/>
        <v>0</v>
      </c>
      <c r="W85" s="66">
        <v>1</v>
      </c>
      <c r="X85" s="66"/>
      <c r="Y85" s="67">
        <f t="shared" si="19"/>
        <v>0</v>
      </c>
      <c r="Z85" s="16" t="str">
        <f t="shared" si="29"/>
        <v>No Alert</v>
      </c>
      <c r="AA85" s="37" t="s">
        <v>125</v>
      </c>
      <c r="AB85" s="60"/>
      <c r="AC85" s="40" t="s">
        <v>348</v>
      </c>
      <c r="AD85" s="60"/>
      <c r="AE85" s="37" t="s">
        <v>125</v>
      </c>
      <c r="AF85" s="60"/>
      <c r="AG85" s="79" t="s">
        <v>349</v>
      </c>
      <c r="AH85" s="60"/>
      <c r="AI85" s="37" t="s">
        <v>125</v>
      </c>
      <c r="AJ85" s="60"/>
      <c r="AK85" s="40" t="s">
        <v>348</v>
      </c>
      <c r="AL85" s="60"/>
      <c r="AM85" s="63">
        <f t="shared" si="20"/>
        <v>4.8064250364478198</v>
      </c>
      <c r="AN85" s="63">
        <f t="shared" si="21"/>
        <v>6.2664411871606829</v>
      </c>
      <c r="AO85" s="63">
        <f t="shared" si="22"/>
        <v>4.8064250364478198</v>
      </c>
      <c r="AP85" s="351">
        <f t="shared" si="23"/>
        <v>0</v>
      </c>
      <c r="AQ85" s="351">
        <f t="shared" si="30"/>
        <v>0</v>
      </c>
      <c r="AR85" s="351">
        <f t="shared" si="24"/>
        <v>0</v>
      </c>
      <c r="AS85" s="351">
        <f t="shared" si="25"/>
        <v>0</v>
      </c>
      <c r="AT85" s="351">
        <f t="shared" si="31"/>
        <v>0</v>
      </c>
      <c r="AU85" s="276">
        <f t="shared" si="26"/>
        <v>0</v>
      </c>
      <c r="AV85" s="215"/>
      <c r="AW85" s="217"/>
      <c r="AX85" s="217"/>
      <c r="AY85" s="217"/>
      <c r="AZ85" s="217"/>
      <c r="BA85" s="217"/>
      <c r="BB85" s="217"/>
      <c r="BC85" s="217"/>
      <c r="BD85" s="217"/>
      <c r="BE85" s="218"/>
    </row>
    <row r="86" spans="2:57" s="520" customFormat="1" ht="15">
      <c r="B86" s="307"/>
      <c r="C86" s="824">
        <f t="shared" si="27"/>
        <v>16</v>
      </c>
      <c r="D86" s="173"/>
      <c r="E86" s="49"/>
      <c r="F86" s="316"/>
      <c r="G86" s="37" t="s">
        <v>117</v>
      </c>
      <c r="H86" s="68"/>
      <c r="I86" s="316">
        <f t="shared" si="11"/>
        <v>0</v>
      </c>
      <c r="J86" s="30"/>
      <c r="K86" s="866">
        <f t="shared" si="12"/>
        <v>0</v>
      </c>
      <c r="L86" s="867">
        <f t="shared" si="13"/>
        <v>0</v>
      </c>
      <c r="M86" s="316"/>
      <c r="N86" s="30"/>
      <c r="O86" s="867">
        <f t="shared" si="14"/>
        <v>0</v>
      </c>
      <c r="P86" s="324">
        <f t="shared" si="15"/>
        <v>0</v>
      </c>
      <c r="Q86" s="325">
        <f t="shared" si="16"/>
        <v>0</v>
      </c>
      <c r="R86" s="316">
        <f t="shared" si="28"/>
        <v>0</v>
      </c>
      <c r="S86" s="74"/>
      <c r="T86" s="316"/>
      <c r="U86" s="324">
        <f t="shared" si="17"/>
        <v>0</v>
      </c>
      <c r="V86" s="316">
        <f t="shared" si="18"/>
        <v>0</v>
      </c>
      <c r="W86" s="66">
        <v>1</v>
      </c>
      <c r="X86" s="66"/>
      <c r="Y86" s="67">
        <f t="shared" si="19"/>
        <v>0</v>
      </c>
      <c r="Z86" s="16" t="str">
        <f t="shared" si="29"/>
        <v>No Alert</v>
      </c>
      <c r="AA86" s="37" t="s">
        <v>125</v>
      </c>
      <c r="AB86" s="60"/>
      <c r="AC86" s="40" t="s">
        <v>348</v>
      </c>
      <c r="AD86" s="60"/>
      <c r="AE86" s="37" t="s">
        <v>125</v>
      </c>
      <c r="AF86" s="60"/>
      <c r="AG86" s="79" t="s">
        <v>349</v>
      </c>
      <c r="AH86" s="60"/>
      <c r="AI86" s="37" t="s">
        <v>125</v>
      </c>
      <c r="AJ86" s="60"/>
      <c r="AK86" s="40" t="s">
        <v>348</v>
      </c>
      <c r="AL86" s="60"/>
      <c r="AM86" s="63">
        <f t="shared" si="20"/>
        <v>4.8064250364478198</v>
      </c>
      <c r="AN86" s="63">
        <f t="shared" si="21"/>
        <v>6.2664411871606829</v>
      </c>
      <c r="AO86" s="63">
        <f t="shared" si="22"/>
        <v>4.8064250364478198</v>
      </c>
      <c r="AP86" s="351">
        <f t="shared" si="23"/>
        <v>0</v>
      </c>
      <c r="AQ86" s="351">
        <f t="shared" si="30"/>
        <v>0</v>
      </c>
      <c r="AR86" s="351">
        <f t="shared" si="24"/>
        <v>0</v>
      </c>
      <c r="AS86" s="351">
        <f t="shared" si="25"/>
        <v>0</v>
      </c>
      <c r="AT86" s="351">
        <f t="shared" si="31"/>
        <v>0</v>
      </c>
      <c r="AU86" s="276">
        <f t="shared" si="26"/>
        <v>0</v>
      </c>
      <c r="AV86" s="215"/>
      <c r="AW86" s="217"/>
      <c r="AX86" s="217"/>
      <c r="AY86" s="217"/>
      <c r="AZ86" s="217"/>
      <c r="BA86" s="217"/>
      <c r="BB86" s="217"/>
      <c r="BC86" s="217"/>
      <c r="BD86" s="217"/>
      <c r="BE86" s="218"/>
    </row>
    <row r="87" spans="2:57" s="520" customFormat="1" ht="15">
      <c r="B87" s="307"/>
      <c r="C87" s="824">
        <f t="shared" si="27"/>
        <v>17</v>
      </c>
      <c r="D87" s="173"/>
      <c r="E87" s="49"/>
      <c r="F87" s="316"/>
      <c r="G87" s="37" t="s">
        <v>117</v>
      </c>
      <c r="H87" s="68"/>
      <c r="I87" s="316">
        <f t="shared" si="11"/>
        <v>0</v>
      </c>
      <c r="J87" s="30"/>
      <c r="K87" s="866">
        <f t="shared" si="12"/>
        <v>0</v>
      </c>
      <c r="L87" s="867">
        <f t="shared" si="13"/>
        <v>0</v>
      </c>
      <c r="M87" s="316"/>
      <c r="N87" s="30"/>
      <c r="O87" s="867">
        <f t="shared" si="14"/>
        <v>0</v>
      </c>
      <c r="P87" s="324">
        <f t="shared" si="15"/>
        <v>0</v>
      </c>
      <c r="Q87" s="325">
        <f t="shared" si="16"/>
        <v>0</v>
      </c>
      <c r="R87" s="316">
        <f t="shared" si="28"/>
        <v>0</v>
      </c>
      <c r="S87" s="74"/>
      <c r="T87" s="316"/>
      <c r="U87" s="324">
        <f t="shared" si="17"/>
        <v>0</v>
      </c>
      <c r="V87" s="316">
        <f t="shared" si="18"/>
        <v>0</v>
      </c>
      <c r="W87" s="66">
        <v>1</v>
      </c>
      <c r="X87" s="66"/>
      <c r="Y87" s="67">
        <f t="shared" si="19"/>
        <v>0</v>
      </c>
      <c r="Z87" s="16" t="str">
        <f t="shared" si="29"/>
        <v>No Alert</v>
      </c>
      <c r="AA87" s="37" t="s">
        <v>125</v>
      </c>
      <c r="AB87" s="60"/>
      <c r="AC87" s="40" t="s">
        <v>348</v>
      </c>
      <c r="AD87" s="60"/>
      <c r="AE87" s="37" t="s">
        <v>125</v>
      </c>
      <c r="AF87" s="60"/>
      <c r="AG87" s="79" t="s">
        <v>349</v>
      </c>
      <c r="AH87" s="60"/>
      <c r="AI87" s="37" t="s">
        <v>125</v>
      </c>
      <c r="AJ87" s="60"/>
      <c r="AK87" s="40" t="s">
        <v>348</v>
      </c>
      <c r="AL87" s="60"/>
      <c r="AM87" s="63">
        <f t="shared" si="20"/>
        <v>4.8064250364478198</v>
      </c>
      <c r="AN87" s="63">
        <f t="shared" si="21"/>
        <v>6.2664411871606829</v>
      </c>
      <c r="AO87" s="63">
        <f t="shared" si="22"/>
        <v>4.8064250364478198</v>
      </c>
      <c r="AP87" s="351">
        <f t="shared" si="23"/>
        <v>0</v>
      </c>
      <c r="AQ87" s="351">
        <f t="shared" si="30"/>
        <v>0</v>
      </c>
      <c r="AR87" s="351">
        <f t="shared" si="24"/>
        <v>0</v>
      </c>
      <c r="AS87" s="351">
        <f t="shared" si="25"/>
        <v>0</v>
      </c>
      <c r="AT87" s="351">
        <f t="shared" si="31"/>
        <v>0</v>
      </c>
      <c r="AU87" s="276">
        <f t="shared" si="26"/>
        <v>0</v>
      </c>
      <c r="AV87" s="215"/>
      <c r="AW87" s="217"/>
      <c r="AX87" s="217"/>
      <c r="AY87" s="217"/>
      <c r="AZ87" s="217"/>
      <c r="BA87" s="217"/>
      <c r="BB87" s="217"/>
      <c r="BC87" s="217"/>
      <c r="BD87" s="217"/>
      <c r="BE87" s="218"/>
    </row>
    <row r="88" spans="2:57" s="520" customFormat="1" ht="15">
      <c r="B88" s="307"/>
      <c r="C88" s="824">
        <f t="shared" si="27"/>
        <v>18</v>
      </c>
      <c r="D88" s="173"/>
      <c r="E88" s="49"/>
      <c r="F88" s="316"/>
      <c r="G88" s="37" t="s">
        <v>117</v>
      </c>
      <c r="H88" s="68"/>
      <c r="I88" s="316">
        <f t="shared" si="11"/>
        <v>0</v>
      </c>
      <c r="J88" s="30"/>
      <c r="K88" s="866">
        <f t="shared" si="12"/>
        <v>0</v>
      </c>
      <c r="L88" s="867">
        <f t="shared" si="13"/>
        <v>0</v>
      </c>
      <c r="M88" s="316"/>
      <c r="N88" s="30"/>
      <c r="O88" s="867">
        <f t="shared" si="14"/>
        <v>0</v>
      </c>
      <c r="P88" s="324">
        <f t="shared" si="15"/>
        <v>0</v>
      </c>
      <c r="Q88" s="325">
        <f t="shared" si="16"/>
        <v>0</v>
      </c>
      <c r="R88" s="316">
        <f t="shared" si="28"/>
        <v>0</v>
      </c>
      <c r="S88" s="74"/>
      <c r="T88" s="316"/>
      <c r="U88" s="324">
        <f t="shared" si="17"/>
        <v>0</v>
      </c>
      <c r="V88" s="316">
        <f t="shared" si="18"/>
        <v>0</v>
      </c>
      <c r="W88" s="66">
        <v>1</v>
      </c>
      <c r="X88" s="66"/>
      <c r="Y88" s="67">
        <f t="shared" si="19"/>
        <v>0</v>
      </c>
      <c r="Z88" s="16" t="str">
        <f t="shared" si="29"/>
        <v>No Alert</v>
      </c>
      <c r="AA88" s="37" t="s">
        <v>125</v>
      </c>
      <c r="AB88" s="60"/>
      <c r="AC88" s="40" t="s">
        <v>348</v>
      </c>
      <c r="AD88" s="60"/>
      <c r="AE88" s="37" t="s">
        <v>125</v>
      </c>
      <c r="AF88" s="60"/>
      <c r="AG88" s="79" t="s">
        <v>349</v>
      </c>
      <c r="AH88" s="60"/>
      <c r="AI88" s="37" t="s">
        <v>125</v>
      </c>
      <c r="AJ88" s="60"/>
      <c r="AK88" s="40" t="s">
        <v>348</v>
      </c>
      <c r="AL88" s="60"/>
      <c r="AM88" s="63">
        <f t="shared" si="20"/>
        <v>4.8064250364478198</v>
      </c>
      <c r="AN88" s="63">
        <f t="shared" si="21"/>
        <v>6.2664411871606829</v>
      </c>
      <c r="AO88" s="63">
        <f t="shared" si="22"/>
        <v>4.8064250364478198</v>
      </c>
      <c r="AP88" s="351">
        <f t="shared" si="23"/>
        <v>0</v>
      </c>
      <c r="AQ88" s="351">
        <f t="shared" si="30"/>
        <v>0</v>
      </c>
      <c r="AR88" s="351">
        <f t="shared" si="24"/>
        <v>0</v>
      </c>
      <c r="AS88" s="351">
        <f t="shared" si="25"/>
        <v>0</v>
      </c>
      <c r="AT88" s="351">
        <f t="shared" si="31"/>
        <v>0</v>
      </c>
      <c r="AU88" s="276">
        <f t="shared" si="26"/>
        <v>0</v>
      </c>
      <c r="AV88" s="215"/>
      <c r="AW88" s="217"/>
      <c r="AX88" s="217"/>
      <c r="AY88" s="217"/>
      <c r="AZ88" s="217"/>
      <c r="BA88" s="217"/>
      <c r="BB88" s="217"/>
      <c r="BC88" s="217"/>
      <c r="BD88" s="217"/>
      <c r="BE88" s="218"/>
    </row>
    <row r="89" spans="2:57" s="520" customFormat="1" ht="15">
      <c r="B89" s="307"/>
      <c r="C89" s="824">
        <f t="shared" si="27"/>
        <v>19</v>
      </c>
      <c r="D89" s="173"/>
      <c r="E89" s="49"/>
      <c r="F89" s="316"/>
      <c r="G89" s="37" t="s">
        <v>117</v>
      </c>
      <c r="H89" s="68"/>
      <c r="I89" s="316">
        <f t="shared" si="11"/>
        <v>0</v>
      </c>
      <c r="J89" s="30"/>
      <c r="K89" s="866">
        <f t="shared" si="12"/>
        <v>0</v>
      </c>
      <c r="L89" s="867">
        <f t="shared" si="13"/>
        <v>0</v>
      </c>
      <c r="M89" s="316"/>
      <c r="N89" s="30"/>
      <c r="O89" s="867">
        <f t="shared" si="14"/>
        <v>0</v>
      </c>
      <c r="P89" s="324">
        <f t="shared" si="15"/>
        <v>0</v>
      </c>
      <c r="Q89" s="325">
        <f t="shared" si="16"/>
        <v>0</v>
      </c>
      <c r="R89" s="316">
        <f t="shared" si="28"/>
        <v>0</v>
      </c>
      <c r="S89" s="74"/>
      <c r="T89" s="316"/>
      <c r="U89" s="324">
        <f t="shared" si="17"/>
        <v>0</v>
      </c>
      <c r="V89" s="316">
        <f t="shared" si="18"/>
        <v>0</v>
      </c>
      <c r="W89" s="66">
        <v>1</v>
      </c>
      <c r="X89" s="66"/>
      <c r="Y89" s="67">
        <f t="shared" si="19"/>
        <v>0</v>
      </c>
      <c r="Z89" s="16" t="str">
        <f t="shared" si="29"/>
        <v>No Alert</v>
      </c>
      <c r="AA89" s="37" t="s">
        <v>125</v>
      </c>
      <c r="AB89" s="60"/>
      <c r="AC89" s="40" t="s">
        <v>348</v>
      </c>
      <c r="AD89" s="60"/>
      <c r="AE89" s="37" t="s">
        <v>125</v>
      </c>
      <c r="AF89" s="60"/>
      <c r="AG89" s="79" t="s">
        <v>349</v>
      </c>
      <c r="AH89" s="60"/>
      <c r="AI89" s="37" t="s">
        <v>125</v>
      </c>
      <c r="AJ89" s="60"/>
      <c r="AK89" s="40" t="s">
        <v>348</v>
      </c>
      <c r="AL89" s="60"/>
      <c r="AM89" s="63">
        <f t="shared" si="20"/>
        <v>4.8064250364478198</v>
      </c>
      <c r="AN89" s="63">
        <f t="shared" si="21"/>
        <v>6.2664411871606829</v>
      </c>
      <c r="AO89" s="63">
        <f t="shared" si="22"/>
        <v>4.8064250364478198</v>
      </c>
      <c r="AP89" s="351">
        <f t="shared" si="23"/>
        <v>0</v>
      </c>
      <c r="AQ89" s="351">
        <f t="shared" si="30"/>
        <v>0</v>
      </c>
      <c r="AR89" s="351">
        <f t="shared" si="24"/>
        <v>0</v>
      </c>
      <c r="AS89" s="351">
        <f t="shared" si="25"/>
        <v>0</v>
      </c>
      <c r="AT89" s="351">
        <f t="shared" si="31"/>
        <v>0</v>
      </c>
      <c r="AU89" s="276">
        <f t="shared" si="26"/>
        <v>0</v>
      </c>
      <c r="AV89" s="215"/>
      <c r="AW89" s="217"/>
      <c r="AX89" s="217"/>
      <c r="AY89" s="217"/>
      <c r="AZ89" s="217"/>
      <c r="BA89" s="217"/>
      <c r="BB89" s="217"/>
      <c r="BC89" s="217"/>
      <c r="BD89" s="217"/>
      <c r="BE89" s="218"/>
    </row>
    <row r="90" spans="2:57" s="520" customFormat="1" ht="15">
      <c r="B90" s="307"/>
      <c r="C90" s="824">
        <f t="shared" si="27"/>
        <v>20</v>
      </c>
      <c r="D90" s="173"/>
      <c r="E90" s="49"/>
      <c r="F90" s="316"/>
      <c r="G90" s="37" t="s">
        <v>117</v>
      </c>
      <c r="H90" s="68"/>
      <c r="I90" s="316">
        <f t="shared" si="11"/>
        <v>0</v>
      </c>
      <c r="J90" s="30"/>
      <c r="K90" s="866">
        <f t="shared" si="12"/>
        <v>0</v>
      </c>
      <c r="L90" s="867">
        <f t="shared" si="13"/>
        <v>0</v>
      </c>
      <c r="M90" s="316"/>
      <c r="N90" s="30"/>
      <c r="O90" s="867">
        <f t="shared" si="14"/>
        <v>0</v>
      </c>
      <c r="P90" s="324">
        <f t="shared" si="15"/>
        <v>0</v>
      </c>
      <c r="Q90" s="325">
        <f t="shared" si="16"/>
        <v>0</v>
      </c>
      <c r="R90" s="316">
        <f t="shared" si="28"/>
        <v>0</v>
      </c>
      <c r="S90" s="74"/>
      <c r="T90" s="316"/>
      <c r="U90" s="324">
        <f t="shared" si="17"/>
        <v>0</v>
      </c>
      <c r="V90" s="316">
        <f t="shared" si="18"/>
        <v>0</v>
      </c>
      <c r="W90" s="66">
        <v>1</v>
      </c>
      <c r="X90" s="66"/>
      <c r="Y90" s="67">
        <f t="shared" si="19"/>
        <v>0</v>
      </c>
      <c r="Z90" s="16" t="str">
        <f t="shared" si="29"/>
        <v>No Alert</v>
      </c>
      <c r="AA90" s="37" t="s">
        <v>125</v>
      </c>
      <c r="AB90" s="60"/>
      <c r="AC90" s="40" t="s">
        <v>348</v>
      </c>
      <c r="AD90" s="60"/>
      <c r="AE90" s="37" t="s">
        <v>125</v>
      </c>
      <c r="AF90" s="60"/>
      <c r="AG90" s="79" t="s">
        <v>349</v>
      </c>
      <c r="AH90" s="60"/>
      <c r="AI90" s="37" t="s">
        <v>125</v>
      </c>
      <c r="AJ90" s="60"/>
      <c r="AK90" s="40" t="s">
        <v>348</v>
      </c>
      <c r="AL90" s="60"/>
      <c r="AM90" s="63">
        <f t="shared" si="20"/>
        <v>4.8064250364478198</v>
      </c>
      <c r="AN90" s="63">
        <f t="shared" si="21"/>
        <v>6.2664411871606829</v>
      </c>
      <c r="AO90" s="63">
        <f t="shared" si="22"/>
        <v>4.8064250364478198</v>
      </c>
      <c r="AP90" s="351">
        <f t="shared" si="23"/>
        <v>0</v>
      </c>
      <c r="AQ90" s="351">
        <f t="shared" si="30"/>
        <v>0</v>
      </c>
      <c r="AR90" s="351">
        <f t="shared" si="24"/>
        <v>0</v>
      </c>
      <c r="AS90" s="351">
        <f t="shared" si="25"/>
        <v>0</v>
      </c>
      <c r="AT90" s="351">
        <f t="shared" si="31"/>
        <v>0</v>
      </c>
      <c r="AU90" s="276">
        <f t="shared" si="26"/>
        <v>0</v>
      </c>
      <c r="AV90" s="215"/>
      <c r="AW90" s="217"/>
      <c r="AX90" s="217"/>
      <c r="AY90" s="217"/>
      <c r="AZ90" s="217"/>
      <c r="BA90" s="217"/>
      <c r="BB90" s="217"/>
      <c r="BC90" s="217"/>
      <c r="BD90" s="217"/>
      <c r="BE90" s="218"/>
    </row>
    <row r="91" spans="2:57" s="520" customFormat="1" ht="18" customHeight="1">
      <c r="B91" s="23"/>
      <c r="C91" s="23"/>
      <c r="D91" s="23"/>
      <c r="E91" s="23"/>
      <c r="F91" s="323"/>
      <c r="G91" s="23"/>
      <c r="H91" s="23"/>
      <c r="I91" s="323"/>
      <c r="J91" s="23"/>
      <c r="K91" s="23"/>
      <c r="L91" s="323"/>
      <c r="M91" s="323"/>
      <c r="N91" s="23"/>
      <c r="O91" s="323"/>
      <c r="P91" s="868"/>
      <c r="Q91" s="323"/>
      <c r="R91" s="323"/>
      <c r="T91" s="869"/>
      <c r="U91" s="868"/>
      <c r="V91" s="870"/>
      <c r="W91" s="23"/>
      <c r="X91" s="23"/>
      <c r="Y91" s="23"/>
      <c r="Z91" s="23"/>
      <c r="AA91" s="23"/>
      <c r="AB91" s="23"/>
      <c r="AC91" s="23"/>
      <c r="AD91" s="23"/>
      <c r="AE91" s="23"/>
      <c r="AF91" s="23"/>
      <c r="AG91" s="23"/>
      <c r="AH91" s="23"/>
      <c r="AI91" s="23"/>
      <c r="AJ91" s="23"/>
      <c r="AK91" s="23"/>
      <c r="AL91" s="23"/>
      <c r="AM91" s="550"/>
      <c r="AN91" s="23"/>
      <c r="AO91" s="23"/>
      <c r="AP91" s="54"/>
      <c r="AQ91" s="54"/>
      <c r="AR91" s="54"/>
      <c r="AS91" s="871"/>
      <c r="AT91" s="54"/>
      <c r="AU91" s="872"/>
    </row>
    <row r="92" spans="2:57" s="520" customFormat="1" ht="18" customHeight="1">
      <c r="B92" s="789"/>
      <c r="C92" s="789"/>
      <c r="D92" s="789"/>
      <c r="E92" s="873"/>
      <c r="F92" s="372">
        <f>SUM(F70:F91)</f>
        <v>0</v>
      </c>
      <c r="G92" s="835" t="s">
        <v>24</v>
      </c>
      <c r="H92" s="736"/>
      <c r="I92" s="372">
        <f>SUM(I70:I91)</f>
        <v>0</v>
      </c>
      <c r="J92" s="736"/>
      <c r="K92" s="736"/>
      <c r="L92" s="372">
        <f>SUM(L70:L91)</f>
        <v>0</v>
      </c>
      <c r="M92" s="372">
        <f>SUM(M70:M91)</f>
        <v>0</v>
      </c>
      <c r="N92" s="70"/>
      <c r="O92" s="372">
        <f>SUM(O70:O91)</f>
        <v>0</v>
      </c>
      <c r="P92" s="372">
        <f>SUM(P70:P91)</f>
        <v>0</v>
      </c>
      <c r="Q92" s="372">
        <f>SUM(Q70:Q91)</f>
        <v>0</v>
      </c>
      <c r="R92" s="372">
        <f>SUM(R70:R91)</f>
        <v>0</v>
      </c>
      <c r="T92" s="372">
        <f>SUM(T70:T91)</f>
        <v>0</v>
      </c>
      <c r="U92" s="372">
        <f>SUM(U70:U91)</f>
        <v>0</v>
      </c>
      <c r="V92" s="372">
        <f>SUM(V70:V91)</f>
        <v>0</v>
      </c>
      <c r="W92" s="70"/>
      <c r="X92" s="70"/>
      <c r="Y92" s="70"/>
      <c r="Z92" s="70"/>
      <c r="AA92" s="736"/>
      <c r="AB92" s="736"/>
      <c r="AC92" s="736"/>
      <c r="AD92" s="736"/>
      <c r="AE92" s="70"/>
      <c r="AF92" s="70"/>
      <c r="AG92" s="736"/>
      <c r="AH92" s="736"/>
      <c r="AI92" s="736"/>
      <c r="AJ92" s="736"/>
      <c r="AK92" s="736"/>
      <c r="AL92" s="736"/>
      <c r="AM92" s="736"/>
      <c r="AN92" s="70"/>
      <c r="AO92" s="70"/>
      <c r="AP92" s="351">
        <f t="shared" ref="AP92:AU92" si="32">SUM(AP70:AP91)</f>
        <v>0</v>
      </c>
      <c r="AQ92" s="351">
        <f t="shared" si="32"/>
        <v>0</v>
      </c>
      <c r="AR92" s="351">
        <f t="shared" si="32"/>
        <v>0</v>
      </c>
      <c r="AS92" s="351">
        <f t="shared" si="32"/>
        <v>0</v>
      </c>
      <c r="AT92" s="351">
        <f t="shared" si="32"/>
        <v>0</v>
      </c>
      <c r="AU92" s="276">
        <f t="shared" si="32"/>
        <v>0</v>
      </c>
      <c r="AV92" s="874">
        <f>IF(F92=0,0,AU92/F92)</f>
        <v>0</v>
      </c>
      <c r="AW92" s="520" t="s">
        <v>1648</v>
      </c>
    </row>
    <row r="93" spans="2:57" s="520" customFormat="1" ht="18" customHeight="1">
      <c r="B93" s="789"/>
      <c r="C93" s="789"/>
      <c r="D93" s="789"/>
      <c r="E93" s="873"/>
      <c r="F93" s="873"/>
      <c r="G93" s="873"/>
      <c r="H93" s="873"/>
      <c r="I93" s="873"/>
      <c r="J93" s="873"/>
      <c r="K93" s="873"/>
      <c r="L93" s="873"/>
      <c r="M93" s="873"/>
      <c r="N93" s="873"/>
      <c r="O93" s="873"/>
      <c r="P93" s="873"/>
      <c r="Q93" s="873"/>
      <c r="R93" s="873"/>
      <c r="S93" s="873"/>
      <c r="T93" s="873"/>
      <c r="U93" s="873"/>
      <c r="V93" s="873"/>
      <c r="W93" s="873"/>
      <c r="X93" s="873"/>
      <c r="Y93" s="873"/>
      <c r="Z93" s="873"/>
      <c r="AA93" s="873"/>
      <c r="AB93" s="873"/>
      <c r="AC93" s="873"/>
      <c r="AD93" s="873"/>
      <c r="AE93" s="873"/>
      <c r="AF93" s="873"/>
      <c r="AG93" s="873"/>
      <c r="AH93" s="873"/>
      <c r="AI93" s="873"/>
      <c r="AJ93" s="873"/>
      <c r="AK93" s="873"/>
      <c r="AL93" s="873"/>
      <c r="AM93" s="873"/>
      <c r="AN93" s="873"/>
      <c r="AO93" s="873"/>
      <c r="AP93" s="873"/>
      <c r="AQ93" s="873"/>
      <c r="AR93" s="873"/>
      <c r="AS93" s="873"/>
      <c r="AT93" s="873"/>
      <c r="AU93" s="873"/>
      <c r="AV93" s="873"/>
      <c r="AW93" s="873"/>
      <c r="AX93" s="873"/>
      <c r="AY93" s="873"/>
      <c r="AZ93" s="873"/>
      <c r="BA93" s="873"/>
      <c r="BB93" s="873"/>
      <c r="BC93" s="873"/>
      <c r="BD93" s="873"/>
    </row>
    <row r="94" spans="2:57" s="520" customFormat="1" ht="18" customHeight="1">
      <c r="B94" s="789"/>
      <c r="C94" s="789"/>
      <c r="D94" s="789"/>
      <c r="E94" s="873"/>
      <c r="F94" s="873"/>
      <c r="G94" s="873"/>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c r="AE94" s="873"/>
      <c r="AF94" s="873"/>
      <c r="AG94" s="873"/>
      <c r="AH94" s="873"/>
      <c r="AI94" s="873"/>
      <c r="AJ94" s="873"/>
      <c r="AK94" s="873"/>
      <c r="AL94" s="873"/>
      <c r="AM94" s="873"/>
      <c r="AN94" s="873"/>
      <c r="AO94" s="873"/>
      <c r="AP94" s="873"/>
      <c r="AQ94" s="873"/>
      <c r="AR94" s="873"/>
      <c r="AS94" s="873"/>
      <c r="AT94" s="873"/>
      <c r="AU94" s="873"/>
      <c r="AV94" s="873"/>
      <c r="AW94" s="873"/>
      <c r="AX94" s="873"/>
      <c r="AY94" s="873"/>
      <c r="AZ94" s="873"/>
      <c r="BA94" s="873"/>
      <c r="BB94" s="873"/>
      <c r="BC94" s="873"/>
      <c r="BD94" s="873"/>
      <c r="BE94" s="873"/>
    </row>
    <row r="95" spans="2:57" s="520" customFormat="1" ht="18" customHeight="1">
      <c r="C95" s="789" t="s">
        <v>1594</v>
      </c>
      <c r="I95" s="736"/>
      <c r="J95" s="768"/>
      <c r="K95" s="768"/>
      <c r="L95" s="768"/>
      <c r="M95" s="768"/>
      <c r="N95" s="768"/>
      <c r="O95" s="768"/>
      <c r="P95" s="768"/>
      <c r="Q95" s="768"/>
      <c r="R95" s="768"/>
      <c r="U95" s="768"/>
      <c r="V95" s="768"/>
      <c r="W95" s="768"/>
      <c r="X95" s="768"/>
      <c r="Y95" s="768"/>
      <c r="Z95" s="768"/>
      <c r="AA95" s="768"/>
      <c r="AB95" s="768"/>
      <c r="AC95" s="768"/>
      <c r="AD95" s="768"/>
      <c r="AE95" s="768"/>
      <c r="AF95" s="768"/>
      <c r="AG95" s="768"/>
      <c r="AI95" s="768"/>
      <c r="AJ95" s="768"/>
      <c r="AK95" s="768"/>
      <c r="AL95" s="768"/>
      <c r="AM95" s="475"/>
      <c r="AP95" s="847" t="str">
        <f>IF(AP98="","No Alert","Enter justification")</f>
        <v>No Alert</v>
      </c>
      <c r="AQ95" s="495"/>
      <c r="AR95" s="582" t="s">
        <v>1595</v>
      </c>
      <c r="AS95" s="582" t="s">
        <v>1549</v>
      </c>
      <c r="AT95" s="582" t="s">
        <v>1556</v>
      </c>
    </row>
    <row r="96" spans="2:57" s="520" customFormat="1" ht="18" customHeight="1">
      <c r="C96" s="789" t="s">
        <v>1596</v>
      </c>
      <c r="I96" s="736"/>
      <c r="J96" s="768"/>
      <c r="K96" s="768"/>
      <c r="L96" s="768"/>
      <c r="M96" s="768"/>
      <c r="N96" s="768"/>
      <c r="O96" s="768"/>
      <c r="P96" s="768"/>
      <c r="Q96" s="768"/>
      <c r="R96" s="768"/>
      <c r="U96" s="768"/>
      <c r="V96" s="768"/>
      <c r="W96" s="768"/>
      <c r="X96" s="768"/>
      <c r="Y96" s="768"/>
      <c r="Z96" s="768"/>
      <c r="AA96" s="768"/>
      <c r="AB96" s="768"/>
      <c r="AC96" s="768"/>
      <c r="AD96" s="768"/>
      <c r="AE96" s="768"/>
      <c r="AF96" s="768"/>
      <c r="AG96" s="768"/>
      <c r="AI96" s="768"/>
      <c r="AJ96" s="768"/>
      <c r="AL96" s="768"/>
      <c r="AO96" s="848" t="s">
        <v>1596</v>
      </c>
      <c r="AP96" s="828" t="str">
        <f>TOV!$C$218</f>
        <v>#3.134</v>
      </c>
      <c r="AQ96" s="789" t="s">
        <v>93</v>
      </c>
      <c r="AR96" s="614" t="str">
        <f>TOV!$C$575</f>
        <v>#14.40</v>
      </c>
      <c r="AS96" s="63">
        <f>VLOOKUP(AR96,TOV!$C$575:$G$576,TOV!$F$1,FALSE)</f>
        <v>1655.5</v>
      </c>
      <c r="AT96" s="117"/>
      <c r="AU96" s="849" t="str">
        <f>IF(AT96="","No Alert","Enter justification")</f>
        <v>No Alert</v>
      </c>
    </row>
    <row r="97" spans="1:58" s="520" customFormat="1" ht="18" customHeight="1">
      <c r="C97" s="789" t="s">
        <v>35</v>
      </c>
      <c r="I97" s="736"/>
      <c r="J97" s="768"/>
      <c r="K97" s="768"/>
      <c r="L97" s="768"/>
      <c r="M97" s="768"/>
      <c r="N97" s="768"/>
      <c r="O97" s="768"/>
      <c r="P97" s="768"/>
      <c r="Q97" s="768"/>
      <c r="R97" s="768"/>
      <c r="U97" s="768"/>
      <c r="V97" s="768"/>
      <c r="W97" s="768"/>
      <c r="X97" s="768"/>
      <c r="Y97" s="768"/>
      <c r="Z97" s="768"/>
      <c r="AA97" s="768"/>
      <c r="AB97" s="768"/>
      <c r="AC97" s="768"/>
      <c r="AD97" s="768"/>
      <c r="AE97" s="768"/>
      <c r="AF97" s="768"/>
      <c r="AG97" s="768"/>
      <c r="AI97" s="768"/>
      <c r="AJ97" s="768"/>
      <c r="AL97" s="768"/>
      <c r="AO97" s="848" t="s">
        <v>35</v>
      </c>
      <c r="AP97" s="81">
        <f>VLOOKUP(AP96,TOV!$C$85:$G$218,4,FALSE)</f>
        <v>400.15945742176939</v>
      </c>
      <c r="AQ97" s="789" t="s">
        <v>116</v>
      </c>
      <c r="AR97" s="614" t="str">
        <f>TOV!$C$576</f>
        <v>#14.41</v>
      </c>
      <c r="AS97" s="63">
        <f>VLOOKUP(AR97,TOV!$C$575:$G$576,TOV!$F$1,FALSE)</f>
        <v>4196.5</v>
      </c>
      <c r="AT97" s="117"/>
      <c r="AU97" s="849" t="str">
        <f>IF(AT97="","No Alert","Enter justification")</f>
        <v>No Alert</v>
      </c>
    </row>
    <row r="98" spans="1:58" s="520" customFormat="1" ht="18" customHeight="1">
      <c r="C98" s="789" t="s">
        <v>1556</v>
      </c>
      <c r="I98" s="736"/>
      <c r="J98" s="768"/>
      <c r="K98" s="768"/>
      <c r="L98" s="768"/>
      <c r="M98" s="768"/>
      <c r="N98" s="768"/>
      <c r="O98" s="768"/>
      <c r="P98" s="768"/>
      <c r="Q98" s="768"/>
      <c r="R98" s="768"/>
      <c r="U98" s="768"/>
      <c r="V98" s="768"/>
      <c r="W98" s="768"/>
      <c r="X98" s="768"/>
      <c r="Y98" s="768"/>
      <c r="Z98" s="768"/>
      <c r="AA98" s="768"/>
      <c r="AB98" s="768"/>
      <c r="AC98" s="768"/>
      <c r="AD98" s="768"/>
      <c r="AE98" s="768"/>
      <c r="AF98" s="768"/>
      <c r="AG98" s="768"/>
      <c r="AI98" s="768"/>
      <c r="AJ98" s="768"/>
      <c r="AL98" s="768"/>
      <c r="AO98" s="848" t="s">
        <v>1556</v>
      </c>
      <c r="AP98" s="117"/>
    </row>
    <row r="99" spans="1:58" s="495" customFormat="1" ht="18" customHeight="1">
      <c r="A99" s="875"/>
      <c r="B99" s="875"/>
      <c r="C99" s="789" t="s">
        <v>1597</v>
      </c>
      <c r="D99" s="875"/>
      <c r="E99" s="875"/>
      <c r="F99" s="550"/>
      <c r="G99" s="550"/>
      <c r="H99" s="829"/>
      <c r="I99" s="829"/>
      <c r="J99" s="550"/>
      <c r="K99" s="550"/>
      <c r="L99" s="829"/>
      <c r="M99" s="829"/>
      <c r="N99" s="829"/>
      <c r="O99" s="768"/>
      <c r="P99" s="768"/>
      <c r="Q99" s="768"/>
      <c r="R99" s="768"/>
      <c r="U99" s="768"/>
      <c r="V99" s="768"/>
      <c r="W99" s="768"/>
      <c r="X99" s="520"/>
      <c r="Y99" s="520"/>
      <c r="Z99" s="550"/>
      <c r="AA99" s="550"/>
      <c r="AB99" s="550"/>
      <c r="AC99" s="550"/>
      <c r="AD99" s="829"/>
      <c r="AE99" s="829"/>
      <c r="AF99" s="550"/>
      <c r="AG99" s="550"/>
      <c r="AI99" s="829"/>
      <c r="AL99" s="550"/>
      <c r="AO99" s="848" t="s">
        <v>1597</v>
      </c>
      <c r="AP99" s="850" t="s">
        <v>1598</v>
      </c>
      <c r="AR99" s="768"/>
      <c r="AS99" s="850" t="s">
        <v>1598</v>
      </c>
      <c r="AU99" s="520"/>
      <c r="AW99" s="520"/>
      <c r="AX99" s="520"/>
      <c r="BE99" s="520"/>
      <c r="BF99" s="520"/>
    </row>
    <row r="100" spans="1:58" s="495" customFormat="1" ht="18" customHeight="1">
      <c r="A100" s="875"/>
      <c r="B100" s="875"/>
      <c r="C100" s="789" t="s">
        <v>1599</v>
      </c>
      <c r="D100" s="875"/>
      <c r="E100" s="875"/>
      <c r="F100" s="550"/>
      <c r="G100" s="550"/>
      <c r="H100" s="876" t="s">
        <v>1599</v>
      </c>
      <c r="I100" s="877">
        <v>150</v>
      </c>
      <c r="J100" s="550"/>
      <c r="K100" s="550"/>
      <c r="L100" s="829"/>
      <c r="M100" s="829"/>
      <c r="N100" s="829"/>
      <c r="O100" s="768"/>
      <c r="P100" s="768"/>
      <c r="Q100" s="768"/>
      <c r="R100" s="852">
        <f>Default_Growth_Media</f>
        <v>150</v>
      </c>
      <c r="U100" s="768"/>
      <c r="V100" s="768"/>
      <c r="W100" s="768"/>
      <c r="X100" s="520"/>
      <c r="Y100" s="520"/>
      <c r="Z100" s="550"/>
      <c r="AA100" s="550"/>
      <c r="AB100" s="550"/>
      <c r="AC100" s="550"/>
      <c r="AD100" s="829"/>
      <c r="AE100" s="829"/>
      <c r="AF100" s="550"/>
      <c r="AG100" s="550"/>
      <c r="AI100" s="829"/>
      <c r="AL100" s="550"/>
      <c r="AO100" s="848"/>
      <c r="AP100" s="853"/>
      <c r="AR100" s="768"/>
      <c r="AS100" s="768"/>
      <c r="AT100" s="768"/>
      <c r="AU100" s="520"/>
      <c r="AW100" s="520"/>
      <c r="AX100" s="520"/>
      <c r="BE100" s="520"/>
      <c r="BF100" s="520"/>
    </row>
    <row r="101" spans="1:58" s="520" customFormat="1" ht="18" customHeight="1">
      <c r="B101" s="287" t="s">
        <v>26</v>
      </c>
      <c r="C101" s="820" t="s">
        <v>1649</v>
      </c>
      <c r="D101" s="816"/>
      <c r="E101" s="878" t="s">
        <v>1602</v>
      </c>
      <c r="F101" s="856"/>
      <c r="G101" s="857"/>
      <c r="H101" s="878" t="s">
        <v>1603</v>
      </c>
      <c r="I101" s="858"/>
      <c r="J101" s="858"/>
      <c r="K101" s="858"/>
      <c r="L101" s="878" t="s">
        <v>1604</v>
      </c>
      <c r="M101" s="859"/>
      <c r="N101" s="859"/>
      <c r="O101" s="855" t="s">
        <v>1605</v>
      </c>
      <c r="P101" s="859"/>
      <c r="Q101" s="859"/>
      <c r="R101" s="859"/>
      <c r="S101" s="859"/>
      <c r="T101" s="859"/>
      <c r="U101" s="860"/>
      <c r="V101" s="860"/>
      <c r="W101" s="860"/>
      <c r="X101" s="860"/>
      <c r="Y101" s="860"/>
      <c r="Z101" s="862" t="s">
        <v>1606</v>
      </c>
      <c r="AA101" s="860"/>
      <c r="AB101" s="860"/>
      <c r="AC101" s="860"/>
      <c r="AD101" s="860"/>
      <c r="AE101" s="860"/>
      <c r="AF101" s="860"/>
      <c r="AG101" s="861"/>
      <c r="AH101" s="860"/>
      <c r="AI101" s="860"/>
      <c r="AJ101" s="860"/>
      <c r="AK101" s="860"/>
      <c r="AL101" s="862" t="s">
        <v>1607</v>
      </c>
      <c r="AM101" s="860"/>
      <c r="AN101" s="860"/>
      <c r="AO101" s="862" t="s">
        <v>1608</v>
      </c>
      <c r="AP101" s="859"/>
      <c r="AQ101" s="859"/>
      <c r="AR101" s="860"/>
      <c r="AS101" s="861"/>
    </row>
    <row r="102" spans="1:58" s="520" customFormat="1" ht="72">
      <c r="A102" s="748"/>
      <c r="B102" s="774" t="s">
        <v>1517</v>
      </c>
      <c r="C102" s="774" t="s">
        <v>27</v>
      </c>
      <c r="D102" s="774" t="s">
        <v>1609</v>
      </c>
      <c r="E102" s="879" t="s">
        <v>1650</v>
      </c>
      <c r="F102" s="812" t="s">
        <v>1612</v>
      </c>
      <c r="G102" s="863"/>
      <c r="H102" s="774" t="s">
        <v>1651</v>
      </c>
      <c r="I102" s="774" t="s">
        <v>1614</v>
      </c>
      <c r="J102" s="774" t="s">
        <v>1615</v>
      </c>
      <c r="K102" s="774" t="s">
        <v>1616</v>
      </c>
      <c r="L102" s="774" t="s">
        <v>1652</v>
      </c>
      <c r="M102" s="774" t="s">
        <v>1618</v>
      </c>
      <c r="N102" s="774" t="s">
        <v>1619</v>
      </c>
      <c r="O102" s="774" t="s">
        <v>1621</v>
      </c>
      <c r="P102" s="774" t="s">
        <v>1621</v>
      </c>
      <c r="Q102" s="774" t="s">
        <v>1622</v>
      </c>
      <c r="R102" s="774" t="s">
        <v>1623</v>
      </c>
      <c r="S102" s="774" t="s">
        <v>1624</v>
      </c>
      <c r="T102" s="774" t="s">
        <v>1625</v>
      </c>
      <c r="U102" s="774" t="s">
        <v>1626</v>
      </c>
      <c r="V102" s="774" t="s">
        <v>1627</v>
      </c>
      <c r="W102" s="774" t="s">
        <v>1628</v>
      </c>
      <c r="X102" s="774" t="s">
        <v>1629</v>
      </c>
      <c r="Y102" s="774" t="s">
        <v>1630</v>
      </c>
      <c r="Z102" s="812" t="s">
        <v>1653</v>
      </c>
      <c r="AA102" s="863"/>
      <c r="AB102" s="812" t="s">
        <v>1632</v>
      </c>
      <c r="AC102" s="863"/>
      <c r="AD102" s="812" t="s">
        <v>1654</v>
      </c>
      <c r="AE102" s="863"/>
      <c r="AF102" s="812" t="s">
        <v>1634</v>
      </c>
      <c r="AG102" s="863"/>
      <c r="AH102" s="812" t="s">
        <v>1635</v>
      </c>
      <c r="AI102" s="863"/>
      <c r="AJ102" s="812" t="s">
        <v>1636</v>
      </c>
      <c r="AK102" s="863"/>
      <c r="AL102" s="774" t="s">
        <v>1637</v>
      </c>
      <c r="AM102" s="774" t="s">
        <v>1638</v>
      </c>
      <c r="AN102" s="774" t="s">
        <v>1639</v>
      </c>
      <c r="AO102" s="774" t="s">
        <v>1640</v>
      </c>
      <c r="AP102" s="774" t="s">
        <v>1655</v>
      </c>
      <c r="AQ102" s="774" t="s">
        <v>1642</v>
      </c>
      <c r="AR102" s="774" t="s">
        <v>1643</v>
      </c>
      <c r="AS102" s="774" t="s">
        <v>1644</v>
      </c>
      <c r="AT102" s="864" t="s">
        <v>1587</v>
      </c>
      <c r="AU102" s="776" t="s">
        <v>1645</v>
      </c>
      <c r="AV102" s="831"/>
      <c r="AW102" s="831"/>
      <c r="AX102" s="865"/>
      <c r="AY102" s="865"/>
      <c r="AZ102" s="831"/>
      <c r="BA102" s="865"/>
      <c r="BB102" s="831"/>
      <c r="BC102" s="831"/>
      <c r="BD102" s="832"/>
    </row>
    <row r="103" spans="1:58" s="520" customFormat="1" ht="18" customHeight="1">
      <c r="B103" s="64"/>
      <c r="C103" s="64"/>
      <c r="D103" s="64"/>
      <c r="E103" s="132"/>
      <c r="F103" s="880" t="s">
        <v>1646</v>
      </c>
      <c r="G103" s="64"/>
      <c r="H103" s="64"/>
      <c r="I103" s="64"/>
      <c r="J103" s="64"/>
      <c r="K103" s="64"/>
      <c r="L103" s="64"/>
      <c r="M103" s="64"/>
      <c r="N103" s="64"/>
      <c r="O103" s="64"/>
      <c r="P103" s="64"/>
      <c r="Q103" s="64"/>
      <c r="R103" s="64"/>
      <c r="S103" s="64"/>
      <c r="T103" s="64"/>
      <c r="U103" s="64"/>
      <c r="Y103" s="768"/>
      <c r="Z103" s="881" t="s">
        <v>1646</v>
      </c>
      <c r="AA103" s="64"/>
      <c r="AB103" s="881" t="s">
        <v>1646</v>
      </c>
      <c r="AC103" s="64"/>
      <c r="AD103" s="881" t="s">
        <v>1646</v>
      </c>
      <c r="AE103" s="64"/>
      <c r="AF103" s="881" t="s">
        <v>1646</v>
      </c>
      <c r="AG103" s="64"/>
      <c r="AH103" s="881" t="s">
        <v>1646</v>
      </c>
      <c r="AI103" s="64"/>
      <c r="AJ103" s="881" t="s">
        <v>1646</v>
      </c>
      <c r="AK103" s="64"/>
      <c r="AL103" s="225" t="str">
        <f>Subrates_Table_1</f>
        <v>Subrates Table 1</v>
      </c>
      <c r="AM103" s="225" t="str">
        <f>Subrates_Table_1</f>
        <v>Subrates Table 1</v>
      </c>
      <c r="AN103" s="225" t="str">
        <f>Subrates_Table_1</f>
        <v>Subrates Table 1</v>
      </c>
      <c r="AO103" s="64"/>
      <c r="AP103" s="64"/>
      <c r="AQ103" s="64"/>
      <c r="AR103" s="64"/>
      <c r="AS103" s="768"/>
      <c r="AT103" s="474"/>
      <c r="AU103" s="748"/>
      <c r="AX103" s="768"/>
      <c r="AY103" s="768"/>
      <c r="AZ103" s="838"/>
      <c r="BA103" s="768"/>
    </row>
    <row r="104" spans="1:58" s="520" customFormat="1" ht="15">
      <c r="B104" s="307"/>
      <c r="C104" s="824">
        <v>1</v>
      </c>
      <c r="D104" s="173"/>
      <c r="E104" s="316"/>
      <c r="F104" s="37" t="s">
        <v>117</v>
      </c>
      <c r="G104" s="147"/>
      <c r="H104" s="326">
        <f t="shared" ref="H104:H123" si="33">E104</f>
        <v>0</v>
      </c>
      <c r="I104" s="30"/>
      <c r="J104" s="866">
        <f t="shared" ref="J104:J123" si="34">IF(I104="",IF(F104=Earthen,0,Default_Track_Cover),I104)</f>
        <v>0</v>
      </c>
      <c r="K104" s="867">
        <f t="shared" ref="K104:K123" si="35">E104*10000*J104/1000</f>
        <v>0</v>
      </c>
      <c r="L104" s="326"/>
      <c r="M104" s="30"/>
      <c r="N104" s="867">
        <f t="shared" ref="N104:N123" si="36">L104*10000*IF(M104="",IF(F104=Earthen,0,Default_Track_Cover),M104)/1000</f>
        <v>0</v>
      </c>
      <c r="O104" s="324">
        <f t="shared" ref="O104:O123" si="37">H104-L104</f>
        <v>0</v>
      </c>
      <c r="P104" s="325">
        <f t="shared" ref="P104:P123" si="38">H104</f>
        <v>0</v>
      </c>
      <c r="Q104" s="316">
        <f>P104</f>
        <v>0</v>
      </c>
      <c r="R104" s="74"/>
      <c r="S104" s="42">
        <v>0</v>
      </c>
      <c r="T104" s="324">
        <f>IF(S104="",Q104*10000*IF(R104&lt;&gt;"",R104,$R$100)/1000,S104)</f>
        <v>0</v>
      </c>
      <c r="U104" s="316">
        <f t="shared" ref="U104:U123" si="39">P104</f>
        <v>0</v>
      </c>
      <c r="V104" s="66">
        <v>1</v>
      </c>
      <c r="W104" s="66"/>
      <c r="X104" s="67">
        <f t="shared" ref="X104:X123" si="40">100%-V104-W104</f>
        <v>0</v>
      </c>
      <c r="Y104" s="16" t="str">
        <f>IF(X104&lt;0%,"Error","No Alert")</f>
        <v>No Alert</v>
      </c>
      <c r="Z104" s="37" t="s">
        <v>125</v>
      </c>
      <c r="AA104" s="60"/>
      <c r="AB104" s="40" t="s">
        <v>348</v>
      </c>
      <c r="AC104" s="60"/>
      <c r="AD104" s="37" t="s">
        <v>125</v>
      </c>
      <c r="AE104" s="60"/>
      <c r="AF104" s="79" t="s">
        <v>349</v>
      </c>
      <c r="AG104" s="60"/>
      <c r="AH104" s="37" t="s">
        <v>125</v>
      </c>
      <c r="AI104" s="60"/>
      <c r="AJ104" s="40" t="s">
        <v>348</v>
      </c>
      <c r="AK104" s="60"/>
      <c r="AL104" s="63">
        <f t="shared" ref="AL104:AL123" si="41">INDEX(Load_and_Haul_Values,MATCH(Z104,Load_and_Haul,0),MATCH(AB104,Load_Haul_Fleet_size,0))</f>
        <v>4.8064250364478198</v>
      </c>
      <c r="AM104" s="63">
        <f t="shared" ref="AM104:AM123" si="42">INDEX(Load_and_Haul_Values,MATCH(AD104,Load_and_Haul,0),MATCH(AF104,Load_Haul_Fleet_size,0))</f>
        <v>6.2664411871606829</v>
      </c>
      <c r="AN104" s="63">
        <f t="shared" ref="AN104:AN123" si="43">INDEX(Load_and_Haul_Values,MATCH(AH104,Load_and_Haul,0),MATCH(AJ104,Load_Haul_Fleet_size,0))</f>
        <v>4.8064250364478198</v>
      </c>
      <c r="AO104" s="351">
        <f t="shared" ref="AO104:AO123" si="44">K104*AL104</f>
        <v>0</v>
      </c>
      <c r="AP104" s="351">
        <f t="shared" ref="AP104:AP123" si="45">P104*IF($AP$98="",$AP$97,$AP$98)</f>
        <v>0</v>
      </c>
      <c r="AQ104" s="351">
        <f t="shared" ref="AQ104:AQ123" si="46">T104*AN104</f>
        <v>0</v>
      </c>
      <c r="AR104" s="351">
        <f t="shared" ref="AR104:AR123" si="47">N104*AM104</f>
        <v>0</v>
      </c>
      <c r="AS104" s="351">
        <f>U104*(V104*IF($AT$96="",$AS$96,$AT$96)+W104*IF($AT$97="",$AS$97,$AT$97))</f>
        <v>0</v>
      </c>
      <c r="AT104" s="276">
        <f t="shared" ref="AT104:AT123" si="48">SUM(AO104:AS104)</f>
        <v>0</v>
      </c>
      <c r="AU104" s="215"/>
      <c r="AV104" s="217"/>
      <c r="AW104" s="217"/>
      <c r="AX104" s="217"/>
      <c r="AY104" s="217"/>
      <c r="AZ104" s="217"/>
      <c r="BA104" s="217"/>
      <c r="BB104" s="217"/>
      <c r="BC104" s="217"/>
      <c r="BD104" s="218"/>
    </row>
    <row r="105" spans="1:58" s="520" customFormat="1" ht="15">
      <c r="B105" s="307"/>
      <c r="C105" s="824">
        <f t="shared" ref="C105:C123" si="49">C104+1</f>
        <v>2</v>
      </c>
      <c r="D105" s="173"/>
      <c r="E105" s="316"/>
      <c r="F105" s="37" t="s">
        <v>118</v>
      </c>
      <c r="G105" s="68"/>
      <c r="H105" s="326">
        <f t="shared" si="33"/>
        <v>0</v>
      </c>
      <c r="I105" s="30"/>
      <c r="J105" s="866">
        <f t="shared" si="34"/>
        <v>150</v>
      </c>
      <c r="K105" s="867">
        <f t="shared" si="35"/>
        <v>0</v>
      </c>
      <c r="L105" s="326"/>
      <c r="M105" s="30"/>
      <c r="N105" s="867">
        <f t="shared" si="36"/>
        <v>0</v>
      </c>
      <c r="O105" s="324">
        <f t="shared" si="37"/>
        <v>0</v>
      </c>
      <c r="P105" s="325">
        <f t="shared" si="38"/>
        <v>0</v>
      </c>
      <c r="Q105" s="316">
        <f t="shared" ref="Q105:Q123" si="50">P105</f>
        <v>0</v>
      </c>
      <c r="R105" s="74"/>
      <c r="S105" s="42">
        <v>0</v>
      </c>
      <c r="T105" s="324">
        <f t="shared" ref="T105:T123" si="51">IF(S105="",Q105*10000*IF(R105&lt;&gt;"",R105,$R$100)/1000,S105)</f>
        <v>0</v>
      </c>
      <c r="U105" s="316">
        <f t="shared" si="39"/>
        <v>0</v>
      </c>
      <c r="V105" s="66">
        <v>1</v>
      </c>
      <c r="W105" s="66"/>
      <c r="X105" s="67">
        <f t="shared" si="40"/>
        <v>0</v>
      </c>
      <c r="Y105" s="16" t="str">
        <f t="shared" ref="Y105:Y123" si="52">IF(X105&lt;0%,"Error","No Alert")</f>
        <v>No Alert</v>
      </c>
      <c r="Z105" s="37" t="s">
        <v>125</v>
      </c>
      <c r="AA105" s="60"/>
      <c r="AB105" s="40" t="s">
        <v>348</v>
      </c>
      <c r="AC105" s="60"/>
      <c r="AD105" s="37" t="s">
        <v>125</v>
      </c>
      <c r="AE105" s="60"/>
      <c r="AF105" s="79" t="s">
        <v>349</v>
      </c>
      <c r="AG105" s="60"/>
      <c r="AH105" s="37" t="s">
        <v>125</v>
      </c>
      <c r="AI105" s="60"/>
      <c r="AJ105" s="40" t="s">
        <v>348</v>
      </c>
      <c r="AK105" s="60"/>
      <c r="AL105" s="63">
        <f t="shared" si="41"/>
        <v>4.8064250364478198</v>
      </c>
      <c r="AM105" s="63">
        <f t="shared" si="42"/>
        <v>6.2664411871606829</v>
      </c>
      <c r="AN105" s="63">
        <f t="shared" si="43"/>
        <v>4.8064250364478198</v>
      </c>
      <c r="AO105" s="351">
        <f t="shared" si="44"/>
        <v>0</v>
      </c>
      <c r="AP105" s="351">
        <f t="shared" si="45"/>
        <v>0</v>
      </c>
      <c r="AQ105" s="351">
        <f t="shared" si="46"/>
        <v>0</v>
      </c>
      <c r="AR105" s="351">
        <f t="shared" si="47"/>
        <v>0</v>
      </c>
      <c r="AS105" s="351">
        <f t="shared" ref="AS105:AS123" si="53">U105*(V105*IF($AT$96="",$AS$96,$AT$96)+W105*IF($AT$97="",$AS$97,$AT$97))</f>
        <v>0</v>
      </c>
      <c r="AT105" s="276">
        <f t="shared" si="48"/>
        <v>0</v>
      </c>
      <c r="AU105" s="215"/>
      <c r="AV105" s="217"/>
      <c r="AW105" s="217"/>
      <c r="AX105" s="217"/>
      <c r="AY105" s="217"/>
      <c r="AZ105" s="217"/>
      <c r="BA105" s="217"/>
      <c r="BB105" s="217"/>
      <c r="BC105" s="217"/>
      <c r="BD105" s="218"/>
    </row>
    <row r="106" spans="1:58" s="520" customFormat="1" ht="15">
      <c r="B106" s="307"/>
      <c r="C106" s="824">
        <f t="shared" si="49"/>
        <v>3</v>
      </c>
      <c r="D106" s="173"/>
      <c r="E106" s="316"/>
      <c r="F106" s="37" t="s">
        <v>46</v>
      </c>
      <c r="G106" s="68"/>
      <c r="H106" s="326">
        <f t="shared" si="33"/>
        <v>0</v>
      </c>
      <c r="I106" s="30"/>
      <c r="J106" s="866">
        <f t="shared" si="34"/>
        <v>150</v>
      </c>
      <c r="K106" s="867">
        <f t="shared" si="35"/>
        <v>0</v>
      </c>
      <c r="L106" s="326"/>
      <c r="M106" s="30"/>
      <c r="N106" s="867">
        <f t="shared" si="36"/>
        <v>0</v>
      </c>
      <c r="O106" s="324">
        <f t="shared" si="37"/>
        <v>0</v>
      </c>
      <c r="P106" s="325">
        <f t="shared" si="38"/>
        <v>0</v>
      </c>
      <c r="Q106" s="316">
        <f t="shared" si="50"/>
        <v>0</v>
      </c>
      <c r="R106" s="74"/>
      <c r="S106" s="42">
        <v>0</v>
      </c>
      <c r="T106" s="324">
        <f t="shared" si="51"/>
        <v>0</v>
      </c>
      <c r="U106" s="316">
        <f t="shared" si="39"/>
        <v>0</v>
      </c>
      <c r="V106" s="66">
        <v>1</v>
      </c>
      <c r="W106" s="66"/>
      <c r="X106" s="67">
        <f t="shared" si="40"/>
        <v>0</v>
      </c>
      <c r="Y106" s="16" t="str">
        <f t="shared" si="52"/>
        <v>No Alert</v>
      </c>
      <c r="Z106" s="37" t="s">
        <v>125</v>
      </c>
      <c r="AA106" s="60"/>
      <c r="AB106" s="40" t="s">
        <v>348</v>
      </c>
      <c r="AC106" s="60"/>
      <c r="AD106" s="37" t="s">
        <v>125</v>
      </c>
      <c r="AE106" s="60"/>
      <c r="AF106" s="79" t="s">
        <v>349</v>
      </c>
      <c r="AG106" s="60"/>
      <c r="AH106" s="37" t="s">
        <v>125</v>
      </c>
      <c r="AI106" s="60"/>
      <c r="AJ106" s="40" t="s">
        <v>348</v>
      </c>
      <c r="AK106" s="60"/>
      <c r="AL106" s="63">
        <f t="shared" si="41"/>
        <v>4.8064250364478198</v>
      </c>
      <c r="AM106" s="63">
        <f t="shared" si="42"/>
        <v>6.2664411871606829</v>
      </c>
      <c r="AN106" s="63">
        <f t="shared" si="43"/>
        <v>4.8064250364478198</v>
      </c>
      <c r="AO106" s="351">
        <f t="shared" si="44"/>
        <v>0</v>
      </c>
      <c r="AP106" s="351">
        <f t="shared" si="45"/>
        <v>0</v>
      </c>
      <c r="AQ106" s="351">
        <f t="shared" si="46"/>
        <v>0</v>
      </c>
      <c r="AR106" s="351">
        <f t="shared" si="47"/>
        <v>0</v>
      </c>
      <c r="AS106" s="351">
        <f t="shared" si="53"/>
        <v>0</v>
      </c>
      <c r="AT106" s="276">
        <f t="shared" si="48"/>
        <v>0</v>
      </c>
      <c r="AU106" s="215"/>
      <c r="AV106" s="217"/>
      <c r="AW106" s="217"/>
      <c r="AX106" s="217"/>
      <c r="AY106" s="217"/>
      <c r="AZ106" s="217"/>
      <c r="BA106" s="217"/>
      <c r="BB106" s="217"/>
      <c r="BC106" s="217"/>
      <c r="BD106" s="218"/>
    </row>
    <row r="107" spans="1:58" s="520" customFormat="1" ht="15">
      <c r="B107" s="307"/>
      <c r="C107" s="824">
        <f t="shared" si="49"/>
        <v>4</v>
      </c>
      <c r="D107" s="173"/>
      <c r="E107" s="316"/>
      <c r="F107" s="37" t="s">
        <v>1647</v>
      </c>
      <c r="G107" s="68"/>
      <c r="H107" s="326">
        <f t="shared" si="33"/>
        <v>0</v>
      </c>
      <c r="I107" s="30"/>
      <c r="J107" s="866">
        <f t="shared" si="34"/>
        <v>150</v>
      </c>
      <c r="K107" s="867">
        <f t="shared" si="35"/>
        <v>0</v>
      </c>
      <c r="L107" s="326"/>
      <c r="M107" s="30"/>
      <c r="N107" s="867">
        <f t="shared" si="36"/>
        <v>0</v>
      </c>
      <c r="O107" s="324">
        <f t="shared" si="37"/>
        <v>0</v>
      </c>
      <c r="P107" s="325">
        <f t="shared" si="38"/>
        <v>0</v>
      </c>
      <c r="Q107" s="316">
        <f t="shared" si="50"/>
        <v>0</v>
      </c>
      <c r="R107" s="74"/>
      <c r="S107" s="42"/>
      <c r="T107" s="324">
        <f t="shared" si="51"/>
        <v>0</v>
      </c>
      <c r="U107" s="316">
        <f t="shared" si="39"/>
        <v>0</v>
      </c>
      <c r="V107" s="66">
        <v>1</v>
      </c>
      <c r="W107" s="66"/>
      <c r="X107" s="67">
        <f t="shared" si="40"/>
        <v>0</v>
      </c>
      <c r="Y107" s="16" t="str">
        <f t="shared" si="52"/>
        <v>No Alert</v>
      </c>
      <c r="Z107" s="37" t="s">
        <v>125</v>
      </c>
      <c r="AA107" s="60"/>
      <c r="AB107" s="40" t="s">
        <v>348</v>
      </c>
      <c r="AC107" s="60"/>
      <c r="AD107" s="37" t="s">
        <v>125</v>
      </c>
      <c r="AE107" s="60"/>
      <c r="AF107" s="79" t="s">
        <v>349</v>
      </c>
      <c r="AG107" s="60"/>
      <c r="AH107" s="37" t="s">
        <v>125</v>
      </c>
      <c r="AI107" s="60"/>
      <c r="AJ107" s="40" t="s">
        <v>348</v>
      </c>
      <c r="AK107" s="60"/>
      <c r="AL107" s="63">
        <f t="shared" si="41"/>
        <v>4.8064250364478198</v>
      </c>
      <c r="AM107" s="63">
        <f t="shared" si="42"/>
        <v>6.2664411871606829</v>
      </c>
      <c r="AN107" s="63">
        <f t="shared" si="43"/>
        <v>4.8064250364478198</v>
      </c>
      <c r="AO107" s="351">
        <f t="shared" si="44"/>
        <v>0</v>
      </c>
      <c r="AP107" s="351">
        <f t="shared" si="45"/>
        <v>0</v>
      </c>
      <c r="AQ107" s="351">
        <f t="shared" si="46"/>
        <v>0</v>
      </c>
      <c r="AR107" s="351">
        <f t="shared" si="47"/>
        <v>0</v>
      </c>
      <c r="AS107" s="351">
        <f t="shared" si="53"/>
        <v>0</v>
      </c>
      <c r="AT107" s="276">
        <f t="shared" si="48"/>
        <v>0</v>
      </c>
      <c r="AU107" s="215"/>
      <c r="AV107" s="217"/>
      <c r="AW107" s="217"/>
      <c r="AX107" s="217"/>
      <c r="AY107" s="217"/>
      <c r="AZ107" s="217"/>
      <c r="BA107" s="217"/>
      <c r="BB107" s="217"/>
      <c r="BC107" s="217"/>
      <c r="BD107" s="218"/>
    </row>
    <row r="108" spans="1:58" s="520" customFormat="1" ht="15">
      <c r="B108" s="307"/>
      <c r="C108" s="824">
        <f t="shared" si="49"/>
        <v>5</v>
      </c>
      <c r="D108" s="173"/>
      <c r="E108" s="316"/>
      <c r="F108" s="37" t="s">
        <v>117</v>
      </c>
      <c r="G108" s="68"/>
      <c r="H108" s="326">
        <f t="shared" si="33"/>
        <v>0</v>
      </c>
      <c r="I108" s="30"/>
      <c r="J108" s="866">
        <f t="shared" si="34"/>
        <v>0</v>
      </c>
      <c r="K108" s="867">
        <f t="shared" si="35"/>
        <v>0</v>
      </c>
      <c r="L108" s="326"/>
      <c r="M108" s="30"/>
      <c r="N108" s="867">
        <f t="shared" si="36"/>
        <v>0</v>
      </c>
      <c r="O108" s="324">
        <f t="shared" si="37"/>
        <v>0</v>
      </c>
      <c r="P108" s="325">
        <f t="shared" si="38"/>
        <v>0</v>
      </c>
      <c r="Q108" s="316">
        <f t="shared" si="50"/>
        <v>0</v>
      </c>
      <c r="R108" s="74"/>
      <c r="S108" s="42"/>
      <c r="T108" s="324">
        <f t="shared" si="51"/>
        <v>0</v>
      </c>
      <c r="U108" s="316">
        <f t="shared" si="39"/>
        <v>0</v>
      </c>
      <c r="V108" s="66">
        <v>1</v>
      </c>
      <c r="W108" s="66"/>
      <c r="X108" s="67">
        <f t="shared" si="40"/>
        <v>0</v>
      </c>
      <c r="Y108" s="16" t="str">
        <f t="shared" si="52"/>
        <v>No Alert</v>
      </c>
      <c r="Z108" s="37" t="s">
        <v>125</v>
      </c>
      <c r="AA108" s="60"/>
      <c r="AB108" s="40" t="s">
        <v>348</v>
      </c>
      <c r="AC108" s="60"/>
      <c r="AD108" s="37" t="s">
        <v>125</v>
      </c>
      <c r="AE108" s="60"/>
      <c r="AF108" s="79" t="s">
        <v>349</v>
      </c>
      <c r="AG108" s="60"/>
      <c r="AH108" s="37" t="s">
        <v>125</v>
      </c>
      <c r="AI108" s="60"/>
      <c r="AJ108" s="40" t="s">
        <v>348</v>
      </c>
      <c r="AK108" s="60"/>
      <c r="AL108" s="63">
        <f t="shared" si="41"/>
        <v>4.8064250364478198</v>
      </c>
      <c r="AM108" s="63">
        <f t="shared" si="42"/>
        <v>6.2664411871606829</v>
      </c>
      <c r="AN108" s="63">
        <f t="shared" si="43"/>
        <v>4.8064250364478198</v>
      </c>
      <c r="AO108" s="351">
        <f t="shared" si="44"/>
        <v>0</v>
      </c>
      <c r="AP108" s="351">
        <f t="shared" si="45"/>
        <v>0</v>
      </c>
      <c r="AQ108" s="351">
        <f t="shared" si="46"/>
        <v>0</v>
      </c>
      <c r="AR108" s="351">
        <f t="shared" si="47"/>
        <v>0</v>
      </c>
      <c r="AS108" s="351">
        <f t="shared" si="53"/>
        <v>0</v>
      </c>
      <c r="AT108" s="276">
        <f t="shared" si="48"/>
        <v>0</v>
      </c>
      <c r="AU108" s="215"/>
      <c r="AV108" s="217"/>
      <c r="AW108" s="217"/>
      <c r="AX108" s="217"/>
      <c r="AY108" s="217"/>
      <c r="AZ108" s="217"/>
      <c r="BA108" s="217"/>
      <c r="BB108" s="217"/>
      <c r="BC108" s="217"/>
      <c r="BD108" s="218"/>
    </row>
    <row r="109" spans="1:58" s="520" customFormat="1" ht="15">
      <c r="B109" s="307"/>
      <c r="C109" s="824">
        <f t="shared" si="49"/>
        <v>6</v>
      </c>
      <c r="D109" s="173"/>
      <c r="E109" s="316"/>
      <c r="F109" s="37" t="s">
        <v>117</v>
      </c>
      <c r="G109" s="68"/>
      <c r="H109" s="326">
        <f t="shared" si="33"/>
        <v>0</v>
      </c>
      <c r="I109" s="30"/>
      <c r="J109" s="866">
        <f t="shared" si="34"/>
        <v>0</v>
      </c>
      <c r="K109" s="867">
        <f t="shared" si="35"/>
        <v>0</v>
      </c>
      <c r="L109" s="316"/>
      <c r="M109" s="30"/>
      <c r="N109" s="867">
        <f t="shared" si="36"/>
        <v>0</v>
      </c>
      <c r="O109" s="324">
        <f t="shared" si="37"/>
        <v>0</v>
      </c>
      <c r="P109" s="325">
        <f t="shared" si="38"/>
        <v>0</v>
      </c>
      <c r="Q109" s="316">
        <f t="shared" si="50"/>
        <v>0</v>
      </c>
      <c r="R109" s="74"/>
      <c r="S109" s="42"/>
      <c r="T109" s="324">
        <f t="shared" si="51"/>
        <v>0</v>
      </c>
      <c r="U109" s="316">
        <f t="shared" si="39"/>
        <v>0</v>
      </c>
      <c r="V109" s="66">
        <v>1</v>
      </c>
      <c r="W109" s="66"/>
      <c r="X109" s="67">
        <f t="shared" si="40"/>
        <v>0</v>
      </c>
      <c r="Y109" s="16" t="str">
        <f t="shared" si="52"/>
        <v>No Alert</v>
      </c>
      <c r="Z109" s="37" t="s">
        <v>125</v>
      </c>
      <c r="AA109" s="60"/>
      <c r="AB109" s="40" t="s">
        <v>348</v>
      </c>
      <c r="AC109" s="60"/>
      <c r="AD109" s="37" t="s">
        <v>125</v>
      </c>
      <c r="AE109" s="60"/>
      <c r="AF109" s="79" t="s">
        <v>349</v>
      </c>
      <c r="AG109" s="60"/>
      <c r="AH109" s="37" t="s">
        <v>125</v>
      </c>
      <c r="AI109" s="60"/>
      <c r="AJ109" s="40" t="s">
        <v>348</v>
      </c>
      <c r="AK109" s="60"/>
      <c r="AL109" s="63">
        <f t="shared" si="41"/>
        <v>4.8064250364478198</v>
      </c>
      <c r="AM109" s="63">
        <f t="shared" si="42"/>
        <v>6.2664411871606829</v>
      </c>
      <c r="AN109" s="63">
        <f t="shared" si="43"/>
        <v>4.8064250364478198</v>
      </c>
      <c r="AO109" s="351">
        <f t="shared" si="44"/>
        <v>0</v>
      </c>
      <c r="AP109" s="351">
        <f t="shared" si="45"/>
        <v>0</v>
      </c>
      <c r="AQ109" s="351">
        <f t="shared" si="46"/>
        <v>0</v>
      </c>
      <c r="AR109" s="351">
        <f t="shared" si="47"/>
        <v>0</v>
      </c>
      <c r="AS109" s="351">
        <f t="shared" si="53"/>
        <v>0</v>
      </c>
      <c r="AT109" s="276">
        <f t="shared" si="48"/>
        <v>0</v>
      </c>
      <c r="AU109" s="215"/>
      <c r="AV109" s="217"/>
      <c r="AW109" s="217"/>
      <c r="AX109" s="217"/>
      <c r="AY109" s="217"/>
      <c r="AZ109" s="217"/>
      <c r="BA109" s="217"/>
      <c r="BB109" s="217"/>
      <c r="BC109" s="217"/>
      <c r="BD109" s="218"/>
    </row>
    <row r="110" spans="1:58" s="520" customFormat="1" ht="15">
      <c r="B110" s="307"/>
      <c r="C110" s="824">
        <f t="shared" si="49"/>
        <v>7</v>
      </c>
      <c r="D110" s="173"/>
      <c r="E110" s="316"/>
      <c r="F110" s="37" t="s">
        <v>117</v>
      </c>
      <c r="G110" s="68"/>
      <c r="H110" s="326">
        <f t="shared" si="33"/>
        <v>0</v>
      </c>
      <c r="I110" s="30"/>
      <c r="J110" s="866">
        <f t="shared" si="34"/>
        <v>0</v>
      </c>
      <c r="K110" s="867">
        <f t="shared" si="35"/>
        <v>0</v>
      </c>
      <c r="L110" s="316"/>
      <c r="M110" s="30"/>
      <c r="N110" s="867">
        <f t="shared" si="36"/>
        <v>0</v>
      </c>
      <c r="O110" s="324">
        <f t="shared" si="37"/>
        <v>0</v>
      </c>
      <c r="P110" s="325">
        <f t="shared" si="38"/>
        <v>0</v>
      </c>
      <c r="Q110" s="316">
        <f t="shared" si="50"/>
        <v>0</v>
      </c>
      <c r="R110" s="74"/>
      <c r="S110" s="42"/>
      <c r="T110" s="324">
        <f t="shared" si="51"/>
        <v>0</v>
      </c>
      <c r="U110" s="316">
        <f t="shared" si="39"/>
        <v>0</v>
      </c>
      <c r="V110" s="66">
        <v>1</v>
      </c>
      <c r="W110" s="66"/>
      <c r="X110" s="67">
        <f t="shared" si="40"/>
        <v>0</v>
      </c>
      <c r="Y110" s="16" t="str">
        <f t="shared" si="52"/>
        <v>No Alert</v>
      </c>
      <c r="Z110" s="37" t="s">
        <v>125</v>
      </c>
      <c r="AA110" s="60"/>
      <c r="AB110" s="40" t="s">
        <v>348</v>
      </c>
      <c r="AC110" s="60"/>
      <c r="AD110" s="37" t="s">
        <v>125</v>
      </c>
      <c r="AE110" s="60"/>
      <c r="AF110" s="79" t="s">
        <v>349</v>
      </c>
      <c r="AG110" s="60"/>
      <c r="AH110" s="37" t="s">
        <v>125</v>
      </c>
      <c r="AI110" s="60"/>
      <c r="AJ110" s="40" t="s">
        <v>348</v>
      </c>
      <c r="AK110" s="60"/>
      <c r="AL110" s="63">
        <f t="shared" si="41"/>
        <v>4.8064250364478198</v>
      </c>
      <c r="AM110" s="63">
        <f t="shared" si="42"/>
        <v>6.2664411871606829</v>
      </c>
      <c r="AN110" s="63">
        <f t="shared" si="43"/>
        <v>4.8064250364478198</v>
      </c>
      <c r="AO110" s="351">
        <f t="shared" si="44"/>
        <v>0</v>
      </c>
      <c r="AP110" s="351">
        <f t="shared" si="45"/>
        <v>0</v>
      </c>
      <c r="AQ110" s="351">
        <f t="shared" si="46"/>
        <v>0</v>
      </c>
      <c r="AR110" s="351">
        <f t="shared" si="47"/>
        <v>0</v>
      </c>
      <c r="AS110" s="351">
        <f t="shared" si="53"/>
        <v>0</v>
      </c>
      <c r="AT110" s="276">
        <f t="shared" si="48"/>
        <v>0</v>
      </c>
      <c r="AU110" s="215"/>
      <c r="AV110" s="217"/>
      <c r="AW110" s="217"/>
      <c r="AX110" s="217"/>
      <c r="AY110" s="217"/>
      <c r="AZ110" s="217"/>
      <c r="BA110" s="217"/>
      <c r="BB110" s="217"/>
      <c r="BC110" s="217"/>
      <c r="BD110" s="218"/>
    </row>
    <row r="111" spans="1:58" s="520" customFormat="1" ht="15">
      <c r="B111" s="307"/>
      <c r="C111" s="824">
        <f t="shared" si="49"/>
        <v>8</v>
      </c>
      <c r="D111" s="173"/>
      <c r="E111" s="316"/>
      <c r="F111" s="37" t="s">
        <v>117</v>
      </c>
      <c r="G111" s="68"/>
      <c r="H111" s="326">
        <f t="shared" si="33"/>
        <v>0</v>
      </c>
      <c r="I111" s="30"/>
      <c r="J111" s="866">
        <f t="shared" si="34"/>
        <v>0</v>
      </c>
      <c r="K111" s="867">
        <f t="shared" si="35"/>
        <v>0</v>
      </c>
      <c r="L111" s="316"/>
      <c r="M111" s="30"/>
      <c r="N111" s="867">
        <f t="shared" si="36"/>
        <v>0</v>
      </c>
      <c r="O111" s="324">
        <f t="shared" si="37"/>
        <v>0</v>
      </c>
      <c r="P111" s="325">
        <f t="shared" si="38"/>
        <v>0</v>
      </c>
      <c r="Q111" s="316">
        <f t="shared" si="50"/>
        <v>0</v>
      </c>
      <c r="R111" s="74"/>
      <c r="S111" s="42"/>
      <c r="T111" s="324">
        <f t="shared" si="51"/>
        <v>0</v>
      </c>
      <c r="U111" s="316">
        <f t="shared" si="39"/>
        <v>0</v>
      </c>
      <c r="V111" s="66">
        <v>1</v>
      </c>
      <c r="W111" s="66"/>
      <c r="X111" s="67">
        <f t="shared" si="40"/>
        <v>0</v>
      </c>
      <c r="Y111" s="16" t="str">
        <f t="shared" si="52"/>
        <v>No Alert</v>
      </c>
      <c r="Z111" s="37" t="s">
        <v>125</v>
      </c>
      <c r="AA111" s="60"/>
      <c r="AB111" s="40" t="s">
        <v>348</v>
      </c>
      <c r="AC111" s="60"/>
      <c r="AD111" s="37" t="s">
        <v>125</v>
      </c>
      <c r="AE111" s="60"/>
      <c r="AF111" s="79" t="s">
        <v>349</v>
      </c>
      <c r="AG111" s="60"/>
      <c r="AH111" s="37" t="s">
        <v>125</v>
      </c>
      <c r="AI111" s="60"/>
      <c r="AJ111" s="40" t="s">
        <v>348</v>
      </c>
      <c r="AK111" s="60"/>
      <c r="AL111" s="63">
        <f t="shared" si="41"/>
        <v>4.8064250364478198</v>
      </c>
      <c r="AM111" s="63">
        <f t="shared" si="42"/>
        <v>6.2664411871606829</v>
      </c>
      <c r="AN111" s="63">
        <f t="shared" si="43"/>
        <v>4.8064250364478198</v>
      </c>
      <c r="AO111" s="351">
        <f t="shared" si="44"/>
        <v>0</v>
      </c>
      <c r="AP111" s="351">
        <f t="shared" si="45"/>
        <v>0</v>
      </c>
      <c r="AQ111" s="351">
        <f t="shared" si="46"/>
        <v>0</v>
      </c>
      <c r="AR111" s="351">
        <f t="shared" si="47"/>
        <v>0</v>
      </c>
      <c r="AS111" s="351">
        <f t="shared" si="53"/>
        <v>0</v>
      </c>
      <c r="AT111" s="276">
        <f t="shared" si="48"/>
        <v>0</v>
      </c>
      <c r="AU111" s="215"/>
      <c r="AV111" s="217"/>
      <c r="AW111" s="217"/>
      <c r="AX111" s="217"/>
      <c r="AY111" s="217"/>
      <c r="AZ111" s="217"/>
      <c r="BA111" s="217"/>
      <c r="BB111" s="217"/>
      <c r="BC111" s="217"/>
      <c r="BD111" s="218"/>
    </row>
    <row r="112" spans="1:58" s="520" customFormat="1" ht="15">
      <c r="B112" s="307"/>
      <c r="C112" s="824">
        <f t="shared" si="49"/>
        <v>9</v>
      </c>
      <c r="D112" s="173"/>
      <c r="E112" s="316"/>
      <c r="F112" s="37" t="s">
        <v>117</v>
      </c>
      <c r="G112" s="68"/>
      <c r="H112" s="326">
        <f t="shared" si="33"/>
        <v>0</v>
      </c>
      <c r="I112" s="30"/>
      <c r="J112" s="866">
        <f t="shared" si="34"/>
        <v>0</v>
      </c>
      <c r="K112" s="867">
        <f t="shared" si="35"/>
        <v>0</v>
      </c>
      <c r="L112" s="316"/>
      <c r="M112" s="30"/>
      <c r="N112" s="867">
        <f t="shared" si="36"/>
        <v>0</v>
      </c>
      <c r="O112" s="324">
        <f t="shared" si="37"/>
        <v>0</v>
      </c>
      <c r="P112" s="325">
        <f t="shared" si="38"/>
        <v>0</v>
      </c>
      <c r="Q112" s="316">
        <f t="shared" si="50"/>
        <v>0</v>
      </c>
      <c r="R112" s="74"/>
      <c r="S112" s="42"/>
      <c r="T112" s="324">
        <f t="shared" si="51"/>
        <v>0</v>
      </c>
      <c r="U112" s="316">
        <f t="shared" si="39"/>
        <v>0</v>
      </c>
      <c r="V112" s="66">
        <v>1</v>
      </c>
      <c r="W112" s="66"/>
      <c r="X112" s="67">
        <f t="shared" si="40"/>
        <v>0</v>
      </c>
      <c r="Y112" s="16" t="str">
        <f t="shared" si="52"/>
        <v>No Alert</v>
      </c>
      <c r="Z112" s="37" t="s">
        <v>125</v>
      </c>
      <c r="AA112" s="60"/>
      <c r="AB112" s="40" t="s">
        <v>348</v>
      </c>
      <c r="AC112" s="60"/>
      <c r="AD112" s="37" t="s">
        <v>125</v>
      </c>
      <c r="AE112" s="60"/>
      <c r="AF112" s="79" t="s">
        <v>349</v>
      </c>
      <c r="AG112" s="60"/>
      <c r="AH112" s="37" t="s">
        <v>125</v>
      </c>
      <c r="AI112" s="60"/>
      <c r="AJ112" s="40" t="s">
        <v>348</v>
      </c>
      <c r="AK112" s="60"/>
      <c r="AL112" s="63">
        <f t="shared" si="41"/>
        <v>4.8064250364478198</v>
      </c>
      <c r="AM112" s="63">
        <f t="shared" si="42"/>
        <v>6.2664411871606829</v>
      </c>
      <c r="AN112" s="63">
        <f t="shared" si="43"/>
        <v>4.8064250364478198</v>
      </c>
      <c r="AO112" s="351">
        <f t="shared" si="44"/>
        <v>0</v>
      </c>
      <c r="AP112" s="351">
        <f t="shared" si="45"/>
        <v>0</v>
      </c>
      <c r="AQ112" s="351">
        <f t="shared" si="46"/>
        <v>0</v>
      </c>
      <c r="AR112" s="351">
        <f t="shared" si="47"/>
        <v>0</v>
      </c>
      <c r="AS112" s="351">
        <f t="shared" si="53"/>
        <v>0</v>
      </c>
      <c r="AT112" s="276">
        <f t="shared" si="48"/>
        <v>0</v>
      </c>
      <c r="AU112" s="215"/>
      <c r="AV112" s="217"/>
      <c r="AW112" s="217"/>
      <c r="AX112" s="217"/>
      <c r="AY112" s="217"/>
      <c r="AZ112" s="217"/>
      <c r="BA112" s="217"/>
      <c r="BB112" s="217"/>
      <c r="BC112" s="217"/>
      <c r="BD112" s="218"/>
    </row>
    <row r="113" spans="1:63" s="520" customFormat="1" ht="15">
      <c r="B113" s="307"/>
      <c r="C113" s="824">
        <f t="shared" si="49"/>
        <v>10</v>
      </c>
      <c r="D113" s="173"/>
      <c r="E113" s="316"/>
      <c r="F113" s="37" t="s">
        <v>117</v>
      </c>
      <c r="G113" s="68"/>
      <c r="H113" s="326">
        <f t="shared" si="33"/>
        <v>0</v>
      </c>
      <c r="I113" s="30"/>
      <c r="J113" s="866">
        <f t="shared" si="34"/>
        <v>0</v>
      </c>
      <c r="K113" s="867">
        <f t="shared" si="35"/>
        <v>0</v>
      </c>
      <c r="L113" s="316"/>
      <c r="M113" s="30"/>
      <c r="N113" s="867">
        <f t="shared" si="36"/>
        <v>0</v>
      </c>
      <c r="O113" s="324">
        <f t="shared" si="37"/>
        <v>0</v>
      </c>
      <c r="P113" s="325">
        <f t="shared" si="38"/>
        <v>0</v>
      </c>
      <c r="Q113" s="316">
        <f t="shared" si="50"/>
        <v>0</v>
      </c>
      <c r="R113" s="74"/>
      <c r="S113" s="42"/>
      <c r="T113" s="324">
        <f t="shared" si="51"/>
        <v>0</v>
      </c>
      <c r="U113" s="316">
        <f t="shared" si="39"/>
        <v>0</v>
      </c>
      <c r="V113" s="66">
        <v>1</v>
      </c>
      <c r="W113" s="66"/>
      <c r="X113" s="67">
        <f t="shared" si="40"/>
        <v>0</v>
      </c>
      <c r="Y113" s="16" t="str">
        <f t="shared" si="52"/>
        <v>No Alert</v>
      </c>
      <c r="Z113" s="37" t="s">
        <v>125</v>
      </c>
      <c r="AA113" s="60"/>
      <c r="AB113" s="40" t="s">
        <v>348</v>
      </c>
      <c r="AC113" s="60"/>
      <c r="AD113" s="37" t="s">
        <v>125</v>
      </c>
      <c r="AE113" s="60"/>
      <c r="AF113" s="79" t="s">
        <v>349</v>
      </c>
      <c r="AG113" s="60"/>
      <c r="AH113" s="37" t="s">
        <v>125</v>
      </c>
      <c r="AI113" s="60"/>
      <c r="AJ113" s="40" t="s">
        <v>348</v>
      </c>
      <c r="AK113" s="60"/>
      <c r="AL113" s="63">
        <f t="shared" si="41"/>
        <v>4.8064250364478198</v>
      </c>
      <c r="AM113" s="63">
        <f t="shared" si="42"/>
        <v>6.2664411871606829</v>
      </c>
      <c r="AN113" s="63">
        <f t="shared" si="43"/>
        <v>4.8064250364478198</v>
      </c>
      <c r="AO113" s="351">
        <f t="shared" si="44"/>
        <v>0</v>
      </c>
      <c r="AP113" s="351">
        <f t="shared" si="45"/>
        <v>0</v>
      </c>
      <c r="AQ113" s="351">
        <f t="shared" si="46"/>
        <v>0</v>
      </c>
      <c r="AR113" s="351">
        <f t="shared" si="47"/>
        <v>0</v>
      </c>
      <c r="AS113" s="351">
        <f t="shared" si="53"/>
        <v>0</v>
      </c>
      <c r="AT113" s="276">
        <f t="shared" si="48"/>
        <v>0</v>
      </c>
      <c r="AU113" s="215"/>
      <c r="AV113" s="217"/>
      <c r="AW113" s="217"/>
      <c r="AX113" s="217"/>
      <c r="AY113" s="217"/>
      <c r="AZ113" s="217"/>
      <c r="BA113" s="217"/>
      <c r="BB113" s="217"/>
      <c r="BC113" s="217"/>
      <c r="BD113" s="218"/>
    </row>
    <row r="114" spans="1:63" s="520" customFormat="1" ht="15">
      <c r="B114" s="307"/>
      <c r="C114" s="824">
        <f t="shared" si="49"/>
        <v>11</v>
      </c>
      <c r="D114" s="173"/>
      <c r="E114" s="316"/>
      <c r="F114" s="37" t="s">
        <v>117</v>
      </c>
      <c r="G114" s="68"/>
      <c r="H114" s="326">
        <f t="shared" si="33"/>
        <v>0</v>
      </c>
      <c r="I114" s="30"/>
      <c r="J114" s="866">
        <f t="shared" si="34"/>
        <v>0</v>
      </c>
      <c r="K114" s="867">
        <f t="shared" si="35"/>
        <v>0</v>
      </c>
      <c r="L114" s="316"/>
      <c r="M114" s="30"/>
      <c r="N114" s="867">
        <f t="shared" si="36"/>
        <v>0</v>
      </c>
      <c r="O114" s="324">
        <f t="shared" si="37"/>
        <v>0</v>
      </c>
      <c r="P114" s="325">
        <f t="shared" si="38"/>
        <v>0</v>
      </c>
      <c r="Q114" s="316">
        <f t="shared" si="50"/>
        <v>0</v>
      </c>
      <c r="R114" s="74"/>
      <c r="S114" s="42"/>
      <c r="T114" s="324">
        <f t="shared" si="51"/>
        <v>0</v>
      </c>
      <c r="U114" s="316">
        <f t="shared" si="39"/>
        <v>0</v>
      </c>
      <c r="V114" s="66">
        <v>1</v>
      </c>
      <c r="W114" s="66"/>
      <c r="X114" s="67">
        <f t="shared" si="40"/>
        <v>0</v>
      </c>
      <c r="Y114" s="16" t="str">
        <f t="shared" si="52"/>
        <v>No Alert</v>
      </c>
      <c r="Z114" s="37" t="s">
        <v>125</v>
      </c>
      <c r="AA114" s="60"/>
      <c r="AB114" s="40" t="s">
        <v>348</v>
      </c>
      <c r="AC114" s="60"/>
      <c r="AD114" s="37" t="s">
        <v>125</v>
      </c>
      <c r="AE114" s="60"/>
      <c r="AF114" s="79" t="s">
        <v>349</v>
      </c>
      <c r="AG114" s="60"/>
      <c r="AH114" s="37" t="s">
        <v>125</v>
      </c>
      <c r="AI114" s="60"/>
      <c r="AJ114" s="40" t="s">
        <v>348</v>
      </c>
      <c r="AK114" s="60"/>
      <c r="AL114" s="63">
        <f t="shared" si="41"/>
        <v>4.8064250364478198</v>
      </c>
      <c r="AM114" s="63">
        <f t="shared" si="42"/>
        <v>6.2664411871606829</v>
      </c>
      <c r="AN114" s="63">
        <f t="shared" si="43"/>
        <v>4.8064250364478198</v>
      </c>
      <c r="AO114" s="351">
        <f t="shared" si="44"/>
        <v>0</v>
      </c>
      <c r="AP114" s="351">
        <f t="shared" si="45"/>
        <v>0</v>
      </c>
      <c r="AQ114" s="351">
        <f t="shared" si="46"/>
        <v>0</v>
      </c>
      <c r="AR114" s="351">
        <f t="shared" si="47"/>
        <v>0</v>
      </c>
      <c r="AS114" s="351">
        <f t="shared" si="53"/>
        <v>0</v>
      </c>
      <c r="AT114" s="276">
        <f t="shared" si="48"/>
        <v>0</v>
      </c>
      <c r="AU114" s="215"/>
      <c r="AV114" s="217"/>
      <c r="AW114" s="217"/>
      <c r="AX114" s="217"/>
      <c r="AY114" s="217"/>
      <c r="AZ114" s="217"/>
      <c r="BA114" s="217"/>
      <c r="BB114" s="217"/>
      <c r="BC114" s="217"/>
      <c r="BD114" s="218"/>
    </row>
    <row r="115" spans="1:63" s="520" customFormat="1" ht="15">
      <c r="B115" s="307"/>
      <c r="C115" s="824">
        <f t="shared" si="49"/>
        <v>12</v>
      </c>
      <c r="D115" s="173"/>
      <c r="E115" s="316"/>
      <c r="F115" s="37" t="s">
        <v>117</v>
      </c>
      <c r="G115" s="68"/>
      <c r="H115" s="326">
        <f t="shared" si="33"/>
        <v>0</v>
      </c>
      <c r="I115" s="30"/>
      <c r="J115" s="866">
        <f t="shared" si="34"/>
        <v>0</v>
      </c>
      <c r="K115" s="867">
        <f t="shared" si="35"/>
        <v>0</v>
      </c>
      <c r="L115" s="316"/>
      <c r="M115" s="30"/>
      <c r="N115" s="867">
        <f t="shared" si="36"/>
        <v>0</v>
      </c>
      <c r="O115" s="324">
        <f t="shared" si="37"/>
        <v>0</v>
      </c>
      <c r="P115" s="325">
        <f t="shared" si="38"/>
        <v>0</v>
      </c>
      <c r="Q115" s="316">
        <f t="shared" si="50"/>
        <v>0</v>
      </c>
      <c r="R115" s="74"/>
      <c r="S115" s="42"/>
      <c r="T115" s="324">
        <f t="shared" si="51"/>
        <v>0</v>
      </c>
      <c r="U115" s="316">
        <f t="shared" si="39"/>
        <v>0</v>
      </c>
      <c r="V115" s="66">
        <v>1</v>
      </c>
      <c r="W115" s="66"/>
      <c r="X115" s="67">
        <f t="shared" si="40"/>
        <v>0</v>
      </c>
      <c r="Y115" s="16" t="str">
        <f t="shared" si="52"/>
        <v>No Alert</v>
      </c>
      <c r="Z115" s="37" t="s">
        <v>125</v>
      </c>
      <c r="AA115" s="60"/>
      <c r="AB115" s="40" t="s">
        <v>348</v>
      </c>
      <c r="AC115" s="60"/>
      <c r="AD115" s="37" t="s">
        <v>125</v>
      </c>
      <c r="AE115" s="60"/>
      <c r="AF115" s="79" t="s">
        <v>349</v>
      </c>
      <c r="AG115" s="60"/>
      <c r="AH115" s="37" t="s">
        <v>125</v>
      </c>
      <c r="AI115" s="60"/>
      <c r="AJ115" s="40" t="s">
        <v>348</v>
      </c>
      <c r="AK115" s="60"/>
      <c r="AL115" s="63">
        <f t="shared" si="41"/>
        <v>4.8064250364478198</v>
      </c>
      <c r="AM115" s="63">
        <f t="shared" si="42"/>
        <v>6.2664411871606829</v>
      </c>
      <c r="AN115" s="63">
        <f t="shared" si="43"/>
        <v>4.8064250364478198</v>
      </c>
      <c r="AO115" s="351">
        <f t="shared" si="44"/>
        <v>0</v>
      </c>
      <c r="AP115" s="351">
        <f t="shared" si="45"/>
        <v>0</v>
      </c>
      <c r="AQ115" s="351">
        <f t="shared" si="46"/>
        <v>0</v>
      </c>
      <c r="AR115" s="351">
        <f t="shared" si="47"/>
        <v>0</v>
      </c>
      <c r="AS115" s="351">
        <f t="shared" si="53"/>
        <v>0</v>
      </c>
      <c r="AT115" s="276">
        <f t="shared" si="48"/>
        <v>0</v>
      </c>
      <c r="AU115" s="215"/>
      <c r="AV115" s="217"/>
      <c r="AW115" s="217"/>
      <c r="AX115" s="217"/>
      <c r="AY115" s="217"/>
      <c r="AZ115" s="217"/>
      <c r="BA115" s="217"/>
      <c r="BB115" s="217"/>
      <c r="BC115" s="217"/>
      <c r="BD115" s="218"/>
    </row>
    <row r="116" spans="1:63" s="520" customFormat="1" ht="15">
      <c r="B116" s="307"/>
      <c r="C116" s="824">
        <f t="shared" si="49"/>
        <v>13</v>
      </c>
      <c r="D116" s="173"/>
      <c r="E116" s="316"/>
      <c r="F116" s="37" t="s">
        <v>117</v>
      </c>
      <c r="G116" s="68"/>
      <c r="H116" s="326">
        <f t="shared" si="33"/>
        <v>0</v>
      </c>
      <c r="I116" s="30"/>
      <c r="J116" s="866">
        <f t="shared" si="34"/>
        <v>0</v>
      </c>
      <c r="K116" s="867">
        <f t="shared" si="35"/>
        <v>0</v>
      </c>
      <c r="L116" s="316"/>
      <c r="M116" s="30"/>
      <c r="N116" s="867">
        <f t="shared" si="36"/>
        <v>0</v>
      </c>
      <c r="O116" s="324">
        <f t="shared" si="37"/>
        <v>0</v>
      </c>
      <c r="P116" s="325">
        <f t="shared" si="38"/>
        <v>0</v>
      </c>
      <c r="Q116" s="316">
        <f t="shared" si="50"/>
        <v>0</v>
      </c>
      <c r="R116" s="74"/>
      <c r="S116" s="42"/>
      <c r="T116" s="324">
        <f t="shared" si="51"/>
        <v>0</v>
      </c>
      <c r="U116" s="316">
        <f t="shared" si="39"/>
        <v>0</v>
      </c>
      <c r="V116" s="66">
        <v>1</v>
      </c>
      <c r="W116" s="66"/>
      <c r="X116" s="67">
        <f t="shared" si="40"/>
        <v>0</v>
      </c>
      <c r="Y116" s="16" t="str">
        <f t="shared" si="52"/>
        <v>No Alert</v>
      </c>
      <c r="Z116" s="37" t="s">
        <v>125</v>
      </c>
      <c r="AA116" s="60"/>
      <c r="AB116" s="40" t="s">
        <v>348</v>
      </c>
      <c r="AC116" s="60"/>
      <c r="AD116" s="37" t="s">
        <v>125</v>
      </c>
      <c r="AE116" s="60"/>
      <c r="AF116" s="79" t="s">
        <v>349</v>
      </c>
      <c r="AG116" s="60"/>
      <c r="AH116" s="37" t="s">
        <v>125</v>
      </c>
      <c r="AI116" s="60"/>
      <c r="AJ116" s="40" t="s">
        <v>348</v>
      </c>
      <c r="AK116" s="60"/>
      <c r="AL116" s="63">
        <f t="shared" si="41"/>
        <v>4.8064250364478198</v>
      </c>
      <c r="AM116" s="63">
        <f t="shared" si="42"/>
        <v>6.2664411871606829</v>
      </c>
      <c r="AN116" s="63">
        <f t="shared" si="43"/>
        <v>4.8064250364478198</v>
      </c>
      <c r="AO116" s="351">
        <f t="shared" si="44"/>
        <v>0</v>
      </c>
      <c r="AP116" s="351">
        <f t="shared" si="45"/>
        <v>0</v>
      </c>
      <c r="AQ116" s="351">
        <f t="shared" si="46"/>
        <v>0</v>
      </c>
      <c r="AR116" s="351">
        <f t="shared" si="47"/>
        <v>0</v>
      </c>
      <c r="AS116" s="351">
        <f t="shared" si="53"/>
        <v>0</v>
      </c>
      <c r="AT116" s="276">
        <f t="shared" si="48"/>
        <v>0</v>
      </c>
      <c r="AU116" s="215"/>
      <c r="AV116" s="217"/>
      <c r="AW116" s="217"/>
      <c r="AX116" s="217"/>
      <c r="AY116" s="217"/>
      <c r="AZ116" s="217"/>
      <c r="BA116" s="217"/>
      <c r="BB116" s="217"/>
      <c r="BC116" s="217"/>
      <c r="BD116" s="218"/>
    </row>
    <row r="117" spans="1:63" s="520" customFormat="1" ht="15">
      <c r="B117" s="307"/>
      <c r="C117" s="824">
        <f t="shared" si="49"/>
        <v>14</v>
      </c>
      <c r="D117" s="173"/>
      <c r="E117" s="316"/>
      <c r="F117" s="37" t="s">
        <v>117</v>
      </c>
      <c r="G117" s="68"/>
      <c r="H117" s="326">
        <f t="shared" si="33"/>
        <v>0</v>
      </c>
      <c r="I117" s="30"/>
      <c r="J117" s="866">
        <f t="shared" si="34"/>
        <v>0</v>
      </c>
      <c r="K117" s="867">
        <f t="shared" si="35"/>
        <v>0</v>
      </c>
      <c r="L117" s="316"/>
      <c r="M117" s="30"/>
      <c r="N117" s="867">
        <f t="shared" si="36"/>
        <v>0</v>
      </c>
      <c r="O117" s="324">
        <f t="shared" si="37"/>
        <v>0</v>
      </c>
      <c r="P117" s="325">
        <f t="shared" si="38"/>
        <v>0</v>
      </c>
      <c r="Q117" s="316">
        <f t="shared" si="50"/>
        <v>0</v>
      </c>
      <c r="R117" s="74"/>
      <c r="S117" s="42"/>
      <c r="T117" s="324">
        <f t="shared" si="51"/>
        <v>0</v>
      </c>
      <c r="U117" s="316">
        <f t="shared" si="39"/>
        <v>0</v>
      </c>
      <c r="V117" s="66">
        <v>1</v>
      </c>
      <c r="W117" s="66"/>
      <c r="X117" s="67">
        <f t="shared" si="40"/>
        <v>0</v>
      </c>
      <c r="Y117" s="16" t="str">
        <f t="shared" si="52"/>
        <v>No Alert</v>
      </c>
      <c r="Z117" s="37" t="s">
        <v>125</v>
      </c>
      <c r="AA117" s="60"/>
      <c r="AB117" s="40" t="s">
        <v>348</v>
      </c>
      <c r="AC117" s="60"/>
      <c r="AD117" s="37" t="s">
        <v>125</v>
      </c>
      <c r="AE117" s="60"/>
      <c r="AF117" s="79" t="s">
        <v>349</v>
      </c>
      <c r="AG117" s="60"/>
      <c r="AH117" s="37" t="s">
        <v>125</v>
      </c>
      <c r="AI117" s="60"/>
      <c r="AJ117" s="40" t="s">
        <v>348</v>
      </c>
      <c r="AK117" s="60"/>
      <c r="AL117" s="63">
        <f t="shared" si="41"/>
        <v>4.8064250364478198</v>
      </c>
      <c r="AM117" s="63">
        <f t="shared" si="42"/>
        <v>6.2664411871606829</v>
      </c>
      <c r="AN117" s="63">
        <f t="shared" si="43"/>
        <v>4.8064250364478198</v>
      </c>
      <c r="AO117" s="351">
        <f t="shared" si="44"/>
        <v>0</v>
      </c>
      <c r="AP117" s="351">
        <f t="shared" si="45"/>
        <v>0</v>
      </c>
      <c r="AQ117" s="351">
        <f t="shared" si="46"/>
        <v>0</v>
      </c>
      <c r="AR117" s="351">
        <f t="shared" si="47"/>
        <v>0</v>
      </c>
      <c r="AS117" s="351">
        <f t="shared" si="53"/>
        <v>0</v>
      </c>
      <c r="AT117" s="276">
        <f t="shared" si="48"/>
        <v>0</v>
      </c>
      <c r="AU117" s="215"/>
      <c r="AV117" s="217"/>
      <c r="AW117" s="217"/>
      <c r="AX117" s="217"/>
      <c r="AY117" s="217"/>
      <c r="AZ117" s="217"/>
      <c r="BA117" s="217"/>
      <c r="BB117" s="217"/>
      <c r="BC117" s="217"/>
      <c r="BD117" s="218"/>
    </row>
    <row r="118" spans="1:63" s="520" customFormat="1" ht="15">
      <c r="B118" s="307"/>
      <c r="C118" s="824">
        <f t="shared" si="49"/>
        <v>15</v>
      </c>
      <c r="D118" s="173"/>
      <c r="E118" s="316"/>
      <c r="F118" s="37" t="s">
        <v>117</v>
      </c>
      <c r="G118" s="68"/>
      <c r="H118" s="326">
        <f t="shared" si="33"/>
        <v>0</v>
      </c>
      <c r="I118" s="30"/>
      <c r="J118" s="866">
        <f t="shared" si="34"/>
        <v>0</v>
      </c>
      <c r="K118" s="867">
        <f t="shared" si="35"/>
        <v>0</v>
      </c>
      <c r="L118" s="316"/>
      <c r="M118" s="30"/>
      <c r="N118" s="867">
        <f t="shared" si="36"/>
        <v>0</v>
      </c>
      <c r="O118" s="324">
        <f t="shared" si="37"/>
        <v>0</v>
      </c>
      <c r="P118" s="325">
        <f t="shared" si="38"/>
        <v>0</v>
      </c>
      <c r="Q118" s="316">
        <f t="shared" si="50"/>
        <v>0</v>
      </c>
      <c r="R118" s="74"/>
      <c r="S118" s="42"/>
      <c r="T118" s="324">
        <f t="shared" si="51"/>
        <v>0</v>
      </c>
      <c r="U118" s="316">
        <f t="shared" si="39"/>
        <v>0</v>
      </c>
      <c r="V118" s="66">
        <v>1</v>
      </c>
      <c r="W118" s="66"/>
      <c r="X118" s="67">
        <f t="shared" si="40"/>
        <v>0</v>
      </c>
      <c r="Y118" s="16" t="str">
        <f t="shared" si="52"/>
        <v>No Alert</v>
      </c>
      <c r="Z118" s="37" t="s">
        <v>125</v>
      </c>
      <c r="AA118" s="60"/>
      <c r="AB118" s="40" t="s">
        <v>348</v>
      </c>
      <c r="AC118" s="60"/>
      <c r="AD118" s="37" t="s">
        <v>125</v>
      </c>
      <c r="AE118" s="60"/>
      <c r="AF118" s="79" t="s">
        <v>349</v>
      </c>
      <c r="AG118" s="60"/>
      <c r="AH118" s="37" t="s">
        <v>125</v>
      </c>
      <c r="AI118" s="60"/>
      <c r="AJ118" s="40" t="s">
        <v>348</v>
      </c>
      <c r="AK118" s="60"/>
      <c r="AL118" s="63">
        <f t="shared" si="41"/>
        <v>4.8064250364478198</v>
      </c>
      <c r="AM118" s="63">
        <f t="shared" si="42"/>
        <v>6.2664411871606829</v>
      </c>
      <c r="AN118" s="63">
        <f t="shared" si="43"/>
        <v>4.8064250364478198</v>
      </c>
      <c r="AO118" s="351">
        <f t="shared" si="44"/>
        <v>0</v>
      </c>
      <c r="AP118" s="351">
        <f t="shared" si="45"/>
        <v>0</v>
      </c>
      <c r="AQ118" s="351">
        <f t="shared" si="46"/>
        <v>0</v>
      </c>
      <c r="AR118" s="351">
        <f t="shared" si="47"/>
        <v>0</v>
      </c>
      <c r="AS118" s="351">
        <f t="shared" si="53"/>
        <v>0</v>
      </c>
      <c r="AT118" s="276">
        <f t="shared" si="48"/>
        <v>0</v>
      </c>
      <c r="AU118" s="215"/>
      <c r="AV118" s="217"/>
      <c r="AW118" s="217"/>
      <c r="AX118" s="217"/>
      <c r="AY118" s="217"/>
      <c r="AZ118" s="217"/>
      <c r="BA118" s="217"/>
      <c r="BB118" s="217"/>
      <c r="BC118" s="217"/>
      <c r="BD118" s="218"/>
    </row>
    <row r="119" spans="1:63" s="520" customFormat="1" ht="15">
      <c r="B119" s="307"/>
      <c r="C119" s="824">
        <f t="shared" si="49"/>
        <v>16</v>
      </c>
      <c r="D119" s="173"/>
      <c r="E119" s="316"/>
      <c r="F119" s="37" t="s">
        <v>117</v>
      </c>
      <c r="G119" s="68"/>
      <c r="H119" s="326">
        <f t="shared" si="33"/>
        <v>0</v>
      </c>
      <c r="I119" s="30"/>
      <c r="J119" s="866">
        <f t="shared" si="34"/>
        <v>0</v>
      </c>
      <c r="K119" s="867">
        <f t="shared" si="35"/>
        <v>0</v>
      </c>
      <c r="L119" s="316"/>
      <c r="M119" s="30"/>
      <c r="N119" s="867">
        <f t="shared" si="36"/>
        <v>0</v>
      </c>
      <c r="O119" s="324">
        <f t="shared" si="37"/>
        <v>0</v>
      </c>
      <c r="P119" s="325">
        <f t="shared" si="38"/>
        <v>0</v>
      </c>
      <c r="Q119" s="316">
        <f t="shared" si="50"/>
        <v>0</v>
      </c>
      <c r="R119" s="74"/>
      <c r="S119" s="42"/>
      <c r="T119" s="324">
        <f t="shared" si="51"/>
        <v>0</v>
      </c>
      <c r="U119" s="316">
        <f t="shared" si="39"/>
        <v>0</v>
      </c>
      <c r="V119" s="66">
        <v>1</v>
      </c>
      <c r="W119" s="66"/>
      <c r="X119" s="67">
        <f t="shared" si="40"/>
        <v>0</v>
      </c>
      <c r="Y119" s="16" t="str">
        <f t="shared" si="52"/>
        <v>No Alert</v>
      </c>
      <c r="Z119" s="37" t="s">
        <v>125</v>
      </c>
      <c r="AA119" s="60"/>
      <c r="AB119" s="40" t="s">
        <v>348</v>
      </c>
      <c r="AC119" s="60"/>
      <c r="AD119" s="37" t="s">
        <v>125</v>
      </c>
      <c r="AE119" s="60"/>
      <c r="AF119" s="79" t="s">
        <v>349</v>
      </c>
      <c r="AG119" s="60"/>
      <c r="AH119" s="37" t="s">
        <v>125</v>
      </c>
      <c r="AI119" s="60"/>
      <c r="AJ119" s="40" t="s">
        <v>348</v>
      </c>
      <c r="AK119" s="60"/>
      <c r="AL119" s="63">
        <f t="shared" si="41"/>
        <v>4.8064250364478198</v>
      </c>
      <c r="AM119" s="63">
        <f t="shared" si="42"/>
        <v>6.2664411871606829</v>
      </c>
      <c r="AN119" s="63">
        <f t="shared" si="43"/>
        <v>4.8064250364478198</v>
      </c>
      <c r="AO119" s="351">
        <f t="shared" si="44"/>
        <v>0</v>
      </c>
      <c r="AP119" s="351">
        <f t="shared" si="45"/>
        <v>0</v>
      </c>
      <c r="AQ119" s="351">
        <f t="shared" si="46"/>
        <v>0</v>
      </c>
      <c r="AR119" s="351">
        <f t="shared" si="47"/>
        <v>0</v>
      </c>
      <c r="AS119" s="351">
        <f t="shared" si="53"/>
        <v>0</v>
      </c>
      <c r="AT119" s="276">
        <f t="shared" si="48"/>
        <v>0</v>
      </c>
      <c r="AU119" s="215"/>
      <c r="AV119" s="217"/>
      <c r="AW119" s="217"/>
      <c r="AX119" s="217"/>
      <c r="AY119" s="217"/>
      <c r="AZ119" s="217"/>
      <c r="BA119" s="217"/>
      <c r="BB119" s="217"/>
      <c r="BC119" s="217"/>
      <c r="BD119" s="218"/>
    </row>
    <row r="120" spans="1:63" s="520" customFormat="1" ht="15">
      <c r="B120" s="307"/>
      <c r="C120" s="824">
        <f t="shared" si="49"/>
        <v>17</v>
      </c>
      <c r="D120" s="173"/>
      <c r="E120" s="316"/>
      <c r="F120" s="37" t="s">
        <v>117</v>
      </c>
      <c r="G120" s="68"/>
      <c r="H120" s="326">
        <f t="shared" si="33"/>
        <v>0</v>
      </c>
      <c r="I120" s="30"/>
      <c r="J120" s="866">
        <f t="shared" si="34"/>
        <v>0</v>
      </c>
      <c r="K120" s="867">
        <f t="shared" si="35"/>
        <v>0</v>
      </c>
      <c r="L120" s="316"/>
      <c r="M120" s="30"/>
      <c r="N120" s="867">
        <f t="shared" si="36"/>
        <v>0</v>
      </c>
      <c r="O120" s="324">
        <f t="shared" si="37"/>
        <v>0</v>
      </c>
      <c r="P120" s="325">
        <f t="shared" si="38"/>
        <v>0</v>
      </c>
      <c r="Q120" s="316">
        <f t="shared" si="50"/>
        <v>0</v>
      </c>
      <c r="R120" s="74"/>
      <c r="S120" s="42"/>
      <c r="T120" s="324">
        <f t="shared" si="51"/>
        <v>0</v>
      </c>
      <c r="U120" s="316">
        <f t="shared" si="39"/>
        <v>0</v>
      </c>
      <c r="V120" s="66">
        <v>1</v>
      </c>
      <c r="W120" s="66"/>
      <c r="X120" s="67">
        <f t="shared" si="40"/>
        <v>0</v>
      </c>
      <c r="Y120" s="16" t="str">
        <f t="shared" si="52"/>
        <v>No Alert</v>
      </c>
      <c r="Z120" s="37" t="s">
        <v>125</v>
      </c>
      <c r="AA120" s="60"/>
      <c r="AB120" s="40" t="s">
        <v>348</v>
      </c>
      <c r="AC120" s="60"/>
      <c r="AD120" s="37" t="s">
        <v>125</v>
      </c>
      <c r="AE120" s="60"/>
      <c r="AF120" s="79" t="s">
        <v>349</v>
      </c>
      <c r="AG120" s="60"/>
      <c r="AH120" s="37" t="s">
        <v>125</v>
      </c>
      <c r="AI120" s="60"/>
      <c r="AJ120" s="40" t="s">
        <v>348</v>
      </c>
      <c r="AK120" s="60"/>
      <c r="AL120" s="63">
        <f t="shared" si="41"/>
        <v>4.8064250364478198</v>
      </c>
      <c r="AM120" s="63">
        <f t="shared" si="42"/>
        <v>6.2664411871606829</v>
      </c>
      <c r="AN120" s="63">
        <f t="shared" si="43"/>
        <v>4.8064250364478198</v>
      </c>
      <c r="AO120" s="351">
        <f t="shared" si="44"/>
        <v>0</v>
      </c>
      <c r="AP120" s="351">
        <f t="shared" si="45"/>
        <v>0</v>
      </c>
      <c r="AQ120" s="351">
        <f t="shared" si="46"/>
        <v>0</v>
      </c>
      <c r="AR120" s="351">
        <f t="shared" si="47"/>
        <v>0</v>
      </c>
      <c r="AS120" s="351">
        <f t="shared" si="53"/>
        <v>0</v>
      </c>
      <c r="AT120" s="276">
        <f t="shared" si="48"/>
        <v>0</v>
      </c>
      <c r="AU120" s="215"/>
      <c r="AV120" s="217"/>
      <c r="AW120" s="217"/>
      <c r="AX120" s="217"/>
      <c r="AY120" s="217"/>
      <c r="AZ120" s="217"/>
      <c r="BA120" s="217"/>
      <c r="BB120" s="217"/>
      <c r="BC120" s="217"/>
      <c r="BD120" s="218"/>
    </row>
    <row r="121" spans="1:63" s="520" customFormat="1" ht="15">
      <c r="B121" s="307"/>
      <c r="C121" s="824">
        <f t="shared" si="49"/>
        <v>18</v>
      </c>
      <c r="D121" s="173"/>
      <c r="E121" s="316"/>
      <c r="F121" s="37" t="s">
        <v>117</v>
      </c>
      <c r="G121" s="68"/>
      <c r="H121" s="326">
        <f t="shared" si="33"/>
        <v>0</v>
      </c>
      <c r="I121" s="30"/>
      <c r="J121" s="866">
        <f t="shared" si="34"/>
        <v>0</v>
      </c>
      <c r="K121" s="867">
        <f t="shared" si="35"/>
        <v>0</v>
      </c>
      <c r="L121" s="316"/>
      <c r="M121" s="30"/>
      <c r="N121" s="867">
        <f t="shared" si="36"/>
        <v>0</v>
      </c>
      <c r="O121" s="324">
        <f t="shared" si="37"/>
        <v>0</v>
      </c>
      <c r="P121" s="325">
        <f t="shared" si="38"/>
        <v>0</v>
      </c>
      <c r="Q121" s="316">
        <f t="shared" si="50"/>
        <v>0</v>
      </c>
      <c r="R121" s="74"/>
      <c r="S121" s="42"/>
      <c r="T121" s="324">
        <f t="shared" si="51"/>
        <v>0</v>
      </c>
      <c r="U121" s="316">
        <f t="shared" si="39"/>
        <v>0</v>
      </c>
      <c r="V121" s="66">
        <v>1</v>
      </c>
      <c r="W121" s="66"/>
      <c r="X121" s="67">
        <f t="shared" si="40"/>
        <v>0</v>
      </c>
      <c r="Y121" s="16" t="str">
        <f t="shared" si="52"/>
        <v>No Alert</v>
      </c>
      <c r="Z121" s="37" t="s">
        <v>125</v>
      </c>
      <c r="AA121" s="60"/>
      <c r="AB121" s="40" t="s">
        <v>348</v>
      </c>
      <c r="AC121" s="60"/>
      <c r="AD121" s="37" t="s">
        <v>125</v>
      </c>
      <c r="AE121" s="60"/>
      <c r="AF121" s="79" t="s">
        <v>349</v>
      </c>
      <c r="AG121" s="60"/>
      <c r="AH121" s="37" t="s">
        <v>125</v>
      </c>
      <c r="AI121" s="60"/>
      <c r="AJ121" s="40" t="s">
        <v>348</v>
      </c>
      <c r="AK121" s="60"/>
      <c r="AL121" s="63">
        <f t="shared" si="41"/>
        <v>4.8064250364478198</v>
      </c>
      <c r="AM121" s="63">
        <f t="shared" si="42"/>
        <v>6.2664411871606829</v>
      </c>
      <c r="AN121" s="63">
        <f t="shared" si="43"/>
        <v>4.8064250364478198</v>
      </c>
      <c r="AO121" s="351">
        <f t="shared" si="44"/>
        <v>0</v>
      </c>
      <c r="AP121" s="351">
        <f t="shared" si="45"/>
        <v>0</v>
      </c>
      <c r="AQ121" s="351">
        <f t="shared" si="46"/>
        <v>0</v>
      </c>
      <c r="AR121" s="351">
        <f t="shared" si="47"/>
        <v>0</v>
      </c>
      <c r="AS121" s="351">
        <f t="shared" si="53"/>
        <v>0</v>
      </c>
      <c r="AT121" s="276">
        <f t="shared" si="48"/>
        <v>0</v>
      </c>
      <c r="AU121" s="215"/>
      <c r="AV121" s="217"/>
      <c r="AW121" s="217"/>
      <c r="AX121" s="217"/>
      <c r="AY121" s="217"/>
      <c r="AZ121" s="217"/>
      <c r="BA121" s="217"/>
      <c r="BB121" s="217"/>
      <c r="BC121" s="217"/>
      <c r="BD121" s="218"/>
    </row>
    <row r="122" spans="1:63" s="520" customFormat="1" ht="15">
      <c r="B122" s="307"/>
      <c r="C122" s="824">
        <f t="shared" si="49"/>
        <v>19</v>
      </c>
      <c r="D122" s="173"/>
      <c r="E122" s="316"/>
      <c r="F122" s="37" t="s">
        <v>117</v>
      </c>
      <c r="G122" s="68"/>
      <c r="H122" s="326">
        <f t="shared" si="33"/>
        <v>0</v>
      </c>
      <c r="I122" s="30"/>
      <c r="J122" s="866">
        <f t="shared" si="34"/>
        <v>0</v>
      </c>
      <c r="K122" s="867">
        <f t="shared" si="35"/>
        <v>0</v>
      </c>
      <c r="L122" s="316"/>
      <c r="M122" s="30"/>
      <c r="N122" s="867">
        <f t="shared" si="36"/>
        <v>0</v>
      </c>
      <c r="O122" s="324">
        <f t="shared" si="37"/>
        <v>0</v>
      </c>
      <c r="P122" s="325">
        <f t="shared" si="38"/>
        <v>0</v>
      </c>
      <c r="Q122" s="316">
        <f t="shared" si="50"/>
        <v>0</v>
      </c>
      <c r="R122" s="74"/>
      <c r="S122" s="42"/>
      <c r="T122" s="324">
        <f t="shared" si="51"/>
        <v>0</v>
      </c>
      <c r="U122" s="316">
        <f t="shared" si="39"/>
        <v>0</v>
      </c>
      <c r="V122" s="66">
        <v>1</v>
      </c>
      <c r="W122" s="66"/>
      <c r="X122" s="67">
        <f t="shared" si="40"/>
        <v>0</v>
      </c>
      <c r="Y122" s="16" t="str">
        <f t="shared" si="52"/>
        <v>No Alert</v>
      </c>
      <c r="Z122" s="37" t="s">
        <v>125</v>
      </c>
      <c r="AA122" s="60"/>
      <c r="AB122" s="40" t="s">
        <v>348</v>
      </c>
      <c r="AC122" s="60"/>
      <c r="AD122" s="37" t="s">
        <v>125</v>
      </c>
      <c r="AE122" s="60"/>
      <c r="AF122" s="79" t="s">
        <v>349</v>
      </c>
      <c r="AG122" s="60"/>
      <c r="AH122" s="37" t="s">
        <v>125</v>
      </c>
      <c r="AI122" s="60"/>
      <c r="AJ122" s="40" t="s">
        <v>348</v>
      </c>
      <c r="AK122" s="60"/>
      <c r="AL122" s="63">
        <f t="shared" si="41"/>
        <v>4.8064250364478198</v>
      </c>
      <c r="AM122" s="63">
        <f t="shared" si="42"/>
        <v>6.2664411871606829</v>
      </c>
      <c r="AN122" s="63">
        <f t="shared" si="43"/>
        <v>4.8064250364478198</v>
      </c>
      <c r="AO122" s="351">
        <f t="shared" si="44"/>
        <v>0</v>
      </c>
      <c r="AP122" s="351">
        <f t="shared" si="45"/>
        <v>0</v>
      </c>
      <c r="AQ122" s="351">
        <f t="shared" si="46"/>
        <v>0</v>
      </c>
      <c r="AR122" s="351">
        <f t="shared" si="47"/>
        <v>0</v>
      </c>
      <c r="AS122" s="351">
        <f t="shared" si="53"/>
        <v>0</v>
      </c>
      <c r="AT122" s="276">
        <f t="shared" si="48"/>
        <v>0</v>
      </c>
      <c r="AU122" s="215"/>
      <c r="AV122" s="217"/>
      <c r="AW122" s="217"/>
      <c r="AX122" s="217"/>
      <c r="AY122" s="217"/>
      <c r="AZ122" s="217"/>
      <c r="BA122" s="217"/>
      <c r="BB122" s="217"/>
      <c r="BC122" s="217"/>
      <c r="BD122" s="218"/>
    </row>
    <row r="123" spans="1:63" s="520" customFormat="1" ht="15">
      <c r="B123" s="307"/>
      <c r="C123" s="824">
        <f t="shared" si="49"/>
        <v>20</v>
      </c>
      <c r="D123" s="173"/>
      <c r="E123" s="316"/>
      <c r="F123" s="37" t="s">
        <v>117</v>
      </c>
      <c r="G123" s="68"/>
      <c r="H123" s="326">
        <f t="shared" si="33"/>
        <v>0</v>
      </c>
      <c r="I123" s="30"/>
      <c r="J123" s="866">
        <f t="shared" si="34"/>
        <v>0</v>
      </c>
      <c r="K123" s="867">
        <f t="shared" si="35"/>
        <v>0</v>
      </c>
      <c r="L123" s="316"/>
      <c r="M123" s="30"/>
      <c r="N123" s="867">
        <f t="shared" si="36"/>
        <v>0</v>
      </c>
      <c r="O123" s="324">
        <f t="shared" si="37"/>
        <v>0</v>
      </c>
      <c r="P123" s="325">
        <f t="shared" si="38"/>
        <v>0</v>
      </c>
      <c r="Q123" s="316">
        <f t="shared" si="50"/>
        <v>0</v>
      </c>
      <c r="R123" s="74"/>
      <c r="S123" s="42"/>
      <c r="T123" s="324">
        <f t="shared" si="51"/>
        <v>0</v>
      </c>
      <c r="U123" s="316">
        <f t="shared" si="39"/>
        <v>0</v>
      </c>
      <c r="V123" s="66">
        <v>1</v>
      </c>
      <c r="W123" s="66"/>
      <c r="X123" s="67">
        <f t="shared" si="40"/>
        <v>0</v>
      </c>
      <c r="Y123" s="16" t="str">
        <f t="shared" si="52"/>
        <v>No Alert</v>
      </c>
      <c r="Z123" s="37" t="s">
        <v>125</v>
      </c>
      <c r="AA123" s="60"/>
      <c r="AB123" s="40" t="s">
        <v>348</v>
      </c>
      <c r="AC123" s="60"/>
      <c r="AD123" s="37" t="s">
        <v>125</v>
      </c>
      <c r="AE123" s="60"/>
      <c r="AF123" s="79" t="s">
        <v>349</v>
      </c>
      <c r="AG123" s="60"/>
      <c r="AH123" s="37" t="s">
        <v>125</v>
      </c>
      <c r="AI123" s="60"/>
      <c r="AJ123" s="40" t="s">
        <v>348</v>
      </c>
      <c r="AK123" s="60"/>
      <c r="AL123" s="63">
        <f t="shared" si="41"/>
        <v>4.8064250364478198</v>
      </c>
      <c r="AM123" s="63">
        <f t="shared" si="42"/>
        <v>6.2664411871606829</v>
      </c>
      <c r="AN123" s="63">
        <f t="shared" si="43"/>
        <v>4.8064250364478198</v>
      </c>
      <c r="AO123" s="351">
        <f t="shared" si="44"/>
        <v>0</v>
      </c>
      <c r="AP123" s="351">
        <f t="shared" si="45"/>
        <v>0</v>
      </c>
      <c r="AQ123" s="351">
        <f t="shared" si="46"/>
        <v>0</v>
      </c>
      <c r="AR123" s="351">
        <f t="shared" si="47"/>
        <v>0</v>
      </c>
      <c r="AS123" s="351">
        <f t="shared" si="53"/>
        <v>0</v>
      </c>
      <c r="AT123" s="276">
        <f t="shared" si="48"/>
        <v>0</v>
      </c>
      <c r="AU123" s="215"/>
      <c r="AV123" s="217"/>
      <c r="AW123" s="217"/>
      <c r="AX123" s="217"/>
      <c r="AY123" s="217"/>
      <c r="AZ123" s="217"/>
      <c r="BA123" s="217"/>
      <c r="BB123" s="217"/>
      <c r="BC123" s="217"/>
      <c r="BD123" s="218"/>
    </row>
    <row r="124" spans="1:63" s="520" customFormat="1" ht="18" customHeight="1">
      <c r="B124" s="23"/>
      <c r="C124" s="23"/>
      <c r="D124" s="23"/>
      <c r="E124" s="323"/>
      <c r="F124" s="23"/>
      <c r="G124" s="23"/>
      <c r="H124" s="323"/>
      <c r="I124" s="23"/>
      <c r="J124" s="23"/>
      <c r="K124" s="323"/>
      <c r="L124" s="323"/>
      <c r="M124" s="23"/>
      <c r="N124" s="323"/>
      <c r="O124" s="868"/>
      <c r="P124" s="323"/>
      <c r="Q124" s="323"/>
      <c r="R124" s="768"/>
      <c r="S124" s="869"/>
      <c r="T124" s="869"/>
      <c r="U124" s="870"/>
      <c r="V124" s="23"/>
      <c r="W124" s="23"/>
      <c r="X124" s="23"/>
      <c r="Y124" s="23"/>
      <c r="Z124" s="23"/>
      <c r="AA124" s="23"/>
      <c r="AB124" s="23"/>
      <c r="AC124" s="23"/>
      <c r="AD124" s="23"/>
      <c r="AE124" s="23"/>
      <c r="AF124" s="23"/>
      <c r="AG124" s="23"/>
      <c r="AL124" s="550"/>
      <c r="AM124" s="23"/>
      <c r="AO124" s="54"/>
      <c r="AP124" s="54"/>
      <c r="AQ124" s="872"/>
      <c r="AR124" s="871"/>
      <c r="AS124" s="54"/>
      <c r="AT124" s="54"/>
    </row>
    <row r="125" spans="1:63" s="520" customFormat="1" ht="18" customHeight="1">
      <c r="B125" s="789"/>
      <c r="C125" s="789"/>
      <c r="D125" s="789"/>
      <c r="E125" s="372">
        <f>SUM(E103:E124)</f>
        <v>0</v>
      </c>
      <c r="F125" s="736"/>
      <c r="G125" s="736"/>
      <c r="H125" s="372">
        <f>SUM(H103:H124)</f>
        <v>0</v>
      </c>
      <c r="I125" s="23"/>
      <c r="J125" s="736"/>
      <c r="K125" s="372">
        <f>SUM(K103:K124)</f>
        <v>0</v>
      </c>
      <c r="L125" s="372">
        <f>SUM(L103:L124)</f>
        <v>0</v>
      </c>
      <c r="M125" s="23"/>
      <c r="N125" s="373">
        <f>SUM(N103:N124)</f>
        <v>0</v>
      </c>
      <c r="O125" s="373">
        <f>SUM(O103:O124)</f>
        <v>0</v>
      </c>
      <c r="P125" s="373">
        <f>SUM(P103:P124)</f>
        <v>0</v>
      </c>
      <c r="Q125" s="373">
        <f>SUM(Q103:Q124)</f>
        <v>0</v>
      </c>
      <c r="R125" s="768"/>
      <c r="S125" s="372">
        <f>SUM(S103:S124)</f>
        <v>0</v>
      </c>
      <c r="T125" s="372">
        <f>SUM(T103:T124)</f>
        <v>0</v>
      </c>
      <c r="U125" s="372">
        <f>SUM(U103:U124)</f>
        <v>0</v>
      </c>
      <c r="V125" s="70"/>
      <c r="W125" s="70"/>
      <c r="X125" s="70"/>
      <c r="Y125" s="70"/>
      <c r="Z125" s="736"/>
      <c r="AA125" s="736"/>
      <c r="AB125" s="736"/>
      <c r="AC125" s="736"/>
      <c r="AD125" s="70"/>
      <c r="AE125" s="70"/>
      <c r="AF125" s="736"/>
      <c r="AG125" s="736"/>
      <c r="AL125" s="736"/>
      <c r="AM125" s="70"/>
      <c r="AO125" s="351">
        <f t="shared" ref="AO125:AS125" si="54">SUM(AO103:AO124)</f>
        <v>0</v>
      </c>
      <c r="AP125" s="351">
        <f t="shared" si="54"/>
        <v>0</v>
      </c>
      <c r="AQ125" s="351">
        <f t="shared" si="54"/>
        <v>0</v>
      </c>
      <c r="AR125" s="351">
        <f t="shared" si="54"/>
        <v>0</v>
      </c>
      <c r="AS125" s="351">
        <f t="shared" si="54"/>
        <v>0</v>
      </c>
      <c r="AT125" s="276">
        <f>SUM(AT103:AT124)</f>
        <v>0</v>
      </c>
      <c r="AU125" s="882">
        <f>IF(E125=0,0,AT125/E125)</f>
        <v>0</v>
      </c>
      <c r="AV125" s="520" t="s">
        <v>41</v>
      </c>
    </row>
    <row r="126" spans="1:63" s="520" customFormat="1" ht="18" customHeight="1">
      <c r="B126" s="789"/>
      <c r="C126" s="789"/>
      <c r="D126" s="789"/>
      <c r="E126" s="789"/>
      <c r="F126" s="789"/>
      <c r="G126" s="789"/>
      <c r="H126" s="789"/>
      <c r="I126" s="789"/>
      <c r="J126" s="789"/>
      <c r="K126" s="789"/>
      <c r="L126" s="789"/>
      <c r="M126" s="789"/>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c r="AL126" s="789"/>
      <c r="AM126" s="789"/>
      <c r="AN126" s="789"/>
      <c r="AO126" s="789"/>
      <c r="AP126" s="789"/>
      <c r="AQ126" s="789"/>
      <c r="AR126" s="789"/>
      <c r="AS126" s="789"/>
      <c r="AT126" s="789"/>
      <c r="AU126" s="789"/>
      <c r="AV126" s="789"/>
      <c r="AW126" s="789"/>
      <c r="AX126" s="789"/>
      <c r="AY126" s="789"/>
      <c r="AZ126" s="789"/>
      <c r="BA126" s="789"/>
      <c r="BB126" s="789"/>
      <c r="BC126" s="789"/>
      <c r="BD126" s="789"/>
    </row>
    <row r="127" spans="1:63" s="495" customFormat="1" ht="18" customHeight="1">
      <c r="A127" s="748"/>
      <c r="B127" s="839"/>
      <c r="D127" s="520"/>
      <c r="E127" s="840"/>
      <c r="F127" s="768"/>
      <c r="G127" s="768"/>
      <c r="H127" s="768"/>
      <c r="I127" s="768"/>
      <c r="J127" s="768"/>
      <c r="K127" s="768"/>
      <c r="L127" s="768"/>
      <c r="M127" s="768"/>
      <c r="N127" s="768"/>
      <c r="O127" s="843"/>
      <c r="P127" s="843"/>
      <c r="Q127" s="843"/>
      <c r="R127" s="843"/>
      <c r="S127" s="843"/>
      <c r="T127" s="843"/>
      <c r="U127" s="843"/>
      <c r="V127" s="843"/>
      <c r="AH127" s="520"/>
      <c r="BJ127" s="520"/>
      <c r="BK127" s="520"/>
    </row>
    <row r="128" spans="1:63" ht="18" customHeight="1">
      <c r="A128" s="748"/>
      <c r="B128" s="287" t="s">
        <v>26</v>
      </c>
      <c r="C128" s="820" t="s">
        <v>1656</v>
      </c>
      <c r="D128" s="816"/>
      <c r="E128" s="475"/>
      <c r="F128" s="804"/>
      <c r="Y128" s="474"/>
      <c r="Z128" s="474"/>
      <c r="AA128" s="474"/>
      <c r="AB128" s="474"/>
      <c r="AC128" s="474"/>
      <c r="AD128" s="474"/>
      <c r="AE128" s="474"/>
      <c r="AF128" s="475"/>
      <c r="AG128" s="475"/>
      <c r="AH128" s="475"/>
      <c r="AI128" s="475"/>
      <c r="AJ128" s="475"/>
      <c r="AK128" s="475"/>
      <c r="AL128" s="475"/>
      <c r="AM128" s="475"/>
      <c r="AN128" s="475"/>
      <c r="AO128" s="475"/>
      <c r="AP128" s="475"/>
    </row>
    <row r="129" spans="1:64" s="495" customFormat="1" ht="31.9" customHeight="1">
      <c r="A129" s="748"/>
      <c r="B129" s="774" t="s">
        <v>1517</v>
      </c>
      <c r="C129" s="774" t="s">
        <v>27</v>
      </c>
      <c r="D129" s="774"/>
      <c r="E129" s="812" t="s">
        <v>1590</v>
      </c>
      <c r="F129" s="822"/>
      <c r="G129" s="823"/>
      <c r="H129" s="773" t="s">
        <v>1485</v>
      </c>
      <c r="I129" s="773" t="s">
        <v>2</v>
      </c>
      <c r="J129" s="773" t="s">
        <v>1521</v>
      </c>
      <c r="K129" s="773" t="s">
        <v>1562</v>
      </c>
      <c r="L129" s="773" t="s">
        <v>1586</v>
      </c>
      <c r="M129" s="775" t="s">
        <v>32</v>
      </c>
      <c r="N129" s="776" t="s">
        <v>1526</v>
      </c>
      <c r="O129" s="777"/>
      <c r="P129" s="777"/>
      <c r="Q129" s="777"/>
      <c r="R129" s="777"/>
      <c r="S129" s="777"/>
      <c r="T129" s="777"/>
      <c r="U129" s="778"/>
      <c r="V129" s="793"/>
      <c r="W129" s="793"/>
      <c r="AI129" s="520"/>
      <c r="AJ129" s="520"/>
      <c r="BH129" s="520"/>
      <c r="BI129" s="520"/>
    </row>
    <row r="130" spans="1:64" s="520" customFormat="1" ht="18" customHeight="1">
      <c r="A130" s="748"/>
      <c r="B130" s="768"/>
      <c r="C130" s="768"/>
      <c r="D130" s="768"/>
      <c r="E130" s="768"/>
      <c r="F130" s="768"/>
      <c r="G130" s="768"/>
      <c r="H130" s="771" t="s">
        <v>1563</v>
      </c>
      <c r="I130" s="830"/>
      <c r="J130" s="768"/>
      <c r="K130" s="768"/>
      <c r="L130" s="768"/>
      <c r="M130" s="768"/>
      <c r="N130" s="748"/>
      <c r="O130" s="474"/>
      <c r="P130" s="474"/>
      <c r="Q130" s="474"/>
      <c r="R130" s="474"/>
      <c r="S130" s="474"/>
      <c r="T130" s="474"/>
      <c r="U130" s="779"/>
      <c r="V130" s="768"/>
      <c r="W130" s="768"/>
      <c r="X130" s="768"/>
      <c r="Y130" s="768"/>
      <c r="Z130" s="768"/>
      <c r="AA130" s="768"/>
      <c r="AB130" s="768"/>
      <c r="AC130" s="768"/>
      <c r="AD130" s="768"/>
      <c r="AE130" s="768"/>
    </row>
    <row r="131" spans="1:64" s="434" customFormat="1" ht="12.75">
      <c r="A131" s="748"/>
      <c r="B131" s="307"/>
      <c r="C131" s="824">
        <v>1</v>
      </c>
      <c r="D131" s="166"/>
      <c r="E131" s="780" t="str">
        <f>VLOOKUP($J131,TOV!$C$85:$G$217,TOV!$E$1,FALSE)</f>
        <v>Remove road overpass</v>
      </c>
      <c r="F131" s="831"/>
      <c r="G131" s="832"/>
      <c r="H131" s="128"/>
      <c r="I131" s="827" t="str">
        <f>VLOOKUP($J131,TOV!$C$85:$G$217,TOV!$G$1,FALSE)</f>
        <v>item</v>
      </c>
      <c r="J131" s="883" t="str">
        <f>TOV!C131</f>
        <v>#3.47</v>
      </c>
      <c r="K131" s="63">
        <f>VLOOKUP($J131,TOV!$C$85:$G$217,TOV!$F$1,FALSE)</f>
        <v>500000</v>
      </c>
      <c r="L131" s="418"/>
      <c r="M131" s="104">
        <f>IF(L131="",K131,L131)*H131</f>
        <v>0</v>
      </c>
      <c r="N131" s="215"/>
      <c r="O131" s="217"/>
      <c r="P131" s="217"/>
      <c r="Q131" s="217"/>
      <c r="R131" s="217"/>
      <c r="S131" s="217"/>
      <c r="T131" s="217"/>
      <c r="U131" s="218"/>
    </row>
    <row r="132" spans="1:64" s="434" customFormat="1" ht="12.75">
      <c r="A132" s="748"/>
      <c r="B132" s="307"/>
      <c r="C132" s="824">
        <f>C131+1</f>
        <v>2</v>
      </c>
      <c r="D132" s="166"/>
      <c r="E132" s="780" t="str">
        <f>VLOOKUP($J132,TOV!$C$85:$G$217,TOV!$E$1,FALSE)</f>
        <v>Remove course overpass</v>
      </c>
      <c r="F132" s="831"/>
      <c r="G132" s="832"/>
      <c r="H132" s="128"/>
      <c r="I132" s="827" t="str">
        <f>VLOOKUP($J132,TOV!$C$85:$G$217,TOV!$G$1,FALSE)</f>
        <v>item</v>
      </c>
      <c r="J132" s="883" t="str">
        <f>TOV!C132</f>
        <v>#3.48</v>
      </c>
      <c r="K132" s="63">
        <f>VLOOKUP($J132,TOV!$C$85:$G$217,TOV!$F$1,FALSE)</f>
        <v>1300000</v>
      </c>
      <c r="L132" s="418"/>
      <c r="M132" s="104">
        <f>IF(L132="",K132,L132)*H132</f>
        <v>0</v>
      </c>
      <c r="N132" s="215"/>
      <c r="O132" s="217"/>
      <c r="P132" s="217"/>
      <c r="Q132" s="217"/>
      <c r="R132" s="217"/>
      <c r="S132" s="217"/>
      <c r="T132" s="217"/>
      <c r="U132" s="218"/>
    </row>
    <row r="133" spans="1:64" s="495" customFormat="1" ht="12.75">
      <c r="A133" s="748"/>
      <c r="B133" s="307"/>
      <c r="C133" s="824">
        <f>C132+1</f>
        <v>3</v>
      </c>
      <c r="D133" s="166"/>
      <c r="E133" s="940"/>
      <c r="F133" s="941"/>
      <c r="G133" s="942"/>
      <c r="H133" s="127"/>
      <c r="I133" s="72"/>
      <c r="J133" s="768"/>
      <c r="K133" s="518" t="str">
        <f t="shared" ref="K133:K134" si="55">IF(AND(H133&gt;0,OR(L133="",L133=0)),"Enter Rate","No alert")</f>
        <v>No alert</v>
      </c>
      <c r="L133" s="418"/>
      <c r="M133" s="104">
        <f>L133*H133</f>
        <v>0</v>
      </c>
      <c r="N133" s="215"/>
      <c r="O133" s="217"/>
      <c r="P133" s="217"/>
      <c r="Q133" s="217"/>
      <c r="R133" s="217"/>
      <c r="S133" s="217"/>
      <c r="T133" s="217"/>
      <c r="U133" s="218"/>
      <c r="V133" s="829"/>
      <c r="W133" s="829"/>
      <c r="X133" s="829"/>
      <c r="Y133" s="829"/>
      <c r="Z133" s="829"/>
      <c r="AA133" s="829"/>
      <c r="AB133" s="829"/>
      <c r="AC133" s="829"/>
      <c r="AH133" s="520"/>
      <c r="BK133" s="520"/>
      <c r="BL133" s="520"/>
    </row>
    <row r="134" spans="1:64" s="495" customFormat="1" ht="12.75">
      <c r="A134" s="748"/>
      <c r="B134" s="307"/>
      <c r="C134" s="824">
        <f>C133+1</f>
        <v>4</v>
      </c>
      <c r="D134" s="166"/>
      <c r="E134" s="940"/>
      <c r="F134" s="938"/>
      <c r="G134" s="939"/>
      <c r="H134" s="127"/>
      <c r="I134" s="47"/>
      <c r="J134" s="768"/>
      <c r="K134" s="518" t="str">
        <f t="shared" si="55"/>
        <v>No alert</v>
      </c>
      <c r="L134" s="418"/>
      <c r="M134" s="104">
        <f>L134*H134</f>
        <v>0</v>
      </c>
      <c r="N134" s="215"/>
      <c r="O134" s="217"/>
      <c r="P134" s="217"/>
      <c r="Q134" s="217"/>
      <c r="R134" s="217"/>
      <c r="S134" s="217"/>
      <c r="T134" s="217"/>
      <c r="U134" s="218"/>
      <c r="V134" s="520"/>
      <c r="W134" s="520"/>
      <c r="X134" s="520"/>
      <c r="Y134" s="520"/>
      <c r="Z134" s="520"/>
      <c r="AA134" s="520"/>
      <c r="AB134" s="520"/>
      <c r="AC134" s="520"/>
      <c r="AH134" s="520"/>
      <c r="BK134" s="520"/>
      <c r="BL134" s="520"/>
    </row>
    <row r="135" spans="1:64" s="520" customFormat="1" ht="18" customHeight="1">
      <c r="A135" s="748"/>
      <c r="B135" s="53"/>
      <c r="C135" s="53"/>
      <c r="E135" s="53"/>
      <c r="F135" s="768"/>
      <c r="G135" s="768"/>
      <c r="H135" s="129"/>
      <c r="I135" s="53"/>
      <c r="J135" s="768"/>
      <c r="K135" s="836"/>
      <c r="L135" s="123"/>
      <c r="M135" s="105"/>
      <c r="N135" s="768"/>
      <c r="O135" s="23"/>
      <c r="P135" s="23"/>
      <c r="Q135" s="23"/>
      <c r="R135" s="23"/>
      <c r="S135" s="23"/>
      <c r="T135" s="23"/>
      <c r="U135" s="23"/>
      <c r="V135" s="23"/>
      <c r="AA135" s="829"/>
      <c r="AB135" s="829"/>
      <c r="AF135" s="768"/>
      <c r="AG135" s="768"/>
      <c r="AI135" s="495"/>
      <c r="AJ135" s="768"/>
      <c r="AO135" s="837"/>
      <c r="AP135" s="838"/>
      <c r="AQ135" s="838"/>
      <c r="AR135" s="838"/>
      <c r="AS135" s="838"/>
      <c r="AT135" s="838"/>
      <c r="AU135" s="838"/>
    </row>
    <row r="136" spans="1:64" s="495" customFormat="1" ht="18" customHeight="1">
      <c r="A136" s="748"/>
      <c r="B136" s="839"/>
      <c r="D136" s="520"/>
      <c r="E136" s="840"/>
      <c r="F136" s="768"/>
      <c r="G136" s="844" t="s">
        <v>1593</v>
      </c>
      <c r="H136" s="884">
        <f>SUM(H130:H135)</f>
        <v>0</v>
      </c>
      <c r="I136" s="845" t="s">
        <v>94</v>
      </c>
      <c r="J136" s="768"/>
      <c r="K136" s="768"/>
      <c r="L136" s="885"/>
      <c r="M136" s="106">
        <f>SUM(M130:M135)</f>
        <v>0</v>
      </c>
      <c r="N136" s="797">
        <f>IF(H136=0,0,M136/H136)</f>
        <v>0</v>
      </c>
      <c r="O136" s="520" t="str">
        <f>I136</f>
        <v>item</v>
      </c>
      <c r="P136" s="843"/>
      <c r="Q136" s="843"/>
      <c r="R136" s="843"/>
      <c r="S136" s="843"/>
      <c r="T136" s="843"/>
      <c r="U136" s="843"/>
      <c r="V136" s="843"/>
      <c r="AH136" s="520"/>
      <c r="BK136" s="520"/>
      <c r="BL136" s="520"/>
    </row>
    <row r="137" spans="1:64" s="495" customFormat="1" ht="15" customHeight="1">
      <c r="A137" s="748"/>
      <c r="B137" s="886"/>
      <c r="C137" s="887"/>
      <c r="D137" s="520"/>
      <c r="F137" s="768"/>
      <c r="G137" s="768"/>
      <c r="H137" s="768"/>
      <c r="I137" s="768"/>
      <c r="J137" s="768"/>
      <c r="K137" s="768"/>
      <c r="L137" s="768"/>
      <c r="M137" s="768"/>
      <c r="N137" s="768"/>
      <c r="O137" s="887"/>
      <c r="P137" s="887"/>
      <c r="Q137" s="887"/>
      <c r="R137" s="887"/>
      <c r="S137" s="887"/>
      <c r="T137" s="887"/>
      <c r="U137" s="887"/>
      <c r="V137" s="887"/>
      <c r="AA137" s="888"/>
      <c r="AB137" s="888"/>
      <c r="AC137" s="888"/>
      <c r="BK137" s="520"/>
      <c r="BL137" s="520"/>
    </row>
    <row r="138" spans="1:64" s="495" customFormat="1" ht="15" customHeight="1">
      <c r="A138" s="748"/>
      <c r="B138" s="287" t="s">
        <v>26</v>
      </c>
      <c r="C138" s="887"/>
      <c r="D138" s="520"/>
      <c r="E138" s="887"/>
      <c r="F138" s="768"/>
      <c r="G138" s="768"/>
      <c r="H138" s="887"/>
      <c r="I138" s="887"/>
      <c r="J138" s="768"/>
      <c r="K138" s="768"/>
      <c r="L138" s="889"/>
      <c r="M138" s="34"/>
      <c r="N138" s="768"/>
      <c r="O138" s="887"/>
      <c r="P138" s="887"/>
      <c r="Q138" s="887"/>
      <c r="R138" s="887"/>
      <c r="S138" s="887"/>
      <c r="T138" s="887"/>
      <c r="U138" s="887"/>
      <c r="V138" s="887"/>
      <c r="AA138" s="888"/>
      <c r="AB138" s="888"/>
      <c r="AC138" s="888"/>
      <c r="BK138" s="520"/>
      <c r="BL138" s="520"/>
    </row>
    <row r="139" spans="1:64" s="520" customFormat="1" ht="18" customHeight="1">
      <c r="A139" s="748"/>
      <c r="B139" s="284" t="s">
        <v>1588</v>
      </c>
      <c r="C139" s="820" t="s">
        <v>1657</v>
      </c>
      <c r="D139" s="816"/>
      <c r="F139" s="793"/>
      <c r="G139" s="768"/>
      <c r="H139" s="768"/>
      <c r="I139" s="768"/>
      <c r="J139" s="768"/>
      <c r="K139" s="768"/>
      <c r="L139" s="768"/>
      <c r="M139" s="768"/>
      <c r="N139" s="768"/>
      <c r="O139" s="768"/>
      <c r="P139" s="768"/>
      <c r="Q139" s="768"/>
      <c r="R139" s="768"/>
      <c r="S139" s="768"/>
      <c r="T139" s="768"/>
      <c r="U139" s="768"/>
      <c r="V139" s="768"/>
      <c r="W139" s="768"/>
      <c r="X139" s="768"/>
      <c r="Y139" s="768"/>
      <c r="Z139" s="768"/>
      <c r="AA139" s="768"/>
      <c r="AB139" s="768"/>
      <c r="AC139" s="768"/>
      <c r="AD139" s="768"/>
      <c r="AE139" s="768"/>
    </row>
    <row r="140" spans="1:64" s="495" customFormat="1" ht="31.9" customHeight="1">
      <c r="A140" s="748"/>
      <c r="B140" s="774" t="s">
        <v>1517</v>
      </c>
      <c r="C140" s="774" t="s">
        <v>27</v>
      </c>
      <c r="D140" s="774"/>
      <c r="E140" s="812" t="s">
        <v>1590</v>
      </c>
      <c r="F140" s="822"/>
      <c r="G140" s="823"/>
      <c r="H140" s="773" t="s">
        <v>1658</v>
      </c>
      <c r="I140" s="773" t="s">
        <v>2</v>
      </c>
      <c r="J140" s="773" t="s">
        <v>1521</v>
      </c>
      <c r="K140" s="773" t="s">
        <v>1659</v>
      </c>
      <c r="L140" s="773" t="s">
        <v>1586</v>
      </c>
      <c r="M140" s="775" t="s">
        <v>32</v>
      </c>
      <c r="N140" s="776" t="s">
        <v>1526</v>
      </c>
      <c r="O140" s="777"/>
      <c r="P140" s="777"/>
      <c r="Q140" s="777"/>
      <c r="R140" s="777"/>
      <c r="S140" s="777"/>
      <c r="T140" s="777"/>
      <c r="U140" s="778"/>
      <c r="V140" s="793"/>
      <c r="W140" s="793"/>
      <c r="AI140" s="520"/>
      <c r="AJ140" s="520"/>
      <c r="BH140" s="520"/>
      <c r="BI140" s="520"/>
    </row>
    <row r="141" spans="1:64" s="520" customFormat="1" ht="18" customHeight="1">
      <c r="A141" s="748"/>
      <c r="B141" s="768"/>
      <c r="C141" s="768"/>
      <c r="D141" s="768"/>
      <c r="E141" s="768"/>
      <c r="F141" s="768"/>
      <c r="G141" s="768"/>
      <c r="H141" s="768"/>
      <c r="I141" s="768"/>
      <c r="J141" s="768"/>
      <c r="K141" s="768"/>
      <c r="L141" s="768"/>
      <c r="M141" s="768"/>
      <c r="N141" s="748"/>
      <c r="O141" s="474"/>
      <c r="P141" s="474"/>
      <c r="Q141" s="474"/>
      <c r="R141" s="474"/>
      <c r="S141" s="474"/>
      <c r="T141" s="474"/>
      <c r="U141" s="779"/>
      <c r="V141" s="768"/>
      <c r="W141" s="768"/>
      <c r="X141" s="768"/>
      <c r="Y141" s="768"/>
      <c r="Z141" s="768"/>
      <c r="AA141" s="768"/>
      <c r="AB141" s="768"/>
      <c r="AC141" s="768"/>
      <c r="AD141" s="768"/>
      <c r="AE141" s="768"/>
    </row>
    <row r="142" spans="1:64" s="520" customFormat="1">
      <c r="A142" s="748"/>
      <c r="B142" s="307"/>
      <c r="C142" s="824">
        <v>1</v>
      </c>
      <c r="D142" s="166"/>
      <c r="E142" s="780" t="str">
        <f>VLOOKUP($J142,TOV!$C$85:$G$217,TOV!$E$1,FALSE)</f>
        <v>Haul Road, Decompact, doze, shape, 25 m wide, Pasture</v>
      </c>
      <c r="F142" s="833"/>
      <c r="G142" s="834"/>
      <c r="H142" s="316"/>
      <c r="I142" s="827" t="str">
        <f>VLOOKUP($J142,TOV!$C$85:$G$217,TOV!$G$1,FALSE)</f>
        <v>km</v>
      </c>
      <c r="J142" s="828" t="str">
        <f>TOV!C112</f>
        <v>#3.28</v>
      </c>
      <c r="K142" s="63">
        <f>VLOOKUP($J142,TOV!$C$85:$G$217,TOV!$F$1,FALSE)</f>
        <v>11501.992964246085</v>
      </c>
      <c r="L142" s="418"/>
      <c r="M142" s="104">
        <f>IF(L142="",K142,L142)*H142</f>
        <v>0</v>
      </c>
      <c r="N142" s="215"/>
      <c r="O142" s="217"/>
      <c r="P142" s="217"/>
      <c r="Q142" s="217"/>
      <c r="R142" s="217"/>
      <c r="S142" s="217"/>
      <c r="T142" s="217"/>
      <c r="U142" s="218"/>
      <c r="V142" s="768"/>
      <c r="W142" s="768"/>
      <c r="X142" s="768"/>
      <c r="Y142" s="768"/>
      <c r="Z142" s="768"/>
      <c r="AA142" s="768"/>
      <c r="AB142" s="768"/>
      <c r="AC142" s="768"/>
      <c r="AD142" s="768"/>
      <c r="AE142" s="768"/>
    </row>
    <row r="143" spans="1:64" s="520" customFormat="1">
      <c r="A143" s="748"/>
      <c r="B143" s="307"/>
      <c r="C143" s="824">
        <f t="shared" ref="C143:C153" si="56">C142+1</f>
        <v>2</v>
      </c>
      <c r="D143" s="166"/>
      <c r="E143" s="780" t="str">
        <f>VLOOKUP($J143,TOV!$C$85:$G$217,TOV!$E$1,FALSE)</f>
        <v>Haul Road, Decompact, doze, shape, 25 m wide, Native</v>
      </c>
      <c r="F143" s="833"/>
      <c r="G143" s="834"/>
      <c r="H143" s="316"/>
      <c r="I143" s="827" t="str">
        <f>VLOOKUP($J143,TOV!$C$85:$G$217,TOV!$G$1,FALSE)</f>
        <v>km</v>
      </c>
      <c r="J143" s="828" t="str">
        <f>TOV!C113</f>
        <v>#3.29</v>
      </c>
      <c r="K143" s="63">
        <f>VLOOKUP($J143,TOV!$C$85:$G$217,TOV!$F$1,FALSE)</f>
        <v>17854.492964246085</v>
      </c>
      <c r="L143" s="418"/>
      <c r="M143" s="104">
        <f t="shared" ref="M143:M150" si="57">IF(L143="",K143,L143)*H143</f>
        <v>0</v>
      </c>
      <c r="N143" s="215"/>
      <c r="O143" s="217"/>
      <c r="P143" s="217"/>
      <c r="Q143" s="217"/>
      <c r="R143" s="217"/>
      <c r="S143" s="217"/>
      <c r="T143" s="217"/>
      <c r="U143" s="218"/>
      <c r="V143" s="768"/>
      <c r="W143" s="768"/>
      <c r="X143" s="768"/>
      <c r="Y143" s="768"/>
      <c r="Z143" s="768"/>
      <c r="AA143" s="768"/>
      <c r="AB143" s="768"/>
      <c r="AC143" s="768"/>
      <c r="AD143" s="768"/>
      <c r="AE143" s="768"/>
    </row>
    <row r="144" spans="1:64" s="520" customFormat="1">
      <c r="A144" s="748"/>
      <c r="B144" s="307"/>
      <c r="C144" s="824">
        <f t="shared" si="56"/>
        <v>3</v>
      </c>
      <c r="D144" s="166"/>
      <c r="E144" s="780" t="str">
        <f>VLOOKUP($J144,TOV!$C$85:$G$217,TOV!$E$1,FALSE)</f>
        <v>Haul Road, Decompact, doze, shape, 25 m wide, Arid</v>
      </c>
      <c r="F144" s="833"/>
      <c r="G144" s="834"/>
      <c r="H144" s="316"/>
      <c r="I144" s="827" t="str">
        <f>VLOOKUP($J144,TOV!$C$85:$G$217,TOV!$G$1,FALSE)</f>
        <v>km</v>
      </c>
      <c r="J144" s="828" t="str">
        <f>TOV!C114</f>
        <v>#3.30</v>
      </c>
      <c r="K144" s="63">
        <f>VLOOKUP($J144,TOV!$C$85:$G$217,TOV!$F$1,FALSE)</f>
        <v>7363.2429642460847</v>
      </c>
      <c r="L144" s="418"/>
      <c r="M144" s="104">
        <f t="shared" si="57"/>
        <v>0</v>
      </c>
      <c r="N144" s="215"/>
      <c r="O144" s="217"/>
      <c r="P144" s="217"/>
      <c r="Q144" s="217"/>
      <c r="R144" s="217"/>
      <c r="S144" s="217"/>
      <c r="T144" s="217"/>
      <c r="U144" s="218"/>
      <c r="V144" s="768"/>
      <c r="W144" s="768"/>
      <c r="X144" s="768"/>
      <c r="Y144" s="768"/>
      <c r="Z144" s="768"/>
      <c r="AA144" s="768"/>
      <c r="AB144" s="768"/>
      <c r="AC144" s="768"/>
      <c r="AD144" s="768"/>
      <c r="AE144" s="768"/>
    </row>
    <row r="145" spans="1:64" s="520" customFormat="1">
      <c r="A145" s="748"/>
      <c r="B145" s="307"/>
      <c r="C145" s="824">
        <f t="shared" si="56"/>
        <v>4</v>
      </c>
      <c r="D145" s="166"/>
      <c r="E145" s="780" t="str">
        <f>VLOOKUP($J145,TOV!$C$85:$G$217,TOV!$E$1,FALSE)</f>
        <v>Haul Road, Rock, Remove contam only, 25 m wide, Pasture</v>
      </c>
      <c r="F145" s="833"/>
      <c r="G145" s="834"/>
      <c r="H145" s="316"/>
      <c r="I145" s="827" t="str">
        <f>VLOOKUP($J145,TOV!$C$85:$G$217,TOV!$G$1,FALSE)</f>
        <v>km</v>
      </c>
      <c r="J145" s="828" t="str">
        <f>TOV!C115</f>
        <v>#3.31</v>
      </c>
      <c r="K145" s="63">
        <f>VLOOKUP($J145,TOV!$C$85:$G$217,TOV!$F$1,FALSE)</f>
        <v>70273.26844177056</v>
      </c>
      <c r="L145" s="418"/>
      <c r="M145" s="104">
        <f t="shared" si="57"/>
        <v>0</v>
      </c>
      <c r="N145" s="215"/>
      <c r="O145" s="217"/>
      <c r="P145" s="217"/>
      <c r="Q145" s="217"/>
      <c r="R145" s="217"/>
      <c r="S145" s="217"/>
      <c r="T145" s="217"/>
      <c r="U145" s="218"/>
      <c r="V145" s="768"/>
      <c r="W145" s="768"/>
      <c r="X145" s="768"/>
      <c r="Y145" s="768"/>
      <c r="Z145" s="768"/>
      <c r="AA145" s="768"/>
      <c r="AB145" s="768"/>
      <c r="AC145" s="768"/>
      <c r="AD145" s="768"/>
      <c r="AE145" s="768"/>
    </row>
    <row r="146" spans="1:64" s="520" customFormat="1">
      <c r="A146" s="748"/>
      <c r="B146" s="307"/>
      <c r="C146" s="824">
        <f t="shared" si="56"/>
        <v>5</v>
      </c>
      <c r="D146" s="166"/>
      <c r="E146" s="780" t="str">
        <f>VLOOKUP($J146,TOV!$C$85:$G$217,TOV!$E$1,FALSE)</f>
        <v>Haul Road, Rock, Remove contam only, 25 m wide, Native</v>
      </c>
      <c r="F146" s="833"/>
      <c r="G146" s="834"/>
      <c r="H146" s="316"/>
      <c r="I146" s="827" t="str">
        <f>VLOOKUP($J146,TOV!$C$85:$G$217,TOV!$G$1,FALSE)</f>
        <v>km</v>
      </c>
      <c r="J146" s="828" t="str">
        <f>TOV!C116</f>
        <v>#3.32</v>
      </c>
      <c r="K146" s="63">
        <f>VLOOKUP($J146,TOV!$C$85:$G$217,TOV!$F$1,FALSE)</f>
        <v>76625.768441770546</v>
      </c>
      <c r="L146" s="418"/>
      <c r="M146" s="104">
        <f t="shared" si="57"/>
        <v>0</v>
      </c>
      <c r="N146" s="215"/>
      <c r="O146" s="217"/>
      <c r="P146" s="217"/>
      <c r="Q146" s="217"/>
      <c r="R146" s="217"/>
      <c r="S146" s="217"/>
      <c r="T146" s="217"/>
      <c r="U146" s="218"/>
      <c r="V146" s="768"/>
      <c r="W146" s="768"/>
      <c r="X146" s="768"/>
      <c r="Y146" s="768"/>
      <c r="Z146" s="768"/>
      <c r="AA146" s="768"/>
      <c r="AB146" s="768"/>
      <c r="AC146" s="768"/>
      <c r="AD146" s="768"/>
      <c r="AE146" s="768"/>
    </row>
    <row r="147" spans="1:64" s="520" customFormat="1">
      <c r="A147" s="748"/>
      <c r="B147" s="307"/>
      <c r="C147" s="824">
        <f t="shared" si="56"/>
        <v>6</v>
      </c>
      <c r="D147" s="166"/>
      <c r="E147" s="780" t="str">
        <f>VLOOKUP($J147,TOV!$C$85:$G$217,TOV!$E$1,FALSE)</f>
        <v>Haul Road, Rock, Remove contam only, 25 m wide, Arid</v>
      </c>
      <c r="F147" s="833"/>
      <c r="G147" s="834"/>
      <c r="H147" s="316"/>
      <c r="I147" s="827" t="str">
        <f>VLOOKUP($J147,TOV!$C$85:$G$217,TOV!$G$1,FALSE)</f>
        <v>km</v>
      </c>
      <c r="J147" s="828" t="str">
        <f>TOV!C117</f>
        <v>#3.33</v>
      </c>
      <c r="K147" s="63">
        <f>VLOOKUP($J147,TOV!$C$85:$G$217,TOV!$F$1,FALSE)</f>
        <v>33068.32588100947</v>
      </c>
      <c r="L147" s="418"/>
      <c r="M147" s="104">
        <f t="shared" si="57"/>
        <v>0</v>
      </c>
      <c r="N147" s="215"/>
      <c r="O147" s="217"/>
      <c r="P147" s="217"/>
      <c r="Q147" s="217"/>
      <c r="R147" s="217"/>
      <c r="S147" s="217"/>
      <c r="T147" s="217"/>
      <c r="U147" s="218"/>
      <c r="V147" s="768"/>
      <c r="W147" s="768"/>
      <c r="X147" s="768"/>
      <c r="Y147" s="768"/>
      <c r="Z147" s="768"/>
      <c r="AA147" s="768"/>
      <c r="AB147" s="768"/>
      <c r="AC147" s="768"/>
      <c r="AD147" s="768"/>
      <c r="AE147" s="768"/>
    </row>
    <row r="148" spans="1:64" s="520" customFormat="1">
      <c r="A148" s="748"/>
      <c r="B148" s="307"/>
      <c r="C148" s="824">
        <f t="shared" si="56"/>
        <v>7</v>
      </c>
      <c r="D148" s="166"/>
      <c r="E148" s="780" t="str">
        <f>VLOOKUP($J148,TOV!$C$85:$G$217,TOV!$E$1,FALSE)</f>
        <v>Haul Road, Rock, Remove rock cover and replace, 25 m wide, Pasture</v>
      </c>
      <c r="F148" s="833"/>
      <c r="G148" s="834"/>
      <c r="H148" s="316"/>
      <c r="I148" s="827" t="str">
        <f>VLOOKUP($J148,TOV!$C$85:$G$217,TOV!$G$1,FALSE)</f>
        <v>km</v>
      </c>
      <c r="J148" s="828" t="str">
        <f>TOV!C118</f>
        <v>#3.34</v>
      </c>
      <c r="K148" s="63">
        <f>VLOOKUP($J148,TOV!$C$85:$G$217,TOV!$F$1,FALSE)</f>
        <v>128044.14527574061</v>
      </c>
      <c r="L148" s="418"/>
      <c r="M148" s="104">
        <f t="shared" si="57"/>
        <v>0</v>
      </c>
      <c r="N148" s="215"/>
      <c r="O148" s="217"/>
      <c r="P148" s="217"/>
      <c r="Q148" s="217"/>
      <c r="R148" s="217"/>
      <c r="S148" s="217"/>
      <c r="T148" s="217"/>
      <c r="U148" s="218"/>
      <c r="V148" s="768"/>
      <c r="W148" s="768"/>
      <c r="X148" s="768"/>
      <c r="Y148" s="768"/>
      <c r="Z148" s="768"/>
      <c r="AA148" s="768"/>
      <c r="AB148" s="768"/>
      <c r="AC148" s="768"/>
      <c r="AD148" s="768"/>
      <c r="AE148" s="768"/>
    </row>
    <row r="149" spans="1:64" s="520" customFormat="1">
      <c r="A149" s="748"/>
      <c r="B149" s="307"/>
      <c r="C149" s="824">
        <f t="shared" si="56"/>
        <v>8</v>
      </c>
      <c r="D149" s="166"/>
      <c r="E149" s="780" t="str">
        <f>VLOOKUP($J149,TOV!$C$85:$G$217,TOV!$E$1,FALSE)</f>
        <v>Haul Road, Rock, Remove rock cover and replace, 25 m wide, Native</v>
      </c>
      <c r="F149" s="833"/>
      <c r="G149" s="834"/>
      <c r="H149" s="316"/>
      <c r="I149" s="827" t="str">
        <f>VLOOKUP($J149,TOV!$C$85:$G$217,TOV!$G$1,FALSE)</f>
        <v>km</v>
      </c>
      <c r="J149" s="828" t="str">
        <f>TOV!C119</f>
        <v>#3.35</v>
      </c>
      <c r="K149" s="63">
        <f>VLOOKUP($J149,TOV!$C$85:$G$217,TOV!$F$1,FALSE)</f>
        <v>134396.64527574059</v>
      </c>
      <c r="L149" s="418"/>
      <c r="M149" s="104">
        <f t="shared" si="57"/>
        <v>0</v>
      </c>
      <c r="N149" s="215"/>
      <c r="O149" s="217"/>
      <c r="P149" s="217"/>
      <c r="Q149" s="217"/>
      <c r="R149" s="217"/>
      <c r="S149" s="217"/>
      <c r="T149" s="217"/>
      <c r="U149" s="218"/>
      <c r="V149" s="768"/>
      <c r="W149" s="768"/>
      <c r="X149" s="768"/>
      <c r="Y149" s="768"/>
      <c r="Z149" s="768"/>
      <c r="AA149" s="768"/>
      <c r="AB149" s="768"/>
      <c r="AC149" s="768"/>
      <c r="AD149" s="768"/>
      <c r="AE149" s="768"/>
    </row>
    <row r="150" spans="1:64" s="520" customFormat="1">
      <c r="A150" s="748"/>
      <c r="B150" s="307"/>
      <c r="C150" s="824">
        <f t="shared" si="56"/>
        <v>9</v>
      </c>
      <c r="D150" s="166"/>
      <c r="E150" s="780" t="str">
        <f>VLOOKUP($J150,TOV!$C$85:$G$217,TOV!$E$1,FALSE)</f>
        <v>Haul Road, Rock, Remove rock cover and replace, 25 m wide, Arid</v>
      </c>
      <c r="F150" s="833"/>
      <c r="G150" s="834"/>
      <c r="H150" s="316"/>
      <c r="I150" s="827" t="str">
        <f>VLOOKUP($J150,TOV!$C$85:$G$217,TOV!$G$1,FALSE)</f>
        <v>km</v>
      </c>
      <c r="J150" s="828" t="str">
        <f>TOV!C120</f>
        <v>#3.36</v>
      </c>
      <c r="K150" s="63">
        <f>VLOOKUP($J150,TOV!$C$85:$G$217,TOV!$F$1,FALSE)</f>
        <v>58773.408797772849</v>
      </c>
      <c r="L150" s="418"/>
      <c r="M150" s="104">
        <f t="shared" si="57"/>
        <v>0</v>
      </c>
      <c r="N150" s="215"/>
      <c r="O150" s="217"/>
      <c r="P150" s="217"/>
      <c r="Q150" s="217"/>
      <c r="R150" s="217"/>
      <c r="S150" s="217"/>
      <c r="T150" s="217"/>
      <c r="U150" s="218"/>
      <c r="V150" s="768"/>
      <c r="W150" s="768"/>
      <c r="X150" s="768"/>
      <c r="Y150" s="768"/>
      <c r="Z150" s="768"/>
      <c r="AA150" s="768"/>
      <c r="AB150" s="768"/>
      <c r="AC150" s="768"/>
      <c r="AD150" s="768"/>
      <c r="AE150" s="768"/>
    </row>
    <row r="151" spans="1:64" s="495" customFormat="1" ht="12.75">
      <c r="A151" s="748"/>
      <c r="B151" s="307"/>
      <c r="C151" s="824">
        <f t="shared" si="56"/>
        <v>10</v>
      </c>
      <c r="D151" s="166"/>
      <c r="E151" s="937"/>
      <c r="F151" s="938"/>
      <c r="G151" s="939"/>
      <c r="H151" s="321"/>
      <c r="I151" s="835" t="s">
        <v>24</v>
      </c>
      <c r="J151" s="829"/>
      <c r="K151" s="518" t="str">
        <f t="shared" ref="K151:K153" si="58">IF(AND(H151&gt;0,OR(L151="",L151=0)),"Enter Rate","No alert")</f>
        <v>No alert</v>
      </c>
      <c r="L151" s="418"/>
      <c r="M151" s="104">
        <f>L151*H151</f>
        <v>0</v>
      </c>
      <c r="N151" s="215"/>
      <c r="O151" s="217"/>
      <c r="P151" s="217"/>
      <c r="Q151" s="217"/>
      <c r="R151" s="217"/>
      <c r="S151" s="217"/>
      <c r="T151" s="217"/>
      <c r="U151" s="218"/>
      <c r="V151" s="520"/>
      <c r="W151" s="520"/>
      <c r="X151" s="520"/>
      <c r="Y151" s="520"/>
      <c r="Z151" s="520"/>
      <c r="AA151" s="520"/>
      <c r="AB151" s="520"/>
      <c r="AC151" s="520"/>
      <c r="AH151" s="520"/>
      <c r="BK151" s="520"/>
      <c r="BL151" s="520"/>
    </row>
    <row r="152" spans="1:64" s="495" customFormat="1" ht="12.75">
      <c r="A152" s="748"/>
      <c r="B152" s="307"/>
      <c r="C152" s="824">
        <f t="shared" si="56"/>
        <v>11</v>
      </c>
      <c r="D152" s="166"/>
      <c r="E152" s="937"/>
      <c r="F152" s="938"/>
      <c r="G152" s="939"/>
      <c r="H152" s="321"/>
      <c r="I152" s="835" t="s">
        <v>24</v>
      </c>
      <c r="J152" s="829"/>
      <c r="K152" s="518" t="str">
        <f t="shared" si="58"/>
        <v>No alert</v>
      </c>
      <c r="L152" s="418"/>
      <c r="M152" s="104">
        <f t="shared" ref="M152:M153" si="59">L152*H152</f>
        <v>0</v>
      </c>
      <c r="N152" s="215"/>
      <c r="O152" s="217"/>
      <c r="P152" s="217"/>
      <c r="Q152" s="217"/>
      <c r="R152" s="217"/>
      <c r="S152" s="217"/>
      <c r="T152" s="217"/>
      <c r="U152" s="218"/>
      <c r="V152" s="520"/>
      <c r="W152" s="520"/>
      <c r="X152" s="520"/>
      <c r="Y152" s="520"/>
      <c r="Z152" s="520"/>
      <c r="AA152" s="520"/>
      <c r="AB152" s="520"/>
      <c r="AC152" s="520"/>
      <c r="AH152" s="520"/>
      <c r="BK152" s="520"/>
      <c r="BL152" s="520"/>
    </row>
    <row r="153" spans="1:64" s="495" customFormat="1" ht="12.75">
      <c r="A153" s="748"/>
      <c r="B153" s="307"/>
      <c r="C153" s="824">
        <f t="shared" si="56"/>
        <v>12</v>
      </c>
      <c r="D153" s="166"/>
      <c r="E153" s="937"/>
      <c r="F153" s="938"/>
      <c r="G153" s="939"/>
      <c r="H153" s="321"/>
      <c r="I153" s="835" t="s">
        <v>24</v>
      </c>
      <c r="J153" s="829"/>
      <c r="K153" s="518" t="str">
        <f t="shared" si="58"/>
        <v>No alert</v>
      </c>
      <c r="L153" s="418"/>
      <c r="M153" s="104">
        <f t="shared" si="59"/>
        <v>0</v>
      </c>
      <c r="N153" s="215"/>
      <c r="O153" s="217"/>
      <c r="P153" s="217"/>
      <c r="Q153" s="217"/>
      <c r="R153" s="217"/>
      <c r="S153" s="217"/>
      <c r="T153" s="217"/>
      <c r="U153" s="218"/>
      <c r="V153" s="520"/>
      <c r="W153" s="520"/>
      <c r="X153" s="520"/>
      <c r="Y153" s="520"/>
      <c r="Z153" s="520"/>
      <c r="AA153" s="520"/>
      <c r="AB153" s="520"/>
      <c r="AC153" s="520"/>
      <c r="AH153" s="520"/>
      <c r="BK153" s="520"/>
      <c r="BL153" s="520"/>
    </row>
    <row r="154" spans="1:64" s="520" customFormat="1" ht="18" customHeight="1">
      <c r="A154" s="748"/>
      <c r="B154" s="53"/>
      <c r="C154" s="53"/>
      <c r="E154" s="53"/>
      <c r="F154" s="768"/>
      <c r="G154" s="768"/>
      <c r="H154" s="322"/>
      <c r="I154" s="53"/>
      <c r="J154" s="829"/>
      <c r="K154" s="890"/>
      <c r="L154" s="891">
        <v>1</v>
      </c>
      <c r="M154" s="892"/>
      <c r="N154" s="768"/>
      <c r="O154" s="829"/>
      <c r="P154" s="829"/>
      <c r="Q154" s="829"/>
      <c r="R154" s="829"/>
      <c r="S154" s="829"/>
      <c r="T154" s="829"/>
      <c r="U154" s="829"/>
      <c r="V154" s="829"/>
      <c r="W154" s="829"/>
      <c r="X154" s="829"/>
      <c r="Y154" s="829"/>
      <c r="Z154" s="829"/>
      <c r="AA154" s="829"/>
      <c r="AB154" s="829"/>
      <c r="AC154" s="829"/>
      <c r="AF154" s="768"/>
      <c r="AG154" s="768"/>
      <c r="AI154" s="495"/>
      <c r="AJ154" s="768"/>
      <c r="AO154" s="837"/>
      <c r="AP154" s="838"/>
      <c r="AQ154" s="838"/>
      <c r="AR154" s="838"/>
      <c r="AS154" s="838"/>
      <c r="AT154" s="838"/>
      <c r="AU154" s="838"/>
    </row>
    <row r="155" spans="1:64" s="495" customFormat="1" ht="18" customHeight="1">
      <c r="A155" s="748"/>
      <c r="B155" s="839"/>
      <c r="D155" s="520"/>
      <c r="F155" s="768"/>
      <c r="G155" s="840" t="s">
        <v>1660</v>
      </c>
      <c r="H155" s="841">
        <f>SUM(H141:H154)</f>
        <v>0</v>
      </c>
      <c r="I155" s="845" t="s">
        <v>24</v>
      </c>
      <c r="J155" s="768"/>
      <c r="K155" s="768"/>
      <c r="L155" s="846"/>
      <c r="M155" s="106">
        <f>SUM(M141:M154)</f>
        <v>0</v>
      </c>
      <c r="N155" s="797">
        <f>IF(H155=0,0,M155/H155)</f>
        <v>0</v>
      </c>
      <c r="O155" s="520" t="str">
        <f>I155</f>
        <v>km</v>
      </c>
      <c r="P155" s="843"/>
      <c r="Q155" s="843"/>
      <c r="R155" s="843"/>
      <c r="S155" s="843"/>
      <c r="T155" s="843"/>
      <c r="U155" s="843"/>
      <c r="V155" s="843"/>
      <c r="AH155" s="520"/>
      <c r="BK155" s="520"/>
      <c r="BL155" s="520"/>
    </row>
    <row r="156" spans="1:64" s="520" customFormat="1" ht="18" customHeight="1">
      <c r="B156" s="789"/>
      <c r="C156" s="848" t="s">
        <v>1661</v>
      </c>
      <c r="D156" s="789"/>
      <c r="E156" s="873"/>
      <c r="F156" s="873"/>
      <c r="G156" s="873"/>
      <c r="H156" s="736"/>
      <c r="I156" s="736"/>
      <c r="J156" s="736"/>
      <c r="K156" s="736"/>
      <c r="L156" s="736"/>
      <c r="M156" s="70"/>
      <c r="N156" s="70"/>
      <c r="O156" s="70"/>
      <c r="P156" s="768"/>
      <c r="Q156" s="70"/>
      <c r="R156" s="70"/>
      <c r="U156" s="768"/>
      <c r="V156" s="70"/>
      <c r="W156" s="70"/>
      <c r="X156" s="70"/>
      <c r="Y156" s="70"/>
      <c r="Z156" s="70"/>
      <c r="AA156" s="736"/>
      <c r="AB156" s="736"/>
      <c r="AC156" s="736"/>
      <c r="AD156" s="736"/>
      <c r="AE156" s="70"/>
      <c r="AF156" s="70"/>
      <c r="AJ156" s="475"/>
      <c r="AK156" s="474"/>
      <c r="AL156" s="70"/>
      <c r="AM156" s="736"/>
      <c r="AN156" s="736"/>
      <c r="AO156" s="893" t="str">
        <f>IF(AO159="","No Alert","Enter justification")</f>
        <v>No Alert</v>
      </c>
      <c r="AP156" s="874"/>
      <c r="AQ156" s="874"/>
      <c r="AT156" s="582" t="s">
        <v>1595</v>
      </c>
      <c r="AU156" s="836" t="s">
        <v>1662</v>
      </c>
      <c r="AV156" s="836" t="s">
        <v>1663</v>
      </c>
    </row>
    <row r="157" spans="1:64" s="520" customFormat="1" ht="18" customHeight="1">
      <c r="C157" s="848" t="s">
        <v>1596</v>
      </c>
      <c r="D157" s="789"/>
      <c r="E157" s="873"/>
      <c r="F157" s="873"/>
      <c r="G157" s="873"/>
      <c r="H157" s="736"/>
      <c r="I157" s="736"/>
      <c r="J157" s="736"/>
      <c r="K157" s="736"/>
      <c r="L157" s="736"/>
      <c r="M157" s="70"/>
      <c r="N157" s="70"/>
      <c r="O157" s="70"/>
      <c r="P157" s="768"/>
      <c r="Q157" s="70"/>
      <c r="R157" s="70"/>
      <c r="U157" s="768"/>
      <c r="V157" s="70"/>
      <c r="W157" s="70"/>
      <c r="X157" s="70"/>
      <c r="Y157" s="70"/>
      <c r="Z157" s="70"/>
      <c r="AA157" s="736"/>
      <c r="AB157" s="736"/>
      <c r="AC157" s="736"/>
      <c r="AD157" s="736"/>
      <c r="AE157" s="70"/>
      <c r="AF157" s="70"/>
      <c r="AM157" s="736"/>
      <c r="AN157" s="848" t="s">
        <v>1596</v>
      </c>
      <c r="AO157" s="828" t="str">
        <f>TOV!$C$218</f>
        <v>#3.134</v>
      </c>
      <c r="AS157" s="789" t="s">
        <v>93</v>
      </c>
      <c r="AT157" s="614" t="str">
        <f>TOV!$C$575</f>
        <v>#14.40</v>
      </c>
      <c r="AU157" s="63">
        <f>VLOOKUP(AT157,TOV!$C$575:$G$576,TOV!$F$1,FALSE)</f>
        <v>1655.5</v>
      </c>
      <c r="AV157" s="117"/>
      <c r="AW157" s="849" t="str">
        <f>IF(AV157="","No Alert","Enter justification")</f>
        <v>No Alert</v>
      </c>
      <c r="AX157" s="874"/>
      <c r="AZ157" s="874"/>
    </row>
    <row r="158" spans="1:64" s="520" customFormat="1" ht="18" customHeight="1">
      <c r="C158" s="848" t="s">
        <v>35</v>
      </c>
      <c r="D158" s="789"/>
      <c r="E158" s="873"/>
      <c r="F158" s="873"/>
      <c r="G158" s="873"/>
      <c r="H158" s="736"/>
      <c r="I158" s="736"/>
      <c r="J158" s="736"/>
      <c r="K158" s="736"/>
      <c r="L158" s="736"/>
      <c r="M158" s="70"/>
      <c r="N158" s="70"/>
      <c r="O158" s="70"/>
      <c r="P158" s="768"/>
      <c r="Q158" s="70"/>
      <c r="R158" s="70"/>
      <c r="U158" s="768"/>
      <c r="V158" s="70"/>
      <c r="W158" s="70"/>
      <c r="X158" s="70"/>
      <c r="Y158" s="70"/>
      <c r="Z158" s="70"/>
      <c r="AA158" s="736"/>
      <c r="AB158" s="736"/>
      <c r="AC158" s="736"/>
      <c r="AD158" s="736"/>
      <c r="AE158" s="70"/>
      <c r="AF158" s="70"/>
      <c r="AM158" s="736"/>
      <c r="AN158" s="848" t="s">
        <v>35</v>
      </c>
      <c r="AO158" s="81">
        <f>VLOOKUP(AO157,TOV!$C$85:$G$218,4,FALSE)</f>
        <v>400.15945742176939</v>
      </c>
      <c r="AS158" s="789" t="s">
        <v>116</v>
      </c>
      <c r="AT158" s="614" t="str">
        <f>TOV!$C$576</f>
        <v>#14.41</v>
      </c>
      <c r="AU158" s="63">
        <f>VLOOKUP(AT158,TOV!$C$575:$G$576,TOV!$F$1,FALSE)</f>
        <v>4196.5</v>
      </c>
      <c r="AV158" s="117"/>
      <c r="AW158" s="849" t="str">
        <f>IF(AV158="","No Alert","Enter justification")</f>
        <v>No Alert</v>
      </c>
      <c r="AX158" s="874"/>
      <c r="AZ158" s="874"/>
    </row>
    <row r="159" spans="1:64" s="520" customFormat="1" ht="18" customHeight="1">
      <c r="C159" s="848" t="s">
        <v>1556</v>
      </c>
      <c r="D159" s="789"/>
      <c r="E159" s="873"/>
      <c r="F159" s="873"/>
      <c r="G159" s="873"/>
      <c r="H159" s="736"/>
      <c r="I159" s="736"/>
      <c r="J159" s="736"/>
      <c r="K159" s="736"/>
      <c r="L159" s="736"/>
      <c r="M159" s="70"/>
      <c r="N159" s="70"/>
      <c r="O159" s="70"/>
      <c r="P159" s="768"/>
      <c r="Q159" s="70"/>
      <c r="R159" s="70"/>
      <c r="S159" s="768"/>
      <c r="T159" s="70"/>
      <c r="U159" s="70"/>
      <c r="V159" s="70"/>
      <c r="W159" s="70"/>
      <c r="X159" s="70"/>
      <c r="Y159" s="736"/>
      <c r="Z159" s="736"/>
      <c r="AA159" s="736"/>
      <c r="AB159" s="736"/>
      <c r="AC159" s="70"/>
      <c r="AD159" s="70"/>
      <c r="AE159" s="736"/>
      <c r="AF159" s="736"/>
      <c r="AJ159" s="70"/>
      <c r="AK159" s="70"/>
      <c r="AM159" s="736"/>
      <c r="AN159" s="848" t="s">
        <v>1556</v>
      </c>
      <c r="AO159" s="117"/>
      <c r="AV159" s="874"/>
      <c r="AW159" s="874"/>
    </row>
    <row r="160" spans="1:64" s="520" customFormat="1" ht="18" customHeight="1">
      <c r="C160" s="848" t="s">
        <v>1597</v>
      </c>
      <c r="F160" s="873"/>
      <c r="G160" s="736"/>
      <c r="H160" s="736"/>
      <c r="I160" s="736"/>
      <c r="J160" s="736"/>
      <c r="K160" s="736"/>
      <c r="L160" s="736"/>
      <c r="M160" s="70"/>
      <c r="N160" s="70"/>
      <c r="O160" s="70"/>
      <c r="P160" s="768"/>
      <c r="Q160" s="70"/>
      <c r="R160" s="70"/>
      <c r="S160" s="768"/>
      <c r="T160" s="70"/>
      <c r="U160" s="70"/>
      <c r="V160" s="70"/>
      <c r="W160" s="70"/>
      <c r="X160" s="70"/>
      <c r="Y160" s="736"/>
      <c r="Z160" s="736"/>
      <c r="AA160" s="736"/>
      <c r="AB160" s="736"/>
      <c r="AC160" s="70"/>
      <c r="AD160" s="70"/>
      <c r="AE160" s="736"/>
      <c r="AF160" s="736"/>
      <c r="AJ160" s="70"/>
      <c r="AK160" s="70"/>
      <c r="AL160" s="768"/>
      <c r="AM160" s="736"/>
      <c r="AN160" s="848" t="s">
        <v>1597</v>
      </c>
      <c r="AO160" s="850" t="s">
        <v>1598</v>
      </c>
      <c r="AU160" s="850" t="s">
        <v>1598</v>
      </c>
    </row>
    <row r="161" spans="1:58" s="520" customFormat="1" ht="18" customHeight="1">
      <c r="C161" s="789" t="s">
        <v>1</v>
      </c>
      <c r="E161" s="851">
        <v>25</v>
      </c>
      <c r="F161" s="873"/>
      <c r="G161" s="736"/>
      <c r="H161" s="736"/>
      <c r="I161" s="736"/>
      <c r="J161" s="824">
        <f>Default_HaulRoad_Cover</f>
        <v>500</v>
      </c>
      <c r="K161" s="736"/>
      <c r="L161" s="736"/>
      <c r="M161" s="70"/>
      <c r="N161" s="70"/>
      <c r="O161" s="70"/>
      <c r="P161" s="768"/>
      <c r="Q161" s="70"/>
      <c r="R161" s="70"/>
      <c r="S161" s="852">
        <f>Default_Growth_Media</f>
        <v>150</v>
      </c>
      <c r="T161" s="70"/>
      <c r="U161" s="70"/>
      <c r="V161" s="70"/>
      <c r="W161" s="70"/>
      <c r="X161" s="70"/>
      <c r="Y161" s="736"/>
      <c r="Z161" s="736"/>
      <c r="AA161" s="736"/>
      <c r="AB161" s="736"/>
      <c r="AC161" s="70"/>
      <c r="AD161" s="70"/>
      <c r="AE161" s="736"/>
      <c r="AF161" s="736"/>
      <c r="AJ161" s="70"/>
      <c r="AK161" s="70"/>
      <c r="AL161" s="768"/>
      <c r="AM161" s="736"/>
      <c r="AN161" s="848"/>
      <c r="AO161" s="848"/>
      <c r="AP161" s="848"/>
      <c r="AQ161" s="848"/>
      <c r="AR161" s="848"/>
      <c r="AS161" s="848"/>
      <c r="AT161" s="848"/>
      <c r="AU161" s="848"/>
      <c r="AV161" s="848"/>
    </row>
    <row r="162" spans="1:58" s="520" customFormat="1" ht="18" customHeight="1">
      <c r="B162" s="287" t="s">
        <v>26</v>
      </c>
      <c r="C162" s="820" t="s">
        <v>1664</v>
      </c>
      <c r="D162" s="816"/>
      <c r="E162" s="878" t="s">
        <v>1602</v>
      </c>
      <c r="F162" s="856"/>
      <c r="G162" s="856"/>
      <c r="H162" s="857"/>
      <c r="I162" s="878" t="s">
        <v>1603</v>
      </c>
      <c r="J162" s="858"/>
      <c r="K162" s="858"/>
      <c r="L162" s="858"/>
      <c r="M162" s="878" t="s">
        <v>1604</v>
      </c>
      <c r="N162" s="859"/>
      <c r="O162" s="859"/>
      <c r="P162" s="855" t="s">
        <v>1605</v>
      </c>
      <c r="Q162" s="859"/>
      <c r="R162" s="859"/>
      <c r="S162" s="859"/>
      <c r="T162" s="859"/>
      <c r="U162" s="859"/>
      <c r="V162" s="859"/>
      <c r="W162" s="860"/>
      <c r="X162" s="860"/>
      <c r="Y162" s="860"/>
      <c r="Z162" s="860"/>
      <c r="AA162" s="862" t="s">
        <v>1606</v>
      </c>
      <c r="AB162" s="860"/>
      <c r="AC162" s="860"/>
      <c r="AD162" s="860"/>
      <c r="AE162" s="860"/>
      <c r="AF162" s="860"/>
      <c r="AG162" s="860"/>
      <c r="AH162" s="861"/>
      <c r="AI162" s="860"/>
      <c r="AJ162" s="860"/>
      <c r="AK162" s="860"/>
      <c r="AL162" s="860"/>
      <c r="AM162" s="862" t="s">
        <v>1607</v>
      </c>
      <c r="AN162" s="860"/>
      <c r="AO162" s="861"/>
      <c r="AP162" s="860"/>
      <c r="AQ162" s="862" t="s">
        <v>1608</v>
      </c>
      <c r="AR162" s="859"/>
      <c r="AS162" s="859"/>
      <c r="AT162" s="860"/>
      <c r="AU162" s="861"/>
      <c r="AV162" s="874"/>
      <c r="AW162" s="874"/>
    </row>
    <row r="163" spans="1:58" s="520" customFormat="1" ht="72">
      <c r="A163" s="748"/>
      <c r="B163" s="774" t="s">
        <v>1517</v>
      </c>
      <c r="C163" s="774" t="s">
        <v>27</v>
      </c>
      <c r="D163" s="774" t="s">
        <v>1609</v>
      </c>
      <c r="E163" s="774" t="s">
        <v>1665</v>
      </c>
      <c r="F163" s="774" t="s">
        <v>1666</v>
      </c>
      <c r="G163" s="812" t="s">
        <v>1612</v>
      </c>
      <c r="H163" s="863"/>
      <c r="I163" s="774" t="s">
        <v>1667</v>
      </c>
      <c r="J163" s="774" t="s">
        <v>1668</v>
      </c>
      <c r="K163" s="774" t="s">
        <v>1615</v>
      </c>
      <c r="L163" s="894" t="s">
        <v>1616</v>
      </c>
      <c r="M163" s="894" t="s">
        <v>1669</v>
      </c>
      <c r="N163" s="774" t="s">
        <v>1670</v>
      </c>
      <c r="O163" s="774" t="s">
        <v>1671</v>
      </c>
      <c r="P163" s="774" t="s">
        <v>1672</v>
      </c>
      <c r="Q163" s="774" t="s">
        <v>1673</v>
      </c>
      <c r="R163" s="774" t="s">
        <v>1622</v>
      </c>
      <c r="S163" s="774" t="s">
        <v>1623</v>
      </c>
      <c r="T163" s="774" t="s">
        <v>1624</v>
      </c>
      <c r="U163" s="774" t="s">
        <v>1625</v>
      </c>
      <c r="V163" s="774" t="s">
        <v>1626</v>
      </c>
      <c r="W163" s="774" t="s">
        <v>1627</v>
      </c>
      <c r="X163" s="774" t="s">
        <v>1628</v>
      </c>
      <c r="Y163" s="774" t="s">
        <v>1629</v>
      </c>
      <c r="Z163" s="774" t="s">
        <v>1630</v>
      </c>
      <c r="AA163" s="812" t="s">
        <v>1653</v>
      </c>
      <c r="AB163" s="863"/>
      <c r="AC163" s="812" t="s">
        <v>1632</v>
      </c>
      <c r="AD163" s="863"/>
      <c r="AE163" s="812" t="s">
        <v>1674</v>
      </c>
      <c r="AF163" s="863"/>
      <c r="AG163" s="812" t="s">
        <v>1634</v>
      </c>
      <c r="AH163" s="863"/>
      <c r="AI163" s="812" t="s">
        <v>1635</v>
      </c>
      <c r="AJ163" s="863"/>
      <c r="AK163" s="812" t="s">
        <v>1636</v>
      </c>
      <c r="AL163" s="863"/>
      <c r="AM163" s="774" t="s">
        <v>1637</v>
      </c>
      <c r="AN163" s="774" t="s">
        <v>1638</v>
      </c>
      <c r="AO163" s="774" t="s">
        <v>1675</v>
      </c>
      <c r="AP163" s="774" t="s">
        <v>1639</v>
      </c>
      <c r="AQ163" s="774" t="s">
        <v>1640</v>
      </c>
      <c r="AR163" s="774" t="s">
        <v>1676</v>
      </c>
      <c r="AS163" s="774" t="s">
        <v>1677</v>
      </c>
      <c r="AT163" s="774" t="s">
        <v>1678</v>
      </c>
      <c r="AU163" s="774" t="s">
        <v>1644</v>
      </c>
      <c r="AV163" s="864" t="s">
        <v>1587</v>
      </c>
      <c r="AW163" s="776" t="s">
        <v>1645</v>
      </c>
      <c r="AX163" s="831"/>
      <c r="AY163" s="831"/>
      <c r="AZ163" s="865"/>
      <c r="BA163" s="865"/>
      <c r="BB163" s="831"/>
      <c r="BC163" s="865"/>
      <c r="BD163" s="831"/>
      <c r="BE163" s="831"/>
      <c r="BF163" s="832"/>
    </row>
    <row r="164" spans="1:58" s="520" customFormat="1" ht="18" customHeight="1">
      <c r="A164" s="748"/>
      <c r="B164" s="748"/>
      <c r="C164" s="748"/>
      <c r="D164" s="748"/>
      <c r="E164" s="748"/>
      <c r="F164" s="748"/>
      <c r="G164" s="881" t="s">
        <v>1646</v>
      </c>
      <c r="H164" s="748"/>
      <c r="I164" s="881"/>
      <c r="J164" s="881"/>
      <c r="K164" s="881"/>
      <c r="L164" s="881"/>
      <c r="M164" s="881"/>
      <c r="N164" s="881"/>
      <c r="O164" s="881"/>
      <c r="P164" s="881"/>
      <c r="Q164" s="881"/>
      <c r="R164" s="881"/>
      <c r="S164" s="881"/>
      <c r="T164" s="881"/>
      <c r="U164" s="881"/>
      <c r="V164" s="881"/>
      <c r="W164" s="881"/>
      <c r="X164" s="881"/>
      <c r="Y164" s="881"/>
      <c r="Z164" s="881"/>
      <c r="AA164" s="881" t="s">
        <v>1646</v>
      </c>
      <c r="AB164" s="881"/>
      <c r="AC164" s="881" t="s">
        <v>1646</v>
      </c>
      <c r="AD164" s="881"/>
      <c r="AE164" s="881" t="s">
        <v>1646</v>
      </c>
      <c r="AF164" s="881"/>
      <c r="AG164" s="881" t="s">
        <v>1646</v>
      </c>
      <c r="AH164" s="881"/>
      <c r="AI164" s="881" t="s">
        <v>1646</v>
      </c>
      <c r="AJ164" s="881"/>
      <c r="AK164" s="881" t="s">
        <v>1646</v>
      </c>
      <c r="AL164" s="881"/>
      <c r="AM164" s="225" t="str">
        <f>Subrates_Table_1</f>
        <v>Subrates Table 1</v>
      </c>
      <c r="AN164" s="225" t="str">
        <f>Subrates_Table_1</f>
        <v>Subrates Table 1</v>
      </c>
      <c r="AO164" s="881"/>
      <c r="AP164" s="225" t="str">
        <f>Subrates_Table_1</f>
        <v>Subrates Table 1</v>
      </c>
      <c r="AQ164" s="881"/>
      <c r="AR164" s="748"/>
      <c r="AS164" s="64"/>
      <c r="AT164" s="748"/>
      <c r="AU164" s="768"/>
      <c r="AV164" s="474"/>
      <c r="AW164" s="748"/>
      <c r="AZ164" s="768"/>
      <c r="BA164" s="768"/>
      <c r="BB164" s="838"/>
      <c r="BC164" s="768"/>
    </row>
    <row r="165" spans="1:58" s="520" customFormat="1" ht="15">
      <c r="B165" s="307"/>
      <c r="C165" s="824">
        <v>1</v>
      </c>
      <c r="D165" s="188"/>
      <c r="E165" s="77"/>
      <c r="F165" s="316"/>
      <c r="G165" s="37" t="s">
        <v>117</v>
      </c>
      <c r="H165" s="68"/>
      <c r="I165" s="316">
        <f t="shared" ref="I165:I184" si="60">F165</f>
        <v>0</v>
      </c>
      <c r="J165" s="30"/>
      <c r="K165" s="824">
        <f t="shared" ref="K165:K184" si="61">IF(J165="",IF(G165=Earthen,0,Default_HaulRoad_Cover),J165)</f>
        <v>0</v>
      </c>
      <c r="L165" s="895">
        <f t="shared" ref="L165:L184" si="62">I165*1000*IF(E165="",Mine_haul_default_width,E165)*K165/1000</f>
        <v>0</v>
      </c>
      <c r="M165" s="316"/>
      <c r="N165" s="30"/>
      <c r="O165" s="895">
        <f t="shared" ref="O165:O184" si="63">M165*1000*IF(E165="",Mine_haul_default_width,E165)*IF(N165="",IF(G165=Earthen,0,Default_HaulRoad_Cover),N165)/1000</f>
        <v>0</v>
      </c>
      <c r="P165" s="324">
        <f t="shared" ref="P165:P184" si="64">F165</f>
        <v>0</v>
      </c>
      <c r="Q165" s="324">
        <f t="shared" ref="Q165:Q184" si="65">P165*1000*IF(E165="",Mine_haul_default_width,E165)/10000</f>
        <v>0</v>
      </c>
      <c r="R165" s="316">
        <f>IF(M165=F165,0,Q165)</f>
        <v>0</v>
      </c>
      <c r="S165" s="74"/>
      <c r="T165" s="42"/>
      <c r="U165" s="324">
        <f>IF(T165="",R165*10000*IF(S165&lt;&gt;"",S165,$S$161)/1000,T165)</f>
        <v>0</v>
      </c>
      <c r="V165" s="69">
        <f t="shared" ref="V165:V184" si="66">(I165-M165)*1000*IF(E165="",Mine_haul_default_width,E165)/10000</f>
        <v>0</v>
      </c>
      <c r="W165" s="66">
        <v>1</v>
      </c>
      <c r="X165" s="71"/>
      <c r="Y165" s="67">
        <f t="shared" ref="Y165:Y184" si="67">100%-W165-X165</f>
        <v>0</v>
      </c>
      <c r="Z165" s="16" t="str">
        <f>IF(Y165&lt;0%,"Error","No Alert")</f>
        <v>No Alert</v>
      </c>
      <c r="AA165" s="37" t="s">
        <v>125</v>
      </c>
      <c r="AB165" s="60"/>
      <c r="AC165" s="79" t="s">
        <v>349</v>
      </c>
      <c r="AD165" s="60"/>
      <c r="AE165" s="37" t="s">
        <v>125</v>
      </c>
      <c r="AF165" s="60"/>
      <c r="AG165" s="79" t="s">
        <v>349</v>
      </c>
      <c r="AH165" s="60"/>
      <c r="AI165" s="37" t="s">
        <v>125</v>
      </c>
      <c r="AJ165" s="60"/>
      <c r="AK165" s="40" t="s">
        <v>348</v>
      </c>
      <c r="AL165" s="60"/>
      <c r="AM165" s="63">
        <f t="shared" ref="AM165:AM184" si="68">INDEX(Load_and_Haul_Values,MATCH(AA165,Load_and_Haul,0),MATCH(AC165,Load_Haul_Fleet_size,0))</f>
        <v>6.2664411871606829</v>
      </c>
      <c r="AN165" s="63">
        <f t="shared" ref="AN165:AN184" si="69">INDEX(Load_and_Haul_Values,MATCH(AE165,Load_and_Haul,0),MATCH(AG165,Load_Haul_Fleet_size,0))</f>
        <v>6.2664411871606829</v>
      </c>
      <c r="AO165" s="63">
        <f t="shared" ref="AO165:AO184" si="70">IF($AO$159&gt;0,$AO$159,$AO$158)</f>
        <v>400.15945742176939</v>
      </c>
      <c r="AP165" s="63">
        <f t="shared" ref="AP165:AP184" si="71">INDEX(Load_and_Haul_Values,MATCH(AI165,Load_and_Haul,0),MATCH(AK165,Load_Haul_Fleet_size,0))</f>
        <v>4.8064250364478198</v>
      </c>
      <c r="AQ165" s="351">
        <f t="shared" ref="AQ165:AQ184" si="72">L165*AM165</f>
        <v>0</v>
      </c>
      <c r="AR165" s="351">
        <f t="shared" ref="AR165:AR184" si="73">Q165*AO165</f>
        <v>0</v>
      </c>
      <c r="AS165" s="351">
        <f t="shared" ref="AS165:AS184" si="74">U165*AP165</f>
        <v>0</v>
      </c>
      <c r="AT165" s="351">
        <f t="shared" ref="AT165:AT184" si="75">O165*AN165</f>
        <v>0</v>
      </c>
      <c r="AU165" s="351">
        <f>V165*(W165*IF($AV$157="",$AU$157,$AV$157)+X165*IF($AV$158="",$AU$158,$AV$158))</f>
        <v>0</v>
      </c>
      <c r="AV165" s="276">
        <f t="shared" ref="AV165:AV184" si="76">SUM(AQ165:AU165)</f>
        <v>0</v>
      </c>
      <c r="AW165" s="215"/>
      <c r="AX165" s="217"/>
      <c r="AY165" s="217"/>
      <c r="AZ165" s="217"/>
      <c r="BA165" s="217"/>
      <c r="BB165" s="217"/>
      <c r="BC165" s="217"/>
      <c r="BD165" s="217"/>
      <c r="BE165" s="217"/>
      <c r="BF165" s="218"/>
    </row>
    <row r="166" spans="1:58" s="520" customFormat="1" ht="15">
      <c r="B166" s="307"/>
      <c r="C166" s="824">
        <f t="shared" ref="C166:C184" si="77">C165+1</f>
        <v>2</v>
      </c>
      <c r="D166" s="173"/>
      <c r="E166" s="77"/>
      <c r="F166" s="316"/>
      <c r="G166" s="37" t="s">
        <v>118</v>
      </c>
      <c r="H166" s="68"/>
      <c r="I166" s="316">
        <f t="shared" si="60"/>
        <v>0</v>
      </c>
      <c r="J166" s="30"/>
      <c r="K166" s="824">
        <f t="shared" si="61"/>
        <v>500</v>
      </c>
      <c r="L166" s="895">
        <f t="shared" si="62"/>
        <v>0</v>
      </c>
      <c r="M166" s="316"/>
      <c r="N166" s="30"/>
      <c r="O166" s="895">
        <f t="shared" si="63"/>
        <v>0</v>
      </c>
      <c r="P166" s="324">
        <f t="shared" si="64"/>
        <v>0</v>
      </c>
      <c r="Q166" s="324">
        <f t="shared" si="65"/>
        <v>0</v>
      </c>
      <c r="R166" s="316">
        <f>IF(M166=F166,0,Q166)</f>
        <v>0</v>
      </c>
      <c r="S166" s="74"/>
      <c r="T166" s="42"/>
      <c r="U166" s="324">
        <f t="shared" ref="U166:U184" si="78">IF(T166="",R166*10000*IF(S166&lt;&gt;"",S166,$S$161)/1000,T166)</f>
        <v>0</v>
      </c>
      <c r="V166" s="69">
        <f t="shared" si="66"/>
        <v>0</v>
      </c>
      <c r="W166" s="66">
        <v>1</v>
      </c>
      <c r="X166" s="71"/>
      <c r="Y166" s="67">
        <f t="shared" si="67"/>
        <v>0</v>
      </c>
      <c r="Z166" s="16" t="str">
        <f t="shared" ref="Z166:Z184" si="79">IF(Y166&lt;0%,"Error","No Alert")</f>
        <v>No Alert</v>
      </c>
      <c r="AA166" s="37" t="s">
        <v>125</v>
      </c>
      <c r="AB166" s="60"/>
      <c r="AC166" s="79" t="s">
        <v>349</v>
      </c>
      <c r="AD166" s="60"/>
      <c r="AE166" s="37" t="s">
        <v>125</v>
      </c>
      <c r="AF166" s="60"/>
      <c r="AG166" s="79" t="s">
        <v>349</v>
      </c>
      <c r="AH166" s="60"/>
      <c r="AI166" s="37" t="s">
        <v>125</v>
      </c>
      <c r="AJ166" s="60"/>
      <c r="AK166" s="40" t="s">
        <v>348</v>
      </c>
      <c r="AL166" s="60"/>
      <c r="AM166" s="63">
        <f t="shared" si="68"/>
        <v>6.2664411871606829</v>
      </c>
      <c r="AN166" s="63">
        <f t="shared" si="69"/>
        <v>6.2664411871606829</v>
      </c>
      <c r="AO166" s="63">
        <f t="shared" si="70"/>
        <v>400.15945742176939</v>
      </c>
      <c r="AP166" s="63">
        <f t="shared" si="71"/>
        <v>4.8064250364478198</v>
      </c>
      <c r="AQ166" s="351">
        <f t="shared" si="72"/>
        <v>0</v>
      </c>
      <c r="AR166" s="351">
        <f t="shared" si="73"/>
        <v>0</v>
      </c>
      <c r="AS166" s="351">
        <f t="shared" si="74"/>
        <v>0</v>
      </c>
      <c r="AT166" s="351">
        <f t="shared" si="75"/>
        <v>0</v>
      </c>
      <c r="AU166" s="351">
        <f t="shared" ref="AU166:AU184" si="80">V166*(W166*IF($AV$157="",$AU$157,$AV$157)+X166*IF($AV$158="",$AU$158,$AV$158))</f>
        <v>0</v>
      </c>
      <c r="AV166" s="276">
        <f t="shared" si="76"/>
        <v>0</v>
      </c>
      <c r="AW166" s="215"/>
      <c r="AX166" s="217"/>
      <c r="AY166" s="217"/>
      <c r="AZ166" s="217"/>
      <c r="BA166" s="217"/>
      <c r="BB166" s="217"/>
      <c r="BC166" s="217"/>
      <c r="BD166" s="217"/>
      <c r="BE166" s="217"/>
      <c r="BF166" s="218"/>
    </row>
    <row r="167" spans="1:58" s="520" customFormat="1" ht="15">
      <c r="B167" s="307"/>
      <c r="C167" s="824">
        <f t="shared" si="77"/>
        <v>3</v>
      </c>
      <c r="D167" s="173"/>
      <c r="E167" s="77"/>
      <c r="F167" s="316"/>
      <c r="G167" s="37" t="s">
        <v>46</v>
      </c>
      <c r="H167" s="68"/>
      <c r="I167" s="316">
        <f t="shared" si="60"/>
        <v>0</v>
      </c>
      <c r="J167" s="30"/>
      <c r="K167" s="824">
        <f t="shared" si="61"/>
        <v>500</v>
      </c>
      <c r="L167" s="895">
        <f t="shared" si="62"/>
        <v>0</v>
      </c>
      <c r="M167" s="316"/>
      <c r="N167" s="30"/>
      <c r="O167" s="895">
        <f t="shared" si="63"/>
        <v>0</v>
      </c>
      <c r="P167" s="324">
        <f t="shared" si="64"/>
        <v>0</v>
      </c>
      <c r="Q167" s="324">
        <f t="shared" si="65"/>
        <v>0</v>
      </c>
      <c r="R167" s="316">
        <f>IF(M167=F167,0,Q167)</f>
        <v>0</v>
      </c>
      <c r="S167" s="74"/>
      <c r="T167" s="42"/>
      <c r="U167" s="324">
        <f t="shared" si="78"/>
        <v>0</v>
      </c>
      <c r="V167" s="69">
        <f t="shared" si="66"/>
        <v>0</v>
      </c>
      <c r="W167" s="66">
        <v>1</v>
      </c>
      <c r="X167" s="71"/>
      <c r="Y167" s="67">
        <f t="shared" si="67"/>
        <v>0</v>
      </c>
      <c r="Z167" s="16" t="str">
        <f t="shared" si="79"/>
        <v>No Alert</v>
      </c>
      <c r="AA167" s="37" t="s">
        <v>125</v>
      </c>
      <c r="AB167" s="60"/>
      <c r="AC167" s="79" t="s">
        <v>349</v>
      </c>
      <c r="AD167" s="60"/>
      <c r="AE167" s="37" t="s">
        <v>125</v>
      </c>
      <c r="AF167" s="60"/>
      <c r="AG167" s="79" t="s">
        <v>349</v>
      </c>
      <c r="AH167" s="60"/>
      <c r="AI167" s="37" t="s">
        <v>125</v>
      </c>
      <c r="AJ167" s="60"/>
      <c r="AK167" s="40" t="s">
        <v>348</v>
      </c>
      <c r="AL167" s="60"/>
      <c r="AM167" s="63">
        <f t="shared" si="68"/>
        <v>6.2664411871606829</v>
      </c>
      <c r="AN167" s="63">
        <f t="shared" si="69"/>
        <v>6.2664411871606829</v>
      </c>
      <c r="AO167" s="63">
        <f t="shared" si="70"/>
        <v>400.15945742176939</v>
      </c>
      <c r="AP167" s="63">
        <f t="shared" si="71"/>
        <v>4.8064250364478198</v>
      </c>
      <c r="AQ167" s="351">
        <f t="shared" si="72"/>
        <v>0</v>
      </c>
      <c r="AR167" s="351">
        <f t="shared" si="73"/>
        <v>0</v>
      </c>
      <c r="AS167" s="351">
        <f t="shared" si="74"/>
        <v>0</v>
      </c>
      <c r="AT167" s="351">
        <f t="shared" si="75"/>
        <v>0</v>
      </c>
      <c r="AU167" s="351">
        <f t="shared" si="80"/>
        <v>0</v>
      </c>
      <c r="AV167" s="276">
        <f t="shared" si="76"/>
        <v>0</v>
      </c>
      <c r="AW167" s="215"/>
      <c r="AX167" s="217"/>
      <c r="AY167" s="217"/>
      <c r="AZ167" s="217"/>
      <c r="BA167" s="217"/>
      <c r="BB167" s="217"/>
      <c r="BC167" s="217"/>
      <c r="BD167" s="217"/>
      <c r="BE167" s="217"/>
      <c r="BF167" s="218"/>
    </row>
    <row r="168" spans="1:58" s="520" customFormat="1" ht="15">
      <c r="B168" s="307"/>
      <c r="C168" s="824">
        <f t="shared" si="77"/>
        <v>4</v>
      </c>
      <c r="D168" s="173"/>
      <c r="E168" s="77"/>
      <c r="F168" s="316"/>
      <c r="G168" s="37" t="s">
        <v>1647</v>
      </c>
      <c r="H168" s="68"/>
      <c r="I168" s="316">
        <f t="shared" si="60"/>
        <v>0</v>
      </c>
      <c r="J168" s="30"/>
      <c r="K168" s="824">
        <f t="shared" si="61"/>
        <v>500</v>
      </c>
      <c r="L168" s="895">
        <f t="shared" si="62"/>
        <v>0</v>
      </c>
      <c r="M168" s="316"/>
      <c r="N168" s="30"/>
      <c r="O168" s="895">
        <f t="shared" si="63"/>
        <v>0</v>
      </c>
      <c r="P168" s="324">
        <f t="shared" si="64"/>
        <v>0</v>
      </c>
      <c r="Q168" s="324">
        <f t="shared" si="65"/>
        <v>0</v>
      </c>
      <c r="R168" s="316">
        <f t="shared" ref="R168:R184" si="81">IF(M168=F168,0,Q168)</f>
        <v>0</v>
      </c>
      <c r="S168" s="74"/>
      <c r="T168" s="42"/>
      <c r="U168" s="324">
        <f t="shared" si="78"/>
        <v>0</v>
      </c>
      <c r="V168" s="69">
        <f t="shared" si="66"/>
        <v>0</v>
      </c>
      <c r="W168" s="66">
        <v>1</v>
      </c>
      <c r="X168" s="71"/>
      <c r="Y168" s="67">
        <f t="shared" si="67"/>
        <v>0</v>
      </c>
      <c r="Z168" s="16" t="str">
        <f t="shared" si="79"/>
        <v>No Alert</v>
      </c>
      <c r="AA168" s="37" t="s">
        <v>125</v>
      </c>
      <c r="AB168" s="60"/>
      <c r="AC168" s="79" t="s">
        <v>349</v>
      </c>
      <c r="AD168" s="60"/>
      <c r="AE168" s="37" t="s">
        <v>125</v>
      </c>
      <c r="AF168" s="60"/>
      <c r="AG168" s="79" t="s">
        <v>349</v>
      </c>
      <c r="AH168" s="60"/>
      <c r="AI168" s="37" t="s">
        <v>125</v>
      </c>
      <c r="AJ168" s="60"/>
      <c r="AK168" s="40" t="s">
        <v>348</v>
      </c>
      <c r="AL168" s="60"/>
      <c r="AM168" s="63">
        <f t="shared" si="68"/>
        <v>6.2664411871606829</v>
      </c>
      <c r="AN168" s="63">
        <f t="shared" si="69"/>
        <v>6.2664411871606829</v>
      </c>
      <c r="AO168" s="63">
        <f t="shared" si="70"/>
        <v>400.15945742176939</v>
      </c>
      <c r="AP168" s="63">
        <f t="shared" si="71"/>
        <v>4.8064250364478198</v>
      </c>
      <c r="AQ168" s="351">
        <f t="shared" si="72"/>
        <v>0</v>
      </c>
      <c r="AR168" s="351">
        <f t="shared" si="73"/>
        <v>0</v>
      </c>
      <c r="AS168" s="351">
        <f t="shared" si="74"/>
        <v>0</v>
      </c>
      <c r="AT168" s="351">
        <f t="shared" si="75"/>
        <v>0</v>
      </c>
      <c r="AU168" s="351">
        <f t="shared" si="80"/>
        <v>0</v>
      </c>
      <c r="AV168" s="276">
        <f t="shared" si="76"/>
        <v>0</v>
      </c>
      <c r="AW168" s="215"/>
      <c r="AX168" s="217"/>
      <c r="AY168" s="217"/>
      <c r="AZ168" s="217"/>
      <c r="BA168" s="217"/>
      <c r="BB168" s="217"/>
      <c r="BC168" s="217"/>
      <c r="BD168" s="217"/>
      <c r="BE168" s="217"/>
      <c r="BF168" s="218"/>
    </row>
    <row r="169" spans="1:58" s="520" customFormat="1" ht="15">
      <c r="B169" s="307"/>
      <c r="C169" s="824">
        <f t="shared" si="77"/>
        <v>5</v>
      </c>
      <c r="D169" s="173"/>
      <c r="E169" s="77"/>
      <c r="F169" s="316"/>
      <c r="G169" s="37" t="s">
        <v>117</v>
      </c>
      <c r="H169" s="68"/>
      <c r="I169" s="316">
        <f t="shared" si="60"/>
        <v>0</v>
      </c>
      <c r="J169" s="30"/>
      <c r="K169" s="824">
        <f t="shared" si="61"/>
        <v>0</v>
      </c>
      <c r="L169" s="895">
        <f t="shared" si="62"/>
        <v>0</v>
      </c>
      <c r="M169" s="316"/>
      <c r="N169" s="30"/>
      <c r="O169" s="895">
        <f t="shared" si="63"/>
        <v>0</v>
      </c>
      <c r="P169" s="324">
        <f t="shared" si="64"/>
        <v>0</v>
      </c>
      <c r="Q169" s="324">
        <f t="shared" si="65"/>
        <v>0</v>
      </c>
      <c r="R169" s="316">
        <f t="shared" si="81"/>
        <v>0</v>
      </c>
      <c r="S169" s="74"/>
      <c r="T169" s="42"/>
      <c r="U169" s="324">
        <f t="shared" si="78"/>
        <v>0</v>
      </c>
      <c r="V169" s="69">
        <f t="shared" si="66"/>
        <v>0</v>
      </c>
      <c r="W169" s="66">
        <v>1</v>
      </c>
      <c r="X169" s="71"/>
      <c r="Y169" s="67">
        <f t="shared" si="67"/>
        <v>0</v>
      </c>
      <c r="Z169" s="16" t="str">
        <f t="shared" si="79"/>
        <v>No Alert</v>
      </c>
      <c r="AA169" s="37" t="s">
        <v>125</v>
      </c>
      <c r="AB169" s="60"/>
      <c r="AC169" s="79" t="s">
        <v>349</v>
      </c>
      <c r="AD169" s="60"/>
      <c r="AE169" s="37" t="s">
        <v>125</v>
      </c>
      <c r="AF169" s="60"/>
      <c r="AG169" s="79" t="s">
        <v>349</v>
      </c>
      <c r="AH169" s="60"/>
      <c r="AI169" s="37" t="s">
        <v>125</v>
      </c>
      <c r="AJ169" s="60"/>
      <c r="AK169" s="40" t="s">
        <v>348</v>
      </c>
      <c r="AL169" s="60"/>
      <c r="AM169" s="63">
        <f t="shared" si="68"/>
        <v>6.2664411871606829</v>
      </c>
      <c r="AN169" s="63">
        <f t="shared" si="69"/>
        <v>6.2664411871606829</v>
      </c>
      <c r="AO169" s="63">
        <f t="shared" si="70"/>
        <v>400.15945742176939</v>
      </c>
      <c r="AP169" s="63">
        <f t="shared" si="71"/>
        <v>4.8064250364478198</v>
      </c>
      <c r="AQ169" s="351">
        <f t="shared" si="72"/>
        <v>0</v>
      </c>
      <c r="AR169" s="351">
        <f t="shared" si="73"/>
        <v>0</v>
      </c>
      <c r="AS169" s="351">
        <f t="shared" si="74"/>
        <v>0</v>
      </c>
      <c r="AT169" s="351">
        <f t="shared" si="75"/>
        <v>0</v>
      </c>
      <c r="AU169" s="351">
        <f t="shared" si="80"/>
        <v>0</v>
      </c>
      <c r="AV169" s="276">
        <f t="shared" si="76"/>
        <v>0</v>
      </c>
      <c r="AW169" s="215"/>
      <c r="AX169" s="217"/>
      <c r="AY169" s="217"/>
      <c r="AZ169" s="217"/>
      <c r="BA169" s="217"/>
      <c r="BB169" s="217"/>
      <c r="BC169" s="217"/>
      <c r="BD169" s="217"/>
      <c r="BE169" s="217"/>
      <c r="BF169" s="218"/>
    </row>
    <row r="170" spans="1:58" s="520" customFormat="1" ht="15">
      <c r="B170" s="307"/>
      <c r="C170" s="824">
        <f t="shared" si="77"/>
        <v>6</v>
      </c>
      <c r="D170" s="173"/>
      <c r="E170" s="77"/>
      <c r="F170" s="316"/>
      <c r="G170" s="37" t="s">
        <v>117</v>
      </c>
      <c r="H170" s="68"/>
      <c r="I170" s="316">
        <f t="shared" si="60"/>
        <v>0</v>
      </c>
      <c r="J170" s="30"/>
      <c r="K170" s="824">
        <f t="shared" si="61"/>
        <v>0</v>
      </c>
      <c r="L170" s="895">
        <f t="shared" si="62"/>
        <v>0</v>
      </c>
      <c r="M170" s="316"/>
      <c r="N170" s="30"/>
      <c r="O170" s="895">
        <f t="shared" si="63"/>
        <v>0</v>
      </c>
      <c r="P170" s="324">
        <f t="shared" si="64"/>
        <v>0</v>
      </c>
      <c r="Q170" s="324">
        <f t="shared" si="65"/>
        <v>0</v>
      </c>
      <c r="R170" s="316">
        <f t="shared" si="81"/>
        <v>0</v>
      </c>
      <c r="S170" s="74"/>
      <c r="T170" s="42"/>
      <c r="U170" s="324">
        <f t="shared" si="78"/>
        <v>0</v>
      </c>
      <c r="V170" s="69">
        <f t="shared" si="66"/>
        <v>0</v>
      </c>
      <c r="W170" s="66">
        <v>1</v>
      </c>
      <c r="X170" s="71"/>
      <c r="Y170" s="67">
        <f t="shared" si="67"/>
        <v>0</v>
      </c>
      <c r="Z170" s="16" t="str">
        <f t="shared" si="79"/>
        <v>No Alert</v>
      </c>
      <c r="AA170" s="37" t="s">
        <v>125</v>
      </c>
      <c r="AB170" s="60"/>
      <c r="AC170" s="79" t="s">
        <v>349</v>
      </c>
      <c r="AD170" s="60"/>
      <c r="AE170" s="37" t="s">
        <v>125</v>
      </c>
      <c r="AF170" s="60"/>
      <c r="AG170" s="79" t="s">
        <v>349</v>
      </c>
      <c r="AH170" s="60"/>
      <c r="AI170" s="37" t="s">
        <v>125</v>
      </c>
      <c r="AJ170" s="60"/>
      <c r="AK170" s="40" t="s">
        <v>348</v>
      </c>
      <c r="AL170" s="60"/>
      <c r="AM170" s="63">
        <f t="shared" si="68"/>
        <v>6.2664411871606829</v>
      </c>
      <c r="AN170" s="63">
        <f t="shared" si="69"/>
        <v>6.2664411871606829</v>
      </c>
      <c r="AO170" s="63">
        <f t="shared" si="70"/>
        <v>400.15945742176939</v>
      </c>
      <c r="AP170" s="63">
        <f t="shared" si="71"/>
        <v>4.8064250364478198</v>
      </c>
      <c r="AQ170" s="351">
        <f t="shared" si="72"/>
        <v>0</v>
      </c>
      <c r="AR170" s="351">
        <f t="shared" si="73"/>
        <v>0</v>
      </c>
      <c r="AS170" s="351">
        <f t="shared" si="74"/>
        <v>0</v>
      </c>
      <c r="AT170" s="351">
        <f t="shared" si="75"/>
        <v>0</v>
      </c>
      <c r="AU170" s="351">
        <f t="shared" si="80"/>
        <v>0</v>
      </c>
      <c r="AV170" s="276">
        <f t="shared" si="76"/>
        <v>0</v>
      </c>
      <c r="AW170" s="215"/>
      <c r="AX170" s="217"/>
      <c r="AY170" s="217"/>
      <c r="AZ170" s="217"/>
      <c r="BA170" s="217"/>
      <c r="BB170" s="217"/>
      <c r="BC170" s="217"/>
      <c r="BD170" s="217"/>
      <c r="BE170" s="217"/>
      <c r="BF170" s="218"/>
    </row>
    <row r="171" spans="1:58" s="520" customFormat="1" ht="15">
      <c r="B171" s="307"/>
      <c r="C171" s="824">
        <f t="shared" si="77"/>
        <v>7</v>
      </c>
      <c r="D171" s="173"/>
      <c r="E171" s="77"/>
      <c r="F171" s="316"/>
      <c r="G171" s="37" t="s">
        <v>117</v>
      </c>
      <c r="H171" s="68"/>
      <c r="I171" s="316">
        <f t="shared" si="60"/>
        <v>0</v>
      </c>
      <c r="J171" s="30"/>
      <c r="K171" s="824">
        <f t="shared" si="61"/>
        <v>0</v>
      </c>
      <c r="L171" s="895">
        <f t="shared" si="62"/>
        <v>0</v>
      </c>
      <c r="M171" s="316"/>
      <c r="N171" s="30"/>
      <c r="O171" s="895">
        <f t="shared" si="63"/>
        <v>0</v>
      </c>
      <c r="P171" s="324">
        <f t="shared" si="64"/>
        <v>0</v>
      </c>
      <c r="Q171" s="324">
        <f t="shared" si="65"/>
        <v>0</v>
      </c>
      <c r="R171" s="316">
        <f t="shared" si="81"/>
        <v>0</v>
      </c>
      <c r="S171" s="74"/>
      <c r="T171" s="42"/>
      <c r="U171" s="324">
        <f t="shared" si="78"/>
        <v>0</v>
      </c>
      <c r="V171" s="69">
        <f t="shared" si="66"/>
        <v>0</v>
      </c>
      <c r="W171" s="66">
        <v>1</v>
      </c>
      <c r="X171" s="71"/>
      <c r="Y171" s="67">
        <f t="shared" si="67"/>
        <v>0</v>
      </c>
      <c r="Z171" s="16" t="str">
        <f t="shared" si="79"/>
        <v>No Alert</v>
      </c>
      <c r="AA171" s="37" t="s">
        <v>125</v>
      </c>
      <c r="AB171" s="60"/>
      <c r="AC171" s="79" t="s">
        <v>349</v>
      </c>
      <c r="AD171" s="60"/>
      <c r="AE171" s="37" t="s">
        <v>125</v>
      </c>
      <c r="AF171" s="60"/>
      <c r="AG171" s="79" t="s">
        <v>349</v>
      </c>
      <c r="AH171" s="60"/>
      <c r="AI171" s="37" t="s">
        <v>125</v>
      </c>
      <c r="AJ171" s="60"/>
      <c r="AK171" s="40" t="s">
        <v>348</v>
      </c>
      <c r="AL171" s="60"/>
      <c r="AM171" s="63">
        <f t="shared" si="68"/>
        <v>6.2664411871606829</v>
      </c>
      <c r="AN171" s="63">
        <f t="shared" si="69"/>
        <v>6.2664411871606829</v>
      </c>
      <c r="AO171" s="63">
        <f t="shared" si="70"/>
        <v>400.15945742176939</v>
      </c>
      <c r="AP171" s="63">
        <f t="shared" si="71"/>
        <v>4.8064250364478198</v>
      </c>
      <c r="AQ171" s="351">
        <f t="shared" si="72"/>
        <v>0</v>
      </c>
      <c r="AR171" s="351">
        <f t="shared" si="73"/>
        <v>0</v>
      </c>
      <c r="AS171" s="351">
        <f t="shared" si="74"/>
        <v>0</v>
      </c>
      <c r="AT171" s="351">
        <f t="shared" si="75"/>
        <v>0</v>
      </c>
      <c r="AU171" s="351">
        <f t="shared" si="80"/>
        <v>0</v>
      </c>
      <c r="AV171" s="276">
        <f t="shared" si="76"/>
        <v>0</v>
      </c>
      <c r="AW171" s="215"/>
      <c r="AX171" s="217"/>
      <c r="AY171" s="217"/>
      <c r="AZ171" s="217"/>
      <c r="BA171" s="217"/>
      <c r="BB171" s="217"/>
      <c r="BC171" s="217"/>
      <c r="BD171" s="217"/>
      <c r="BE171" s="217"/>
      <c r="BF171" s="218"/>
    </row>
    <row r="172" spans="1:58" s="520" customFormat="1" ht="15">
      <c r="B172" s="307"/>
      <c r="C172" s="824">
        <f t="shared" si="77"/>
        <v>8</v>
      </c>
      <c r="D172" s="173"/>
      <c r="E172" s="77"/>
      <c r="F172" s="316"/>
      <c r="G172" s="37" t="s">
        <v>117</v>
      </c>
      <c r="H172" s="68"/>
      <c r="I172" s="316">
        <f t="shared" si="60"/>
        <v>0</v>
      </c>
      <c r="J172" s="30"/>
      <c r="K172" s="824">
        <f t="shared" si="61"/>
        <v>0</v>
      </c>
      <c r="L172" s="895">
        <f t="shared" si="62"/>
        <v>0</v>
      </c>
      <c r="M172" s="316"/>
      <c r="N172" s="30"/>
      <c r="O172" s="895">
        <f t="shared" si="63"/>
        <v>0</v>
      </c>
      <c r="P172" s="324">
        <f t="shared" si="64"/>
        <v>0</v>
      </c>
      <c r="Q172" s="324">
        <f t="shared" si="65"/>
        <v>0</v>
      </c>
      <c r="R172" s="316">
        <f t="shared" si="81"/>
        <v>0</v>
      </c>
      <c r="S172" s="74"/>
      <c r="T172" s="42"/>
      <c r="U172" s="324">
        <f t="shared" si="78"/>
        <v>0</v>
      </c>
      <c r="V172" s="69">
        <f t="shared" si="66"/>
        <v>0</v>
      </c>
      <c r="W172" s="66">
        <v>1</v>
      </c>
      <c r="X172" s="71"/>
      <c r="Y172" s="67">
        <f t="shared" si="67"/>
        <v>0</v>
      </c>
      <c r="Z172" s="16" t="str">
        <f t="shared" si="79"/>
        <v>No Alert</v>
      </c>
      <c r="AA172" s="37" t="s">
        <v>125</v>
      </c>
      <c r="AB172" s="60"/>
      <c r="AC172" s="79" t="s">
        <v>349</v>
      </c>
      <c r="AD172" s="60"/>
      <c r="AE172" s="37" t="s">
        <v>125</v>
      </c>
      <c r="AF172" s="60"/>
      <c r="AG172" s="79" t="s">
        <v>349</v>
      </c>
      <c r="AH172" s="60"/>
      <c r="AI172" s="37" t="s">
        <v>125</v>
      </c>
      <c r="AJ172" s="60"/>
      <c r="AK172" s="40" t="s">
        <v>348</v>
      </c>
      <c r="AL172" s="60"/>
      <c r="AM172" s="63">
        <f t="shared" si="68"/>
        <v>6.2664411871606829</v>
      </c>
      <c r="AN172" s="63">
        <f t="shared" si="69"/>
        <v>6.2664411871606829</v>
      </c>
      <c r="AO172" s="63">
        <f t="shared" si="70"/>
        <v>400.15945742176939</v>
      </c>
      <c r="AP172" s="63">
        <f t="shared" si="71"/>
        <v>4.8064250364478198</v>
      </c>
      <c r="AQ172" s="351">
        <f t="shared" si="72"/>
        <v>0</v>
      </c>
      <c r="AR172" s="351">
        <f t="shared" si="73"/>
        <v>0</v>
      </c>
      <c r="AS172" s="351">
        <f t="shared" si="74"/>
        <v>0</v>
      </c>
      <c r="AT172" s="351">
        <f t="shared" si="75"/>
        <v>0</v>
      </c>
      <c r="AU172" s="351">
        <f t="shared" si="80"/>
        <v>0</v>
      </c>
      <c r="AV172" s="276">
        <f t="shared" si="76"/>
        <v>0</v>
      </c>
      <c r="AW172" s="215"/>
      <c r="AX172" s="217"/>
      <c r="AY172" s="217"/>
      <c r="AZ172" s="217"/>
      <c r="BA172" s="217"/>
      <c r="BB172" s="217"/>
      <c r="BC172" s="217"/>
      <c r="BD172" s="217"/>
      <c r="BE172" s="217"/>
      <c r="BF172" s="218"/>
    </row>
    <row r="173" spans="1:58" s="520" customFormat="1" ht="15">
      <c r="B173" s="307"/>
      <c r="C173" s="824">
        <f t="shared" si="77"/>
        <v>9</v>
      </c>
      <c r="D173" s="173"/>
      <c r="E173" s="77"/>
      <c r="F173" s="316"/>
      <c r="G173" s="37" t="s">
        <v>117</v>
      </c>
      <c r="H173" s="68"/>
      <c r="I173" s="316">
        <f t="shared" si="60"/>
        <v>0</v>
      </c>
      <c r="J173" s="30"/>
      <c r="K173" s="824">
        <f t="shared" si="61"/>
        <v>0</v>
      </c>
      <c r="L173" s="895">
        <f t="shared" si="62"/>
        <v>0</v>
      </c>
      <c r="M173" s="316"/>
      <c r="N173" s="30"/>
      <c r="O173" s="895">
        <f t="shared" si="63"/>
        <v>0</v>
      </c>
      <c r="P173" s="324">
        <f t="shared" si="64"/>
        <v>0</v>
      </c>
      <c r="Q173" s="324">
        <f t="shared" si="65"/>
        <v>0</v>
      </c>
      <c r="R173" s="316">
        <f t="shared" si="81"/>
        <v>0</v>
      </c>
      <c r="S173" s="74"/>
      <c r="T173" s="42"/>
      <c r="U173" s="324">
        <f t="shared" si="78"/>
        <v>0</v>
      </c>
      <c r="V173" s="69">
        <f t="shared" si="66"/>
        <v>0</v>
      </c>
      <c r="W173" s="66">
        <v>1</v>
      </c>
      <c r="X173" s="71"/>
      <c r="Y173" s="67">
        <f t="shared" si="67"/>
        <v>0</v>
      </c>
      <c r="Z173" s="16" t="str">
        <f t="shared" si="79"/>
        <v>No Alert</v>
      </c>
      <c r="AA173" s="37" t="s">
        <v>125</v>
      </c>
      <c r="AB173" s="60"/>
      <c r="AC173" s="79" t="s">
        <v>349</v>
      </c>
      <c r="AD173" s="60"/>
      <c r="AE173" s="37" t="s">
        <v>125</v>
      </c>
      <c r="AF173" s="60"/>
      <c r="AG173" s="79" t="s">
        <v>349</v>
      </c>
      <c r="AH173" s="60"/>
      <c r="AI173" s="37" t="s">
        <v>125</v>
      </c>
      <c r="AJ173" s="60"/>
      <c r="AK173" s="40" t="s">
        <v>348</v>
      </c>
      <c r="AL173" s="60"/>
      <c r="AM173" s="63">
        <f t="shared" si="68"/>
        <v>6.2664411871606829</v>
      </c>
      <c r="AN173" s="63">
        <f t="shared" si="69"/>
        <v>6.2664411871606829</v>
      </c>
      <c r="AO173" s="63">
        <f t="shared" si="70"/>
        <v>400.15945742176939</v>
      </c>
      <c r="AP173" s="63">
        <f t="shared" si="71"/>
        <v>4.8064250364478198</v>
      </c>
      <c r="AQ173" s="351">
        <f t="shared" si="72"/>
        <v>0</v>
      </c>
      <c r="AR173" s="351">
        <f t="shared" si="73"/>
        <v>0</v>
      </c>
      <c r="AS173" s="351">
        <f t="shared" si="74"/>
        <v>0</v>
      </c>
      <c r="AT173" s="351">
        <f t="shared" si="75"/>
        <v>0</v>
      </c>
      <c r="AU173" s="351">
        <f t="shared" si="80"/>
        <v>0</v>
      </c>
      <c r="AV173" s="276">
        <f t="shared" si="76"/>
        <v>0</v>
      </c>
      <c r="AW173" s="215"/>
      <c r="AX173" s="217"/>
      <c r="AY173" s="217"/>
      <c r="AZ173" s="217"/>
      <c r="BA173" s="217"/>
      <c r="BB173" s="217"/>
      <c r="BC173" s="217"/>
      <c r="BD173" s="217"/>
      <c r="BE173" s="217"/>
      <c r="BF173" s="218"/>
    </row>
    <row r="174" spans="1:58" s="520" customFormat="1" ht="15">
      <c r="B174" s="307"/>
      <c r="C174" s="824">
        <f t="shared" si="77"/>
        <v>10</v>
      </c>
      <c r="D174" s="173"/>
      <c r="E174" s="77"/>
      <c r="F174" s="316"/>
      <c r="G174" s="37" t="s">
        <v>117</v>
      </c>
      <c r="H174" s="68"/>
      <c r="I174" s="316">
        <f t="shared" si="60"/>
        <v>0</v>
      </c>
      <c r="J174" s="30"/>
      <c r="K174" s="824">
        <f t="shared" si="61"/>
        <v>0</v>
      </c>
      <c r="L174" s="895">
        <f t="shared" si="62"/>
        <v>0</v>
      </c>
      <c r="M174" s="316"/>
      <c r="N174" s="30"/>
      <c r="O174" s="895">
        <f t="shared" si="63"/>
        <v>0</v>
      </c>
      <c r="P174" s="324">
        <f t="shared" si="64"/>
        <v>0</v>
      </c>
      <c r="Q174" s="324">
        <f t="shared" si="65"/>
        <v>0</v>
      </c>
      <c r="R174" s="316">
        <f t="shared" si="81"/>
        <v>0</v>
      </c>
      <c r="S174" s="74"/>
      <c r="T174" s="42"/>
      <c r="U174" s="324">
        <f t="shared" si="78"/>
        <v>0</v>
      </c>
      <c r="V174" s="69">
        <f t="shared" si="66"/>
        <v>0</v>
      </c>
      <c r="W174" s="66">
        <v>1</v>
      </c>
      <c r="X174" s="71"/>
      <c r="Y174" s="67">
        <f t="shared" si="67"/>
        <v>0</v>
      </c>
      <c r="Z174" s="16" t="str">
        <f t="shared" si="79"/>
        <v>No Alert</v>
      </c>
      <c r="AA174" s="37" t="s">
        <v>125</v>
      </c>
      <c r="AB174" s="60"/>
      <c r="AC174" s="79" t="s">
        <v>349</v>
      </c>
      <c r="AD174" s="60"/>
      <c r="AE174" s="37" t="s">
        <v>125</v>
      </c>
      <c r="AF174" s="60"/>
      <c r="AG174" s="79" t="s">
        <v>349</v>
      </c>
      <c r="AH174" s="60"/>
      <c r="AI174" s="37" t="s">
        <v>125</v>
      </c>
      <c r="AJ174" s="60"/>
      <c r="AK174" s="40" t="s">
        <v>348</v>
      </c>
      <c r="AL174" s="60"/>
      <c r="AM174" s="63">
        <f t="shared" si="68"/>
        <v>6.2664411871606829</v>
      </c>
      <c r="AN174" s="63">
        <f t="shared" si="69"/>
        <v>6.2664411871606829</v>
      </c>
      <c r="AO174" s="63">
        <f t="shared" si="70"/>
        <v>400.15945742176939</v>
      </c>
      <c r="AP174" s="63">
        <f t="shared" si="71"/>
        <v>4.8064250364478198</v>
      </c>
      <c r="AQ174" s="351">
        <f t="shared" si="72"/>
        <v>0</v>
      </c>
      <c r="AR174" s="351">
        <f t="shared" si="73"/>
        <v>0</v>
      </c>
      <c r="AS174" s="351">
        <f t="shared" si="74"/>
        <v>0</v>
      </c>
      <c r="AT174" s="351">
        <f t="shared" si="75"/>
        <v>0</v>
      </c>
      <c r="AU174" s="351">
        <f t="shared" si="80"/>
        <v>0</v>
      </c>
      <c r="AV174" s="276">
        <f t="shared" si="76"/>
        <v>0</v>
      </c>
      <c r="AW174" s="215"/>
      <c r="AX174" s="217"/>
      <c r="AY174" s="217"/>
      <c r="AZ174" s="217"/>
      <c r="BA174" s="217"/>
      <c r="BB174" s="217"/>
      <c r="BC174" s="217"/>
      <c r="BD174" s="217"/>
      <c r="BE174" s="217"/>
      <c r="BF174" s="218"/>
    </row>
    <row r="175" spans="1:58" s="520" customFormat="1" ht="15">
      <c r="B175" s="307"/>
      <c r="C175" s="824">
        <f t="shared" si="77"/>
        <v>11</v>
      </c>
      <c r="D175" s="173"/>
      <c r="E175" s="77"/>
      <c r="F175" s="316"/>
      <c r="G175" s="37" t="s">
        <v>117</v>
      </c>
      <c r="H175" s="68"/>
      <c r="I175" s="316">
        <f t="shared" si="60"/>
        <v>0</v>
      </c>
      <c r="J175" s="30"/>
      <c r="K175" s="824">
        <f t="shared" si="61"/>
        <v>0</v>
      </c>
      <c r="L175" s="895">
        <f t="shared" si="62"/>
        <v>0</v>
      </c>
      <c r="M175" s="316"/>
      <c r="N175" s="30"/>
      <c r="O175" s="895">
        <f t="shared" si="63"/>
        <v>0</v>
      </c>
      <c r="P175" s="324">
        <f t="shared" si="64"/>
        <v>0</v>
      </c>
      <c r="Q175" s="324">
        <f t="shared" si="65"/>
        <v>0</v>
      </c>
      <c r="R175" s="316">
        <f t="shared" si="81"/>
        <v>0</v>
      </c>
      <c r="S175" s="74"/>
      <c r="T175" s="42"/>
      <c r="U175" s="324">
        <f t="shared" si="78"/>
        <v>0</v>
      </c>
      <c r="V175" s="69">
        <f t="shared" si="66"/>
        <v>0</v>
      </c>
      <c r="W175" s="66">
        <v>1</v>
      </c>
      <c r="X175" s="71"/>
      <c r="Y175" s="67">
        <f t="shared" si="67"/>
        <v>0</v>
      </c>
      <c r="Z175" s="16" t="str">
        <f t="shared" si="79"/>
        <v>No Alert</v>
      </c>
      <c r="AA175" s="37" t="s">
        <v>125</v>
      </c>
      <c r="AB175" s="60"/>
      <c r="AC175" s="79" t="s">
        <v>349</v>
      </c>
      <c r="AD175" s="60"/>
      <c r="AE175" s="37" t="s">
        <v>125</v>
      </c>
      <c r="AF175" s="60"/>
      <c r="AG175" s="79" t="s">
        <v>349</v>
      </c>
      <c r="AH175" s="60"/>
      <c r="AI175" s="37" t="s">
        <v>125</v>
      </c>
      <c r="AJ175" s="60"/>
      <c r="AK175" s="40" t="s">
        <v>348</v>
      </c>
      <c r="AL175" s="60"/>
      <c r="AM175" s="63">
        <f t="shared" si="68"/>
        <v>6.2664411871606829</v>
      </c>
      <c r="AN175" s="63">
        <f t="shared" si="69"/>
        <v>6.2664411871606829</v>
      </c>
      <c r="AO175" s="63">
        <f t="shared" si="70"/>
        <v>400.15945742176939</v>
      </c>
      <c r="AP175" s="63">
        <f t="shared" si="71"/>
        <v>4.8064250364478198</v>
      </c>
      <c r="AQ175" s="351">
        <f t="shared" si="72"/>
        <v>0</v>
      </c>
      <c r="AR175" s="351">
        <f t="shared" si="73"/>
        <v>0</v>
      </c>
      <c r="AS175" s="351">
        <f t="shared" si="74"/>
        <v>0</v>
      </c>
      <c r="AT175" s="351">
        <f t="shared" si="75"/>
        <v>0</v>
      </c>
      <c r="AU175" s="351">
        <f t="shared" si="80"/>
        <v>0</v>
      </c>
      <c r="AV175" s="276">
        <f t="shared" si="76"/>
        <v>0</v>
      </c>
      <c r="AW175" s="215"/>
      <c r="AX175" s="217"/>
      <c r="AY175" s="217"/>
      <c r="AZ175" s="217"/>
      <c r="BA175" s="217"/>
      <c r="BB175" s="217"/>
      <c r="BC175" s="217"/>
      <c r="BD175" s="217"/>
      <c r="BE175" s="217"/>
      <c r="BF175" s="218"/>
    </row>
    <row r="176" spans="1:58" s="520" customFormat="1" ht="15">
      <c r="B176" s="307"/>
      <c r="C176" s="824">
        <f t="shared" si="77"/>
        <v>12</v>
      </c>
      <c r="D176" s="173"/>
      <c r="E176" s="77"/>
      <c r="F176" s="316"/>
      <c r="G176" s="37" t="s">
        <v>117</v>
      </c>
      <c r="H176" s="68"/>
      <c r="I176" s="316">
        <f t="shared" si="60"/>
        <v>0</v>
      </c>
      <c r="J176" s="30"/>
      <c r="K176" s="824">
        <f t="shared" si="61"/>
        <v>0</v>
      </c>
      <c r="L176" s="895">
        <f t="shared" si="62"/>
        <v>0</v>
      </c>
      <c r="M176" s="316"/>
      <c r="N176" s="30"/>
      <c r="O176" s="895">
        <f t="shared" si="63"/>
        <v>0</v>
      </c>
      <c r="P176" s="324">
        <f t="shared" si="64"/>
        <v>0</v>
      </c>
      <c r="Q176" s="324">
        <f t="shared" si="65"/>
        <v>0</v>
      </c>
      <c r="R176" s="316">
        <f t="shared" si="81"/>
        <v>0</v>
      </c>
      <c r="S176" s="74"/>
      <c r="T176" s="42"/>
      <c r="U176" s="324">
        <f t="shared" si="78"/>
        <v>0</v>
      </c>
      <c r="V176" s="69">
        <f t="shared" si="66"/>
        <v>0</v>
      </c>
      <c r="W176" s="66">
        <v>1</v>
      </c>
      <c r="X176" s="71"/>
      <c r="Y176" s="67">
        <f t="shared" si="67"/>
        <v>0</v>
      </c>
      <c r="Z176" s="16" t="str">
        <f t="shared" si="79"/>
        <v>No Alert</v>
      </c>
      <c r="AA176" s="37" t="s">
        <v>125</v>
      </c>
      <c r="AB176" s="60"/>
      <c r="AC176" s="79" t="s">
        <v>349</v>
      </c>
      <c r="AD176" s="60"/>
      <c r="AE176" s="37" t="s">
        <v>125</v>
      </c>
      <c r="AF176" s="60"/>
      <c r="AG176" s="79" t="s">
        <v>349</v>
      </c>
      <c r="AH176" s="60"/>
      <c r="AI176" s="37" t="s">
        <v>125</v>
      </c>
      <c r="AJ176" s="60"/>
      <c r="AK176" s="40" t="s">
        <v>348</v>
      </c>
      <c r="AL176" s="60"/>
      <c r="AM176" s="63">
        <f t="shared" si="68"/>
        <v>6.2664411871606829</v>
      </c>
      <c r="AN176" s="63">
        <f t="shared" si="69"/>
        <v>6.2664411871606829</v>
      </c>
      <c r="AO176" s="63">
        <f t="shared" si="70"/>
        <v>400.15945742176939</v>
      </c>
      <c r="AP176" s="63">
        <f t="shared" si="71"/>
        <v>4.8064250364478198</v>
      </c>
      <c r="AQ176" s="351">
        <f t="shared" si="72"/>
        <v>0</v>
      </c>
      <c r="AR176" s="351">
        <f t="shared" si="73"/>
        <v>0</v>
      </c>
      <c r="AS176" s="351">
        <f t="shared" si="74"/>
        <v>0</v>
      </c>
      <c r="AT176" s="351">
        <f t="shared" si="75"/>
        <v>0</v>
      </c>
      <c r="AU176" s="351">
        <f t="shared" si="80"/>
        <v>0</v>
      </c>
      <c r="AV176" s="276">
        <f t="shared" si="76"/>
        <v>0</v>
      </c>
      <c r="AW176" s="215"/>
      <c r="AX176" s="217"/>
      <c r="AY176" s="217"/>
      <c r="AZ176" s="217"/>
      <c r="BA176" s="217"/>
      <c r="BB176" s="217"/>
      <c r="BC176" s="217"/>
      <c r="BD176" s="217"/>
      <c r="BE176" s="217"/>
      <c r="BF176" s="218"/>
    </row>
    <row r="177" spans="1:64" s="520" customFormat="1" ht="15">
      <c r="B177" s="307"/>
      <c r="C177" s="824">
        <f t="shared" si="77"/>
        <v>13</v>
      </c>
      <c r="D177" s="173"/>
      <c r="E177" s="77"/>
      <c r="F177" s="316"/>
      <c r="G177" s="37" t="s">
        <v>117</v>
      </c>
      <c r="H177" s="68"/>
      <c r="I177" s="316">
        <f t="shared" si="60"/>
        <v>0</v>
      </c>
      <c r="J177" s="30"/>
      <c r="K177" s="824">
        <f t="shared" si="61"/>
        <v>0</v>
      </c>
      <c r="L177" s="895">
        <f t="shared" si="62"/>
        <v>0</v>
      </c>
      <c r="M177" s="316"/>
      <c r="N177" s="30"/>
      <c r="O177" s="895">
        <f t="shared" si="63"/>
        <v>0</v>
      </c>
      <c r="P177" s="324">
        <f t="shared" si="64"/>
        <v>0</v>
      </c>
      <c r="Q177" s="324">
        <f t="shared" si="65"/>
        <v>0</v>
      </c>
      <c r="R177" s="316">
        <f t="shared" si="81"/>
        <v>0</v>
      </c>
      <c r="S177" s="74"/>
      <c r="T177" s="42"/>
      <c r="U177" s="324">
        <f t="shared" si="78"/>
        <v>0</v>
      </c>
      <c r="V177" s="69">
        <f t="shared" si="66"/>
        <v>0</v>
      </c>
      <c r="W177" s="66">
        <v>1</v>
      </c>
      <c r="X177" s="71"/>
      <c r="Y177" s="67">
        <f t="shared" si="67"/>
        <v>0</v>
      </c>
      <c r="Z177" s="16" t="str">
        <f t="shared" si="79"/>
        <v>No Alert</v>
      </c>
      <c r="AA177" s="37" t="s">
        <v>125</v>
      </c>
      <c r="AB177" s="60"/>
      <c r="AC177" s="79" t="s">
        <v>349</v>
      </c>
      <c r="AD177" s="60"/>
      <c r="AE177" s="37" t="s">
        <v>125</v>
      </c>
      <c r="AF177" s="60"/>
      <c r="AG177" s="79" t="s">
        <v>349</v>
      </c>
      <c r="AH177" s="60"/>
      <c r="AI177" s="37" t="s">
        <v>125</v>
      </c>
      <c r="AJ177" s="60"/>
      <c r="AK177" s="40" t="s">
        <v>348</v>
      </c>
      <c r="AL177" s="60"/>
      <c r="AM177" s="63">
        <f t="shared" si="68"/>
        <v>6.2664411871606829</v>
      </c>
      <c r="AN177" s="63">
        <f t="shared" si="69"/>
        <v>6.2664411871606829</v>
      </c>
      <c r="AO177" s="63">
        <f t="shared" si="70"/>
        <v>400.15945742176939</v>
      </c>
      <c r="AP177" s="63">
        <f t="shared" si="71"/>
        <v>4.8064250364478198</v>
      </c>
      <c r="AQ177" s="351">
        <f t="shared" si="72"/>
        <v>0</v>
      </c>
      <c r="AR177" s="351">
        <f t="shared" si="73"/>
        <v>0</v>
      </c>
      <c r="AS177" s="351">
        <f t="shared" si="74"/>
        <v>0</v>
      </c>
      <c r="AT177" s="351">
        <f t="shared" si="75"/>
        <v>0</v>
      </c>
      <c r="AU177" s="351">
        <f t="shared" si="80"/>
        <v>0</v>
      </c>
      <c r="AV177" s="276">
        <f t="shared" si="76"/>
        <v>0</v>
      </c>
      <c r="AW177" s="215"/>
      <c r="AX177" s="217"/>
      <c r="AY177" s="217"/>
      <c r="AZ177" s="217"/>
      <c r="BA177" s="217"/>
      <c r="BB177" s="217"/>
      <c r="BC177" s="217"/>
      <c r="BD177" s="217"/>
      <c r="BE177" s="217"/>
      <c r="BF177" s="218"/>
    </row>
    <row r="178" spans="1:64" s="520" customFormat="1" ht="15">
      <c r="B178" s="307"/>
      <c r="C178" s="824">
        <f t="shared" si="77"/>
        <v>14</v>
      </c>
      <c r="D178" s="173"/>
      <c r="E178" s="77"/>
      <c r="F178" s="316"/>
      <c r="G178" s="37" t="s">
        <v>117</v>
      </c>
      <c r="H178" s="68"/>
      <c r="I178" s="316">
        <f t="shared" si="60"/>
        <v>0</v>
      </c>
      <c r="J178" s="30"/>
      <c r="K178" s="824">
        <f t="shared" si="61"/>
        <v>0</v>
      </c>
      <c r="L178" s="895">
        <f t="shared" si="62"/>
        <v>0</v>
      </c>
      <c r="M178" s="316"/>
      <c r="N178" s="30"/>
      <c r="O178" s="895">
        <f t="shared" si="63"/>
        <v>0</v>
      </c>
      <c r="P178" s="324">
        <f t="shared" si="64"/>
        <v>0</v>
      </c>
      <c r="Q178" s="324">
        <f t="shared" si="65"/>
        <v>0</v>
      </c>
      <c r="R178" s="316">
        <f t="shared" si="81"/>
        <v>0</v>
      </c>
      <c r="S178" s="74"/>
      <c r="T178" s="42"/>
      <c r="U178" s="324">
        <f t="shared" si="78"/>
        <v>0</v>
      </c>
      <c r="V178" s="69">
        <f t="shared" si="66"/>
        <v>0</v>
      </c>
      <c r="W178" s="66">
        <v>1</v>
      </c>
      <c r="X178" s="71"/>
      <c r="Y178" s="67">
        <f t="shared" si="67"/>
        <v>0</v>
      </c>
      <c r="Z178" s="16" t="str">
        <f t="shared" si="79"/>
        <v>No Alert</v>
      </c>
      <c r="AA178" s="37" t="s">
        <v>125</v>
      </c>
      <c r="AB178" s="60"/>
      <c r="AC178" s="79" t="s">
        <v>349</v>
      </c>
      <c r="AD178" s="60"/>
      <c r="AE178" s="37" t="s">
        <v>125</v>
      </c>
      <c r="AF178" s="60"/>
      <c r="AG178" s="79" t="s">
        <v>349</v>
      </c>
      <c r="AH178" s="60"/>
      <c r="AI178" s="37" t="s">
        <v>125</v>
      </c>
      <c r="AJ178" s="60"/>
      <c r="AK178" s="40" t="s">
        <v>348</v>
      </c>
      <c r="AL178" s="60"/>
      <c r="AM178" s="63">
        <f t="shared" si="68"/>
        <v>6.2664411871606829</v>
      </c>
      <c r="AN178" s="63">
        <f t="shared" si="69"/>
        <v>6.2664411871606829</v>
      </c>
      <c r="AO178" s="63">
        <f t="shared" si="70"/>
        <v>400.15945742176939</v>
      </c>
      <c r="AP178" s="63">
        <f t="shared" si="71"/>
        <v>4.8064250364478198</v>
      </c>
      <c r="AQ178" s="351">
        <f t="shared" si="72"/>
        <v>0</v>
      </c>
      <c r="AR178" s="351">
        <f t="shared" si="73"/>
        <v>0</v>
      </c>
      <c r="AS178" s="351">
        <f t="shared" si="74"/>
        <v>0</v>
      </c>
      <c r="AT178" s="351">
        <f t="shared" si="75"/>
        <v>0</v>
      </c>
      <c r="AU178" s="351">
        <f t="shared" si="80"/>
        <v>0</v>
      </c>
      <c r="AV178" s="276">
        <f t="shared" si="76"/>
        <v>0</v>
      </c>
      <c r="AW178" s="215"/>
      <c r="AX178" s="217"/>
      <c r="AY178" s="217"/>
      <c r="AZ178" s="217"/>
      <c r="BA178" s="217"/>
      <c r="BB178" s="217"/>
      <c r="BC178" s="217"/>
      <c r="BD178" s="217"/>
      <c r="BE178" s="217"/>
      <c r="BF178" s="218"/>
    </row>
    <row r="179" spans="1:64" s="520" customFormat="1" ht="15">
      <c r="B179" s="307"/>
      <c r="C179" s="824">
        <f t="shared" si="77"/>
        <v>15</v>
      </c>
      <c r="D179" s="173"/>
      <c r="E179" s="77"/>
      <c r="F179" s="316"/>
      <c r="G179" s="37" t="s">
        <v>117</v>
      </c>
      <c r="H179" s="68"/>
      <c r="I179" s="316">
        <f t="shared" si="60"/>
        <v>0</v>
      </c>
      <c r="J179" s="30"/>
      <c r="K179" s="824">
        <f t="shared" si="61"/>
        <v>0</v>
      </c>
      <c r="L179" s="895">
        <f t="shared" si="62"/>
        <v>0</v>
      </c>
      <c r="M179" s="316"/>
      <c r="N179" s="30"/>
      <c r="O179" s="895">
        <f t="shared" si="63"/>
        <v>0</v>
      </c>
      <c r="P179" s="324">
        <f t="shared" si="64"/>
        <v>0</v>
      </c>
      <c r="Q179" s="324">
        <f t="shared" si="65"/>
        <v>0</v>
      </c>
      <c r="R179" s="316">
        <f t="shared" si="81"/>
        <v>0</v>
      </c>
      <c r="S179" s="74"/>
      <c r="T179" s="42"/>
      <c r="U179" s="324">
        <f t="shared" si="78"/>
        <v>0</v>
      </c>
      <c r="V179" s="69">
        <f t="shared" si="66"/>
        <v>0</v>
      </c>
      <c r="W179" s="66">
        <v>1</v>
      </c>
      <c r="X179" s="71"/>
      <c r="Y179" s="67">
        <f t="shared" si="67"/>
        <v>0</v>
      </c>
      <c r="Z179" s="16" t="str">
        <f t="shared" si="79"/>
        <v>No Alert</v>
      </c>
      <c r="AA179" s="37" t="s">
        <v>125</v>
      </c>
      <c r="AB179" s="60"/>
      <c r="AC179" s="79" t="s">
        <v>349</v>
      </c>
      <c r="AD179" s="60"/>
      <c r="AE179" s="37" t="s">
        <v>125</v>
      </c>
      <c r="AF179" s="60"/>
      <c r="AG179" s="79" t="s">
        <v>349</v>
      </c>
      <c r="AH179" s="60"/>
      <c r="AI179" s="37" t="s">
        <v>125</v>
      </c>
      <c r="AJ179" s="60"/>
      <c r="AK179" s="40" t="s">
        <v>348</v>
      </c>
      <c r="AL179" s="60"/>
      <c r="AM179" s="63">
        <f t="shared" si="68"/>
        <v>6.2664411871606829</v>
      </c>
      <c r="AN179" s="63">
        <f t="shared" si="69"/>
        <v>6.2664411871606829</v>
      </c>
      <c r="AO179" s="63">
        <f t="shared" si="70"/>
        <v>400.15945742176939</v>
      </c>
      <c r="AP179" s="63">
        <f t="shared" si="71"/>
        <v>4.8064250364478198</v>
      </c>
      <c r="AQ179" s="351">
        <f t="shared" si="72"/>
        <v>0</v>
      </c>
      <c r="AR179" s="351">
        <f t="shared" si="73"/>
        <v>0</v>
      </c>
      <c r="AS179" s="351">
        <f t="shared" si="74"/>
        <v>0</v>
      </c>
      <c r="AT179" s="351">
        <f t="shared" si="75"/>
        <v>0</v>
      </c>
      <c r="AU179" s="351">
        <f t="shared" si="80"/>
        <v>0</v>
      </c>
      <c r="AV179" s="276">
        <f t="shared" si="76"/>
        <v>0</v>
      </c>
      <c r="AW179" s="215"/>
      <c r="AX179" s="217"/>
      <c r="AY179" s="217"/>
      <c r="AZ179" s="217"/>
      <c r="BA179" s="217"/>
      <c r="BB179" s="217"/>
      <c r="BC179" s="217"/>
      <c r="BD179" s="217"/>
      <c r="BE179" s="217"/>
      <c r="BF179" s="218"/>
    </row>
    <row r="180" spans="1:64" s="520" customFormat="1" ht="15">
      <c r="B180" s="307"/>
      <c r="C180" s="824">
        <f t="shared" si="77"/>
        <v>16</v>
      </c>
      <c r="D180" s="173"/>
      <c r="E180" s="77"/>
      <c r="F180" s="316"/>
      <c r="G180" s="37" t="s">
        <v>117</v>
      </c>
      <c r="H180" s="68"/>
      <c r="I180" s="316">
        <f t="shared" si="60"/>
        <v>0</v>
      </c>
      <c r="J180" s="30"/>
      <c r="K180" s="824">
        <f t="shared" si="61"/>
        <v>0</v>
      </c>
      <c r="L180" s="895">
        <f t="shared" si="62"/>
        <v>0</v>
      </c>
      <c r="M180" s="316"/>
      <c r="N180" s="30"/>
      <c r="O180" s="895">
        <f t="shared" si="63"/>
        <v>0</v>
      </c>
      <c r="P180" s="324">
        <f t="shared" si="64"/>
        <v>0</v>
      </c>
      <c r="Q180" s="324">
        <f t="shared" si="65"/>
        <v>0</v>
      </c>
      <c r="R180" s="316">
        <f t="shared" si="81"/>
        <v>0</v>
      </c>
      <c r="S180" s="74"/>
      <c r="T180" s="42"/>
      <c r="U180" s="324">
        <f t="shared" si="78"/>
        <v>0</v>
      </c>
      <c r="V180" s="69">
        <f t="shared" si="66"/>
        <v>0</v>
      </c>
      <c r="W180" s="66">
        <v>1</v>
      </c>
      <c r="X180" s="71"/>
      <c r="Y180" s="67">
        <f t="shared" si="67"/>
        <v>0</v>
      </c>
      <c r="Z180" s="16" t="str">
        <f t="shared" si="79"/>
        <v>No Alert</v>
      </c>
      <c r="AA180" s="37" t="s">
        <v>125</v>
      </c>
      <c r="AB180" s="60"/>
      <c r="AC180" s="79" t="s">
        <v>349</v>
      </c>
      <c r="AD180" s="60"/>
      <c r="AE180" s="37" t="s">
        <v>125</v>
      </c>
      <c r="AF180" s="60"/>
      <c r="AG180" s="79" t="s">
        <v>349</v>
      </c>
      <c r="AH180" s="60"/>
      <c r="AI180" s="37" t="s">
        <v>125</v>
      </c>
      <c r="AJ180" s="60"/>
      <c r="AK180" s="40" t="s">
        <v>348</v>
      </c>
      <c r="AL180" s="60"/>
      <c r="AM180" s="63">
        <f t="shared" si="68"/>
        <v>6.2664411871606829</v>
      </c>
      <c r="AN180" s="63">
        <f t="shared" si="69"/>
        <v>6.2664411871606829</v>
      </c>
      <c r="AO180" s="63">
        <f t="shared" si="70"/>
        <v>400.15945742176939</v>
      </c>
      <c r="AP180" s="63">
        <f t="shared" si="71"/>
        <v>4.8064250364478198</v>
      </c>
      <c r="AQ180" s="351">
        <f t="shared" si="72"/>
        <v>0</v>
      </c>
      <c r="AR180" s="351">
        <f t="shared" si="73"/>
        <v>0</v>
      </c>
      <c r="AS180" s="351">
        <f t="shared" si="74"/>
        <v>0</v>
      </c>
      <c r="AT180" s="351">
        <f t="shared" si="75"/>
        <v>0</v>
      </c>
      <c r="AU180" s="351">
        <f t="shared" si="80"/>
        <v>0</v>
      </c>
      <c r="AV180" s="276">
        <f t="shared" si="76"/>
        <v>0</v>
      </c>
      <c r="AW180" s="215"/>
      <c r="AX180" s="217"/>
      <c r="AY180" s="217"/>
      <c r="AZ180" s="217"/>
      <c r="BA180" s="217"/>
      <c r="BB180" s="217"/>
      <c r="BC180" s="217"/>
      <c r="BD180" s="217"/>
      <c r="BE180" s="217"/>
      <c r="BF180" s="218"/>
    </row>
    <row r="181" spans="1:64" s="520" customFormat="1" ht="15">
      <c r="B181" s="307"/>
      <c r="C181" s="824">
        <f t="shared" si="77"/>
        <v>17</v>
      </c>
      <c r="D181" s="173"/>
      <c r="E181" s="77"/>
      <c r="F181" s="316"/>
      <c r="G181" s="37" t="s">
        <v>117</v>
      </c>
      <c r="H181" s="68"/>
      <c r="I181" s="316">
        <f t="shared" si="60"/>
        <v>0</v>
      </c>
      <c r="J181" s="30"/>
      <c r="K181" s="824">
        <f t="shared" si="61"/>
        <v>0</v>
      </c>
      <c r="L181" s="895">
        <f t="shared" si="62"/>
        <v>0</v>
      </c>
      <c r="M181" s="316"/>
      <c r="N181" s="30"/>
      <c r="O181" s="895">
        <f t="shared" si="63"/>
        <v>0</v>
      </c>
      <c r="P181" s="324">
        <f t="shared" si="64"/>
        <v>0</v>
      </c>
      <c r="Q181" s="324">
        <f t="shared" si="65"/>
        <v>0</v>
      </c>
      <c r="R181" s="316">
        <f t="shared" si="81"/>
        <v>0</v>
      </c>
      <c r="S181" s="74"/>
      <c r="T181" s="42"/>
      <c r="U181" s="324">
        <f t="shared" si="78"/>
        <v>0</v>
      </c>
      <c r="V181" s="69">
        <f t="shared" si="66"/>
        <v>0</v>
      </c>
      <c r="W181" s="66">
        <v>1</v>
      </c>
      <c r="X181" s="71"/>
      <c r="Y181" s="67">
        <f t="shared" si="67"/>
        <v>0</v>
      </c>
      <c r="Z181" s="16" t="str">
        <f t="shared" si="79"/>
        <v>No Alert</v>
      </c>
      <c r="AA181" s="37" t="s">
        <v>125</v>
      </c>
      <c r="AB181" s="60"/>
      <c r="AC181" s="79" t="s">
        <v>349</v>
      </c>
      <c r="AD181" s="60"/>
      <c r="AE181" s="37" t="s">
        <v>125</v>
      </c>
      <c r="AF181" s="60"/>
      <c r="AG181" s="79" t="s">
        <v>349</v>
      </c>
      <c r="AH181" s="60"/>
      <c r="AI181" s="37" t="s">
        <v>125</v>
      </c>
      <c r="AJ181" s="60"/>
      <c r="AK181" s="40" t="s">
        <v>348</v>
      </c>
      <c r="AL181" s="60"/>
      <c r="AM181" s="63">
        <f t="shared" si="68"/>
        <v>6.2664411871606829</v>
      </c>
      <c r="AN181" s="63">
        <f t="shared" si="69"/>
        <v>6.2664411871606829</v>
      </c>
      <c r="AO181" s="63">
        <f t="shared" si="70"/>
        <v>400.15945742176939</v>
      </c>
      <c r="AP181" s="63">
        <f t="shared" si="71"/>
        <v>4.8064250364478198</v>
      </c>
      <c r="AQ181" s="351">
        <f t="shared" si="72"/>
        <v>0</v>
      </c>
      <c r="AR181" s="351">
        <f t="shared" si="73"/>
        <v>0</v>
      </c>
      <c r="AS181" s="351">
        <f t="shared" si="74"/>
        <v>0</v>
      </c>
      <c r="AT181" s="351">
        <f t="shared" si="75"/>
        <v>0</v>
      </c>
      <c r="AU181" s="351">
        <f t="shared" si="80"/>
        <v>0</v>
      </c>
      <c r="AV181" s="276">
        <f t="shared" si="76"/>
        <v>0</v>
      </c>
      <c r="AW181" s="215"/>
      <c r="AX181" s="217"/>
      <c r="AY181" s="217"/>
      <c r="AZ181" s="217"/>
      <c r="BA181" s="217"/>
      <c r="BB181" s="217"/>
      <c r="BC181" s="217"/>
      <c r="BD181" s="217"/>
      <c r="BE181" s="217"/>
      <c r="BF181" s="218"/>
    </row>
    <row r="182" spans="1:64" s="520" customFormat="1" ht="15">
      <c r="B182" s="307"/>
      <c r="C182" s="824">
        <f t="shared" si="77"/>
        <v>18</v>
      </c>
      <c r="D182" s="173"/>
      <c r="E182" s="77"/>
      <c r="F182" s="316"/>
      <c r="G182" s="37" t="s">
        <v>117</v>
      </c>
      <c r="H182" s="68"/>
      <c r="I182" s="316">
        <f t="shared" si="60"/>
        <v>0</v>
      </c>
      <c r="J182" s="30"/>
      <c r="K182" s="824">
        <f t="shared" si="61"/>
        <v>0</v>
      </c>
      <c r="L182" s="895">
        <f t="shared" si="62"/>
        <v>0</v>
      </c>
      <c r="M182" s="316"/>
      <c r="N182" s="30"/>
      <c r="O182" s="895">
        <f t="shared" si="63"/>
        <v>0</v>
      </c>
      <c r="P182" s="324">
        <f t="shared" si="64"/>
        <v>0</v>
      </c>
      <c r="Q182" s="324">
        <f t="shared" si="65"/>
        <v>0</v>
      </c>
      <c r="R182" s="316">
        <f t="shared" si="81"/>
        <v>0</v>
      </c>
      <c r="S182" s="74"/>
      <c r="T182" s="42"/>
      <c r="U182" s="324">
        <f t="shared" si="78"/>
        <v>0</v>
      </c>
      <c r="V182" s="69">
        <f t="shared" si="66"/>
        <v>0</v>
      </c>
      <c r="W182" s="66">
        <v>1</v>
      </c>
      <c r="X182" s="71"/>
      <c r="Y182" s="67">
        <f t="shared" si="67"/>
        <v>0</v>
      </c>
      <c r="Z182" s="16" t="str">
        <f t="shared" si="79"/>
        <v>No Alert</v>
      </c>
      <c r="AA182" s="37" t="s">
        <v>125</v>
      </c>
      <c r="AB182" s="60"/>
      <c r="AC182" s="79" t="s">
        <v>349</v>
      </c>
      <c r="AD182" s="60"/>
      <c r="AE182" s="37" t="s">
        <v>125</v>
      </c>
      <c r="AF182" s="60"/>
      <c r="AG182" s="79" t="s">
        <v>349</v>
      </c>
      <c r="AH182" s="60"/>
      <c r="AI182" s="37" t="s">
        <v>125</v>
      </c>
      <c r="AJ182" s="60"/>
      <c r="AK182" s="40" t="s">
        <v>348</v>
      </c>
      <c r="AL182" s="60"/>
      <c r="AM182" s="63">
        <f t="shared" si="68"/>
        <v>6.2664411871606829</v>
      </c>
      <c r="AN182" s="63">
        <f t="shared" si="69"/>
        <v>6.2664411871606829</v>
      </c>
      <c r="AO182" s="63">
        <f t="shared" si="70"/>
        <v>400.15945742176939</v>
      </c>
      <c r="AP182" s="63">
        <f t="shared" si="71"/>
        <v>4.8064250364478198</v>
      </c>
      <c r="AQ182" s="351">
        <f t="shared" si="72"/>
        <v>0</v>
      </c>
      <c r="AR182" s="351">
        <f t="shared" si="73"/>
        <v>0</v>
      </c>
      <c r="AS182" s="351">
        <f t="shared" si="74"/>
        <v>0</v>
      </c>
      <c r="AT182" s="351">
        <f t="shared" si="75"/>
        <v>0</v>
      </c>
      <c r="AU182" s="351">
        <f t="shared" si="80"/>
        <v>0</v>
      </c>
      <c r="AV182" s="276">
        <f t="shared" si="76"/>
        <v>0</v>
      </c>
      <c r="AW182" s="215"/>
      <c r="AX182" s="217"/>
      <c r="AY182" s="217"/>
      <c r="AZ182" s="217"/>
      <c r="BA182" s="217"/>
      <c r="BB182" s="217"/>
      <c r="BC182" s="217"/>
      <c r="BD182" s="217"/>
      <c r="BE182" s="217"/>
      <c r="BF182" s="218"/>
    </row>
    <row r="183" spans="1:64" s="520" customFormat="1" ht="15">
      <c r="B183" s="307"/>
      <c r="C183" s="824">
        <f t="shared" si="77"/>
        <v>19</v>
      </c>
      <c r="D183" s="173"/>
      <c r="E183" s="77"/>
      <c r="F183" s="316"/>
      <c r="G183" s="37" t="s">
        <v>117</v>
      </c>
      <c r="H183" s="68"/>
      <c r="I183" s="316">
        <f t="shared" si="60"/>
        <v>0</v>
      </c>
      <c r="J183" s="30"/>
      <c r="K183" s="824">
        <f t="shared" si="61"/>
        <v>0</v>
      </c>
      <c r="L183" s="895">
        <f t="shared" si="62"/>
        <v>0</v>
      </c>
      <c r="M183" s="316"/>
      <c r="N183" s="30"/>
      <c r="O183" s="895">
        <f t="shared" si="63"/>
        <v>0</v>
      </c>
      <c r="P183" s="324">
        <f t="shared" si="64"/>
        <v>0</v>
      </c>
      <c r="Q183" s="324">
        <f t="shared" si="65"/>
        <v>0</v>
      </c>
      <c r="R183" s="316">
        <f t="shared" si="81"/>
        <v>0</v>
      </c>
      <c r="S183" s="74"/>
      <c r="T183" s="42"/>
      <c r="U183" s="324">
        <f t="shared" si="78"/>
        <v>0</v>
      </c>
      <c r="V183" s="69">
        <f t="shared" si="66"/>
        <v>0</v>
      </c>
      <c r="W183" s="66">
        <v>1</v>
      </c>
      <c r="X183" s="71"/>
      <c r="Y183" s="67">
        <f t="shared" si="67"/>
        <v>0</v>
      </c>
      <c r="Z183" s="16" t="str">
        <f t="shared" si="79"/>
        <v>No Alert</v>
      </c>
      <c r="AA183" s="37" t="s">
        <v>125</v>
      </c>
      <c r="AB183" s="60"/>
      <c r="AC183" s="79" t="s">
        <v>349</v>
      </c>
      <c r="AD183" s="60"/>
      <c r="AE183" s="37" t="s">
        <v>125</v>
      </c>
      <c r="AF183" s="60"/>
      <c r="AG183" s="79" t="s">
        <v>349</v>
      </c>
      <c r="AH183" s="60"/>
      <c r="AI183" s="37" t="s">
        <v>125</v>
      </c>
      <c r="AJ183" s="60"/>
      <c r="AK183" s="40" t="s">
        <v>348</v>
      </c>
      <c r="AL183" s="60"/>
      <c r="AM183" s="63">
        <f t="shared" si="68"/>
        <v>6.2664411871606829</v>
      </c>
      <c r="AN183" s="63">
        <f t="shared" si="69"/>
        <v>6.2664411871606829</v>
      </c>
      <c r="AO183" s="63">
        <f t="shared" si="70"/>
        <v>400.15945742176939</v>
      </c>
      <c r="AP183" s="63">
        <f t="shared" si="71"/>
        <v>4.8064250364478198</v>
      </c>
      <c r="AQ183" s="351">
        <f t="shared" si="72"/>
        <v>0</v>
      </c>
      <c r="AR183" s="351">
        <f t="shared" si="73"/>
        <v>0</v>
      </c>
      <c r="AS183" s="351">
        <f t="shared" si="74"/>
        <v>0</v>
      </c>
      <c r="AT183" s="351">
        <f t="shared" si="75"/>
        <v>0</v>
      </c>
      <c r="AU183" s="351">
        <f t="shared" si="80"/>
        <v>0</v>
      </c>
      <c r="AV183" s="276">
        <f t="shared" si="76"/>
        <v>0</v>
      </c>
      <c r="AW183" s="215"/>
      <c r="AX183" s="217"/>
      <c r="AY183" s="217"/>
      <c r="AZ183" s="217"/>
      <c r="BA183" s="217"/>
      <c r="BB183" s="217"/>
      <c r="BC183" s="217"/>
      <c r="BD183" s="217"/>
      <c r="BE183" s="217"/>
      <c r="BF183" s="218"/>
    </row>
    <row r="184" spans="1:64" s="520" customFormat="1" ht="15">
      <c r="B184" s="307"/>
      <c r="C184" s="824">
        <f t="shared" si="77"/>
        <v>20</v>
      </c>
      <c r="D184" s="173"/>
      <c r="E184" s="77"/>
      <c r="F184" s="316"/>
      <c r="G184" s="37" t="s">
        <v>117</v>
      </c>
      <c r="H184" s="68"/>
      <c r="I184" s="316">
        <f t="shared" si="60"/>
        <v>0</v>
      </c>
      <c r="J184" s="30"/>
      <c r="K184" s="824">
        <f t="shared" si="61"/>
        <v>0</v>
      </c>
      <c r="L184" s="895">
        <f t="shared" si="62"/>
        <v>0</v>
      </c>
      <c r="M184" s="316"/>
      <c r="N184" s="30"/>
      <c r="O184" s="895">
        <f t="shared" si="63"/>
        <v>0</v>
      </c>
      <c r="P184" s="324">
        <f t="shared" si="64"/>
        <v>0</v>
      </c>
      <c r="Q184" s="324">
        <f t="shared" si="65"/>
        <v>0</v>
      </c>
      <c r="R184" s="316">
        <f t="shared" si="81"/>
        <v>0</v>
      </c>
      <c r="S184" s="74"/>
      <c r="T184" s="42"/>
      <c r="U184" s="324">
        <f t="shared" si="78"/>
        <v>0</v>
      </c>
      <c r="V184" s="69">
        <f t="shared" si="66"/>
        <v>0</v>
      </c>
      <c r="W184" s="66">
        <v>1</v>
      </c>
      <c r="X184" s="71"/>
      <c r="Y184" s="67">
        <f t="shared" si="67"/>
        <v>0</v>
      </c>
      <c r="Z184" s="16" t="str">
        <f t="shared" si="79"/>
        <v>No Alert</v>
      </c>
      <c r="AA184" s="37" t="s">
        <v>125</v>
      </c>
      <c r="AB184" s="60"/>
      <c r="AC184" s="79" t="s">
        <v>349</v>
      </c>
      <c r="AD184" s="60"/>
      <c r="AE184" s="37" t="s">
        <v>125</v>
      </c>
      <c r="AF184" s="60"/>
      <c r="AG184" s="79" t="s">
        <v>349</v>
      </c>
      <c r="AH184" s="60"/>
      <c r="AI184" s="37" t="s">
        <v>125</v>
      </c>
      <c r="AJ184" s="60"/>
      <c r="AK184" s="40" t="s">
        <v>348</v>
      </c>
      <c r="AL184" s="60"/>
      <c r="AM184" s="63">
        <f t="shared" si="68"/>
        <v>6.2664411871606829</v>
      </c>
      <c r="AN184" s="63">
        <f t="shared" si="69"/>
        <v>6.2664411871606829</v>
      </c>
      <c r="AO184" s="63">
        <f t="shared" si="70"/>
        <v>400.15945742176939</v>
      </c>
      <c r="AP184" s="63">
        <f t="shared" si="71"/>
        <v>4.8064250364478198</v>
      </c>
      <c r="AQ184" s="351">
        <f t="shared" si="72"/>
        <v>0</v>
      </c>
      <c r="AR184" s="351">
        <f t="shared" si="73"/>
        <v>0</v>
      </c>
      <c r="AS184" s="351">
        <f t="shared" si="74"/>
        <v>0</v>
      </c>
      <c r="AT184" s="351">
        <f t="shared" si="75"/>
        <v>0</v>
      </c>
      <c r="AU184" s="351">
        <f t="shared" si="80"/>
        <v>0</v>
      </c>
      <c r="AV184" s="276">
        <f t="shared" si="76"/>
        <v>0</v>
      </c>
      <c r="AW184" s="215"/>
      <c r="AX184" s="217"/>
      <c r="AY184" s="217"/>
      <c r="AZ184" s="217"/>
      <c r="BA184" s="217"/>
      <c r="BB184" s="217"/>
      <c r="BC184" s="217"/>
      <c r="BD184" s="217"/>
      <c r="BE184" s="217"/>
      <c r="BF184" s="218"/>
    </row>
    <row r="185" spans="1:64" s="520" customFormat="1" ht="18" customHeight="1">
      <c r="C185" s="789"/>
      <c r="D185" s="789"/>
      <c r="E185" s="873"/>
      <c r="F185" s="868"/>
      <c r="G185" s="736"/>
      <c r="H185" s="768"/>
      <c r="I185" s="868"/>
      <c r="J185" s="768"/>
      <c r="K185" s="768"/>
      <c r="L185" s="868"/>
      <c r="M185" s="323"/>
      <c r="N185" s="55"/>
      <c r="O185" s="868"/>
      <c r="P185" s="323"/>
      <c r="Q185" s="323"/>
      <c r="R185" s="869"/>
      <c r="S185" s="768"/>
      <c r="T185" s="869"/>
      <c r="U185" s="869"/>
      <c r="V185" s="57"/>
      <c r="X185" s="896"/>
      <c r="Y185" s="896"/>
      <c r="Z185" s="896"/>
      <c r="AA185" s="736"/>
      <c r="AB185" s="736"/>
      <c r="AC185" s="736"/>
      <c r="AD185" s="736"/>
      <c r="AE185" s="768"/>
      <c r="AF185" s="736"/>
      <c r="AG185" s="736"/>
      <c r="AH185" s="736"/>
      <c r="AM185" s="54"/>
      <c r="AN185" s="54"/>
      <c r="AO185" s="56"/>
      <c r="AQ185" s="54"/>
      <c r="AR185" s="23"/>
      <c r="AT185" s="897"/>
      <c r="AU185" s="23"/>
      <c r="AV185" s="109"/>
    </row>
    <row r="186" spans="1:64" s="520" customFormat="1" ht="18" customHeight="1">
      <c r="A186" s="793"/>
      <c r="B186" s="793"/>
      <c r="E186" s="768"/>
      <c r="F186" s="372">
        <f>SUM(F164:F185)</f>
        <v>0</v>
      </c>
      <c r="G186" s="790" t="s">
        <v>24</v>
      </c>
      <c r="H186" s="734"/>
      <c r="I186" s="372">
        <f>SUM(I164:I185)</f>
        <v>0</v>
      </c>
      <c r="J186" s="790" t="s">
        <v>24</v>
      </c>
      <c r="K186" s="734"/>
      <c r="L186" s="372">
        <f>SUM(L164:L185)</f>
        <v>0</v>
      </c>
      <c r="M186" s="372">
        <f>SUM(M164:M185)</f>
        <v>0</v>
      </c>
      <c r="N186" s="55"/>
      <c r="O186" s="372">
        <f>SUM(O164:O185)</f>
        <v>0</v>
      </c>
      <c r="P186" s="372">
        <f>SUM(P164:P185)</f>
        <v>0</v>
      </c>
      <c r="Q186" s="372">
        <f>SUM(Q164:Q185)</f>
        <v>0</v>
      </c>
      <c r="R186" s="372">
        <f>SUM(R164:R185)</f>
        <v>0</v>
      </c>
      <c r="S186" s="768"/>
      <c r="T186" s="372">
        <f>SUM(T164:T185)</f>
        <v>0</v>
      </c>
      <c r="U186" s="372">
        <f>SUM(U164:U185)</f>
        <v>0</v>
      </c>
      <c r="V186" s="898"/>
      <c r="X186" s="734"/>
      <c r="Y186" s="734"/>
      <c r="Z186" s="734"/>
      <c r="AA186" s="734"/>
      <c r="AB186" s="61"/>
      <c r="AC186" s="734"/>
      <c r="AD186" s="61"/>
      <c r="AE186" s="899"/>
      <c r="AF186" s="734"/>
      <c r="AG186" s="734"/>
      <c r="AH186" s="61"/>
      <c r="AM186" s="734"/>
      <c r="AN186" s="734"/>
      <c r="AO186" s="734"/>
      <c r="AQ186" s="351">
        <f t="shared" ref="AQ186:AU186" si="82">SUM(AQ164:AQ185)</f>
        <v>0</v>
      </c>
      <c r="AR186" s="351">
        <f t="shared" si="82"/>
        <v>0</v>
      </c>
      <c r="AS186" s="351">
        <f t="shared" si="82"/>
        <v>0</v>
      </c>
      <c r="AT186" s="351">
        <f t="shared" si="82"/>
        <v>0</v>
      </c>
      <c r="AU186" s="351">
        <f t="shared" si="82"/>
        <v>0</v>
      </c>
      <c r="AV186" s="106">
        <f>SUM(AV164:AV185)</f>
        <v>0</v>
      </c>
      <c r="AW186" s="882">
        <f>IF(F186=0,0,AV186/F186)</f>
        <v>0</v>
      </c>
      <c r="AX186" s="520" t="s">
        <v>1648</v>
      </c>
    </row>
    <row r="187" spans="1:64" s="520" customFormat="1" ht="18" customHeight="1">
      <c r="A187" s="793"/>
      <c r="B187" s="793"/>
      <c r="E187" s="768"/>
      <c r="F187" s="768"/>
      <c r="G187" s="768"/>
      <c r="H187" s="768"/>
      <c r="I187" s="768"/>
      <c r="J187" s="768"/>
      <c r="K187" s="768"/>
      <c r="L187" s="768"/>
      <c r="M187" s="768"/>
      <c r="N187" s="768"/>
      <c r="O187" s="768"/>
      <c r="P187" s="768"/>
      <c r="Q187" s="768"/>
      <c r="R187" s="768"/>
      <c r="S187" s="768"/>
      <c r="T187" s="768"/>
      <c r="U187" s="768"/>
      <c r="V187" s="768"/>
      <c r="W187" s="768"/>
      <c r="X187" s="768"/>
      <c r="Y187" s="768"/>
      <c r="Z187" s="768"/>
      <c r="AA187" s="768"/>
      <c r="AB187" s="768"/>
      <c r="AC187" s="768"/>
      <c r="AD187" s="768"/>
      <c r="AE187" s="768"/>
      <c r="AF187" s="768"/>
      <c r="AG187" s="768"/>
      <c r="AH187" s="768"/>
      <c r="AI187" s="768"/>
      <c r="AJ187" s="768"/>
      <c r="AK187" s="768"/>
      <c r="AL187" s="768"/>
      <c r="AM187" s="768"/>
      <c r="AN187" s="768"/>
      <c r="AO187" s="768"/>
      <c r="AP187" s="768"/>
      <c r="AQ187" s="768"/>
      <c r="AR187" s="768"/>
      <c r="AS187" s="768"/>
      <c r="AT187" s="768"/>
      <c r="AU187" s="768"/>
      <c r="AV187" s="768"/>
      <c r="AY187" s="768"/>
      <c r="AZ187" s="768"/>
      <c r="BA187" s="768"/>
      <c r="BB187" s="768"/>
    </row>
    <row r="188" spans="1:64" s="495" customFormat="1" ht="15" customHeight="1">
      <c r="A188" s="748"/>
      <c r="B188" s="886"/>
      <c r="C188" s="887"/>
      <c r="D188" s="520"/>
      <c r="E188" s="844"/>
      <c r="F188" s="768"/>
      <c r="G188" s="768"/>
      <c r="H188" s="768"/>
      <c r="I188" s="768"/>
      <c r="J188" s="768"/>
      <c r="K188" s="768"/>
      <c r="L188" s="768"/>
      <c r="M188" s="768"/>
      <c r="N188" s="768"/>
      <c r="O188" s="887"/>
      <c r="P188" s="887"/>
      <c r="Q188" s="887"/>
      <c r="R188" s="887"/>
      <c r="S188" s="887"/>
      <c r="T188" s="887"/>
      <c r="U188" s="887"/>
      <c r="V188" s="887"/>
      <c r="AA188" s="888"/>
      <c r="AB188" s="888"/>
      <c r="AC188" s="888"/>
      <c r="BK188" s="520"/>
      <c r="BL188" s="520"/>
    </row>
    <row r="189" spans="1:64" s="495" customFormat="1" ht="15" customHeight="1">
      <c r="A189" s="748"/>
      <c r="B189" s="886"/>
      <c r="C189" s="887"/>
      <c r="D189" s="520"/>
      <c r="E189" s="887"/>
      <c r="F189" s="768"/>
      <c r="G189" s="768"/>
      <c r="H189" s="887"/>
      <c r="I189" s="887"/>
      <c r="J189" s="768"/>
      <c r="K189" s="768"/>
      <c r="L189" s="889"/>
      <c r="M189" s="34"/>
      <c r="N189" s="768"/>
      <c r="O189" s="887"/>
      <c r="P189" s="887"/>
      <c r="Q189" s="887"/>
      <c r="R189" s="887"/>
      <c r="S189" s="887"/>
      <c r="T189" s="887"/>
      <c r="U189" s="887"/>
      <c r="V189" s="887"/>
      <c r="AA189" s="888"/>
      <c r="AB189" s="888"/>
      <c r="AC189" s="888"/>
      <c r="BK189" s="520"/>
      <c r="BL189" s="520"/>
    </row>
    <row r="190" spans="1:64" s="520" customFormat="1" ht="18" customHeight="1">
      <c r="A190" s="748"/>
      <c r="B190" s="287" t="s">
        <v>26</v>
      </c>
      <c r="C190" s="820" t="s">
        <v>1679</v>
      </c>
      <c r="D190" s="816"/>
      <c r="F190" s="793"/>
      <c r="G190" s="768"/>
      <c r="H190" s="768"/>
      <c r="I190" s="768"/>
      <c r="J190" s="768"/>
      <c r="K190" s="768"/>
      <c r="L190" s="768"/>
      <c r="M190" s="768"/>
      <c r="N190" s="768"/>
      <c r="O190" s="768"/>
      <c r="P190" s="768"/>
      <c r="Q190" s="768"/>
      <c r="R190" s="768"/>
      <c r="S190" s="768"/>
      <c r="T190" s="768"/>
      <c r="U190" s="768"/>
      <c r="V190" s="768"/>
      <c r="W190" s="768"/>
      <c r="X190" s="768"/>
      <c r="Y190" s="768"/>
      <c r="Z190" s="768"/>
      <c r="AA190" s="768"/>
      <c r="AB190" s="768"/>
      <c r="AC190" s="768"/>
      <c r="AD190" s="768"/>
      <c r="AE190" s="768"/>
    </row>
    <row r="191" spans="1:64" s="495" customFormat="1" ht="31.9" customHeight="1">
      <c r="A191" s="748"/>
      <c r="B191" s="774" t="s">
        <v>1517</v>
      </c>
      <c r="C191" s="774" t="s">
        <v>27</v>
      </c>
      <c r="D191" s="774"/>
      <c r="E191" s="812" t="s">
        <v>1590</v>
      </c>
      <c r="F191" s="822"/>
      <c r="G191" s="823"/>
      <c r="H191" s="773" t="s">
        <v>1658</v>
      </c>
      <c r="I191" s="773" t="s">
        <v>2</v>
      </c>
      <c r="J191" s="773" t="s">
        <v>1521</v>
      </c>
      <c r="K191" s="773" t="s">
        <v>1659</v>
      </c>
      <c r="L191" s="773" t="s">
        <v>1586</v>
      </c>
      <c r="M191" s="775" t="s">
        <v>32</v>
      </c>
      <c r="N191" s="776" t="s">
        <v>1526</v>
      </c>
      <c r="O191" s="777"/>
      <c r="P191" s="777"/>
      <c r="Q191" s="777"/>
      <c r="R191" s="777"/>
      <c r="S191" s="777"/>
      <c r="T191" s="777"/>
      <c r="U191" s="778"/>
      <c r="V191" s="793"/>
      <c r="W191" s="793"/>
      <c r="AI191" s="520"/>
      <c r="AJ191" s="520"/>
      <c r="BH191" s="520"/>
      <c r="BI191" s="520"/>
    </row>
    <row r="192" spans="1:64" s="520" customFormat="1" ht="18" customHeight="1">
      <c r="A192" s="748"/>
      <c r="B192" s="768"/>
      <c r="C192" s="768"/>
      <c r="D192" s="768"/>
      <c r="E192" s="768"/>
      <c r="F192" s="768"/>
      <c r="G192" s="768"/>
      <c r="H192" s="768"/>
      <c r="I192" s="768"/>
      <c r="J192" s="768"/>
      <c r="K192" s="768"/>
      <c r="L192" s="768"/>
      <c r="M192" s="768"/>
      <c r="N192" s="748"/>
      <c r="O192" s="474"/>
      <c r="P192" s="474"/>
      <c r="Q192" s="474"/>
      <c r="R192" s="474"/>
      <c r="S192" s="474"/>
      <c r="T192" s="474"/>
      <c r="U192" s="779"/>
      <c r="V192" s="768"/>
      <c r="W192" s="768"/>
      <c r="X192" s="768"/>
      <c r="Y192" s="768"/>
      <c r="Z192" s="768"/>
      <c r="AA192" s="768"/>
      <c r="AB192" s="768"/>
      <c r="AC192" s="768"/>
      <c r="AD192" s="768"/>
      <c r="AE192" s="768"/>
    </row>
    <row r="193" spans="1:64" s="520" customFormat="1">
      <c r="A193" s="748"/>
      <c r="B193" s="307"/>
      <c r="C193" s="824">
        <v>1</v>
      </c>
      <c r="D193" s="166"/>
      <c r="E193" s="780" t="str">
        <f>VLOOKUP($J193,TOV!$C$85:$G$217,TOV!$E$1,FALSE)</f>
        <v>Haul Road, Decompact, doze, Pasture</v>
      </c>
      <c r="F193" s="833"/>
      <c r="G193" s="834"/>
      <c r="H193" s="316"/>
      <c r="I193" s="827" t="str">
        <f>VLOOKUP($J193,TOV!$C$85:$G$217,TOV!$G$1,FALSE)</f>
        <v>ha</v>
      </c>
      <c r="J193" s="828" t="str">
        <f>TOV!C121</f>
        <v>#3.37</v>
      </c>
      <c r="K193" s="63">
        <f>VLOOKUP($J193,TOV!$C$85:$G$217,TOV!$F$1,FALSE)</f>
        <v>4600.7971856984341</v>
      </c>
      <c r="L193" s="296"/>
      <c r="M193" s="104">
        <f>IF(L193="",K193,L193)*H193</f>
        <v>0</v>
      </c>
      <c r="N193" s="215"/>
      <c r="O193" s="217"/>
      <c r="P193" s="217"/>
      <c r="Q193" s="217"/>
      <c r="R193" s="217"/>
      <c r="S193" s="217"/>
      <c r="T193" s="217"/>
      <c r="U193" s="218"/>
      <c r="V193" s="768"/>
      <c r="W193" s="768"/>
      <c r="X193" s="768"/>
      <c r="Y193" s="768"/>
      <c r="Z193" s="768"/>
      <c r="AA193" s="768"/>
      <c r="AB193" s="768"/>
      <c r="AC193" s="768"/>
      <c r="AD193" s="768"/>
      <c r="AE193" s="768"/>
    </row>
    <row r="194" spans="1:64" s="520" customFormat="1">
      <c r="A194" s="748"/>
      <c r="B194" s="307"/>
      <c r="C194" s="824">
        <f t="shared" ref="C194:C204" si="83">C193+1</f>
        <v>2</v>
      </c>
      <c r="D194" s="166"/>
      <c r="E194" s="780" t="str">
        <f>VLOOKUP($J194,TOV!$C$85:$G$217,TOV!$E$1,FALSE)</f>
        <v>Haul Road, Decompact, doze, shape, Native</v>
      </c>
      <c r="F194" s="833"/>
      <c r="G194" s="834"/>
      <c r="H194" s="316"/>
      <c r="I194" s="827" t="str">
        <f>VLOOKUP($J194,TOV!$C$85:$G$217,TOV!$G$1,FALSE)</f>
        <v>ha</v>
      </c>
      <c r="J194" s="828" t="str">
        <f>TOV!C122</f>
        <v>#3.38</v>
      </c>
      <c r="K194" s="63">
        <f>VLOOKUP($J194,TOV!$C$85:$G$217,TOV!$F$1,FALSE)</f>
        <v>7141.7971856984341</v>
      </c>
      <c r="L194" s="296"/>
      <c r="M194" s="104">
        <f t="shared" ref="M194:M201" si="84">IF(L194="",K194,L194)*H194</f>
        <v>0</v>
      </c>
      <c r="N194" s="215"/>
      <c r="O194" s="217"/>
      <c r="P194" s="217"/>
      <c r="Q194" s="217"/>
      <c r="R194" s="217"/>
      <c r="S194" s="217"/>
      <c r="T194" s="217"/>
      <c r="U194" s="218"/>
      <c r="V194" s="768"/>
      <c r="W194" s="768"/>
      <c r="X194" s="768"/>
      <c r="Y194" s="768"/>
      <c r="Z194" s="768"/>
      <c r="AA194" s="768"/>
      <c r="AB194" s="768"/>
      <c r="AC194" s="768"/>
      <c r="AD194" s="768"/>
      <c r="AE194" s="768"/>
    </row>
    <row r="195" spans="1:64" s="520" customFormat="1">
      <c r="A195" s="748"/>
      <c r="B195" s="307"/>
      <c r="C195" s="824">
        <f t="shared" si="83"/>
        <v>3</v>
      </c>
      <c r="D195" s="166"/>
      <c r="E195" s="780" t="str">
        <f>VLOOKUP($J195,TOV!$C$85:$G$217,TOV!$E$1,FALSE)</f>
        <v>Haul Road, Decompact, doze, shape, Arid</v>
      </c>
      <c r="F195" s="833"/>
      <c r="G195" s="834"/>
      <c r="H195" s="316"/>
      <c r="I195" s="827" t="str">
        <f>VLOOKUP($J195,TOV!$C$85:$G$217,TOV!$G$1,FALSE)</f>
        <v>ha</v>
      </c>
      <c r="J195" s="828" t="str">
        <f>TOV!C123</f>
        <v>#3.39</v>
      </c>
      <c r="K195" s="63">
        <f>VLOOKUP($J195,TOV!$C$85:$G$217,TOV!$F$1,FALSE)</f>
        <v>2945.2971856984341</v>
      </c>
      <c r="L195" s="296"/>
      <c r="M195" s="104">
        <f t="shared" si="84"/>
        <v>0</v>
      </c>
      <c r="N195" s="215"/>
      <c r="O195" s="217"/>
      <c r="P195" s="217"/>
      <c r="Q195" s="217"/>
      <c r="R195" s="217"/>
      <c r="S195" s="217"/>
      <c r="T195" s="217"/>
      <c r="U195" s="218"/>
      <c r="V195" s="768"/>
      <c r="W195" s="768"/>
      <c r="X195" s="768"/>
      <c r="Y195" s="768"/>
      <c r="Z195" s="768"/>
      <c r="AA195" s="768"/>
      <c r="AB195" s="768"/>
      <c r="AC195" s="768"/>
      <c r="AD195" s="768"/>
      <c r="AE195" s="768"/>
    </row>
    <row r="196" spans="1:64" s="520" customFormat="1">
      <c r="A196" s="748"/>
      <c r="B196" s="307"/>
      <c r="C196" s="824">
        <f t="shared" si="83"/>
        <v>4</v>
      </c>
      <c r="D196" s="166"/>
      <c r="E196" s="780" t="str">
        <f>VLOOKUP($J196,TOV!$C$85:$G$217,TOV!$E$1,FALSE)</f>
        <v>Haul Road, Rock, Remove contam only, Pasture</v>
      </c>
      <c r="F196" s="833"/>
      <c r="G196" s="834"/>
      <c r="H196" s="316"/>
      <c r="I196" s="827" t="str">
        <f>VLOOKUP($J196,TOV!$C$85:$G$217,TOV!$G$1,FALSE)</f>
        <v>ha</v>
      </c>
      <c r="J196" s="828" t="str">
        <f>TOV!C124</f>
        <v>#3.40</v>
      </c>
      <c r="K196" s="63">
        <f>VLOOKUP($J196,TOV!$C$85:$G$217,TOV!$F$1,FALSE)</f>
        <v>28109.307376708224</v>
      </c>
      <c r="L196" s="296"/>
      <c r="M196" s="104">
        <f t="shared" si="84"/>
        <v>0</v>
      </c>
      <c r="N196" s="215"/>
      <c r="O196" s="217"/>
      <c r="P196" s="217"/>
      <c r="Q196" s="217"/>
      <c r="R196" s="217"/>
      <c r="S196" s="217"/>
      <c r="T196" s="217"/>
      <c r="U196" s="218"/>
      <c r="V196" s="768"/>
      <c r="W196" s="768"/>
      <c r="X196" s="768"/>
      <c r="Y196" s="768"/>
      <c r="Z196" s="768"/>
      <c r="AA196" s="768"/>
      <c r="AB196" s="768"/>
      <c r="AC196" s="768"/>
      <c r="AD196" s="768"/>
      <c r="AE196" s="768"/>
    </row>
    <row r="197" spans="1:64" s="520" customFormat="1">
      <c r="A197" s="748"/>
      <c r="B197" s="307"/>
      <c r="C197" s="824">
        <f t="shared" si="83"/>
        <v>5</v>
      </c>
      <c r="D197" s="166"/>
      <c r="E197" s="780" t="str">
        <f>VLOOKUP($J197,TOV!$C$85:$G$217,TOV!$E$1,FALSE)</f>
        <v>Haul Road, Rock, Remove contam only, Native</v>
      </c>
      <c r="F197" s="833"/>
      <c r="G197" s="834"/>
      <c r="H197" s="316"/>
      <c r="I197" s="827" t="str">
        <f>VLOOKUP($J197,TOV!$C$85:$G$217,TOV!$G$1,FALSE)</f>
        <v>ha</v>
      </c>
      <c r="J197" s="828" t="str">
        <f>TOV!C125</f>
        <v>#3.41</v>
      </c>
      <c r="K197" s="63">
        <f>VLOOKUP($J197,TOV!$C$85:$G$217,TOV!$F$1,FALSE)</f>
        <v>30650.307376708217</v>
      </c>
      <c r="L197" s="296"/>
      <c r="M197" s="104">
        <f t="shared" si="84"/>
        <v>0</v>
      </c>
      <c r="N197" s="215"/>
      <c r="O197" s="217"/>
      <c r="P197" s="217"/>
      <c r="Q197" s="217"/>
      <c r="R197" s="217"/>
      <c r="S197" s="217"/>
      <c r="T197" s="217"/>
      <c r="U197" s="218"/>
      <c r="V197" s="768"/>
      <c r="W197" s="768"/>
      <c r="X197" s="768"/>
      <c r="Y197" s="768"/>
      <c r="Z197" s="768"/>
      <c r="AA197" s="768"/>
      <c r="AB197" s="768"/>
      <c r="AC197" s="768"/>
      <c r="AD197" s="768"/>
      <c r="AE197" s="768"/>
    </row>
    <row r="198" spans="1:64" s="520" customFormat="1">
      <c r="A198" s="748"/>
      <c r="B198" s="307"/>
      <c r="C198" s="824">
        <f t="shared" si="83"/>
        <v>6</v>
      </c>
      <c r="D198" s="166"/>
      <c r="E198" s="780" t="str">
        <f>VLOOKUP($J198,TOV!$C$85:$G$217,TOV!$E$1,FALSE)</f>
        <v>Haul Road, Rock, Remove contam only, Arid</v>
      </c>
      <c r="F198" s="833"/>
      <c r="G198" s="834"/>
      <c r="H198" s="316"/>
      <c r="I198" s="827" t="str">
        <f>VLOOKUP($J198,TOV!$C$85:$G$217,TOV!$G$1,FALSE)</f>
        <v>ha</v>
      </c>
      <c r="J198" s="828" t="str">
        <f>TOV!C126</f>
        <v>#3.42</v>
      </c>
      <c r="K198" s="63">
        <f>VLOOKUP($J198,TOV!$C$85:$G$217,TOV!$F$1,FALSE)</f>
        <v>13227.330352403787</v>
      </c>
      <c r="L198" s="296"/>
      <c r="M198" s="104">
        <f t="shared" si="84"/>
        <v>0</v>
      </c>
      <c r="N198" s="215"/>
      <c r="O198" s="217"/>
      <c r="P198" s="217"/>
      <c r="Q198" s="217"/>
      <c r="R198" s="217"/>
      <c r="S198" s="217"/>
      <c r="T198" s="217"/>
      <c r="U198" s="218"/>
      <c r="V198" s="768"/>
      <c r="W198" s="768"/>
      <c r="X198" s="768"/>
      <c r="Y198" s="768"/>
      <c r="Z198" s="768"/>
      <c r="AA198" s="768"/>
      <c r="AB198" s="768"/>
      <c r="AC198" s="768"/>
      <c r="AD198" s="768"/>
      <c r="AE198" s="768"/>
    </row>
    <row r="199" spans="1:64" s="520" customFormat="1">
      <c r="A199" s="748"/>
      <c r="B199" s="307"/>
      <c r="C199" s="824">
        <f t="shared" si="83"/>
        <v>7</v>
      </c>
      <c r="D199" s="166"/>
      <c r="E199" s="780" t="str">
        <f>VLOOKUP($J199,TOV!$C$85:$G$217,TOV!$E$1,FALSE)</f>
        <v>Haul Road, Rock, Remove rock cover and replace, Pasture</v>
      </c>
      <c r="F199" s="833"/>
      <c r="G199" s="834"/>
      <c r="H199" s="316"/>
      <c r="I199" s="827" t="str">
        <f>VLOOKUP($J199,TOV!$C$85:$G$217,TOV!$G$1,FALSE)</f>
        <v>ha</v>
      </c>
      <c r="J199" s="828" t="str">
        <f>TOV!C127</f>
        <v>#3.43</v>
      </c>
      <c r="K199" s="63">
        <f>VLOOKUP($J199,TOV!$C$85:$G$217,TOV!$F$1,FALSE)</f>
        <v>51217.658110296245</v>
      </c>
      <c r="L199" s="296"/>
      <c r="M199" s="104">
        <f t="shared" si="84"/>
        <v>0</v>
      </c>
      <c r="N199" s="215"/>
      <c r="O199" s="217"/>
      <c r="P199" s="217"/>
      <c r="Q199" s="217"/>
      <c r="R199" s="217"/>
      <c r="S199" s="217"/>
      <c r="T199" s="217"/>
      <c r="U199" s="218"/>
      <c r="V199" s="768"/>
      <c r="W199" s="768"/>
      <c r="X199" s="768"/>
      <c r="Y199" s="768"/>
      <c r="Z199" s="768"/>
      <c r="AA199" s="768"/>
      <c r="AB199" s="768"/>
      <c r="AC199" s="768"/>
      <c r="AD199" s="768"/>
      <c r="AE199" s="768"/>
    </row>
    <row r="200" spans="1:64" s="520" customFormat="1">
      <c r="A200" s="748"/>
      <c r="B200" s="307"/>
      <c r="C200" s="824">
        <f t="shared" si="83"/>
        <v>8</v>
      </c>
      <c r="D200" s="166"/>
      <c r="E200" s="780" t="str">
        <f>VLOOKUP($J200,TOV!$C$85:$G$217,TOV!$E$1,FALSE)</f>
        <v>Haul Road, Rock, Remove rock cover and replace, Native</v>
      </c>
      <c r="F200" s="833"/>
      <c r="G200" s="834"/>
      <c r="H200" s="316"/>
      <c r="I200" s="827" t="str">
        <f>VLOOKUP($J200,TOV!$C$85:$G$217,TOV!$G$1,FALSE)</f>
        <v>ha</v>
      </c>
      <c r="J200" s="828" t="str">
        <f>TOV!C128</f>
        <v>#3.44</v>
      </c>
      <c r="K200" s="63">
        <f>VLOOKUP($J200,TOV!$C$85:$G$217,TOV!$F$1,FALSE)</f>
        <v>53758.658110296237</v>
      </c>
      <c r="L200" s="296"/>
      <c r="M200" s="104">
        <f t="shared" si="84"/>
        <v>0</v>
      </c>
      <c r="N200" s="215"/>
      <c r="O200" s="217"/>
      <c r="P200" s="217"/>
      <c r="Q200" s="217"/>
      <c r="R200" s="217"/>
      <c r="S200" s="217"/>
      <c r="T200" s="217"/>
      <c r="U200" s="218"/>
      <c r="V200" s="768"/>
      <c r="W200" s="768"/>
      <c r="X200" s="768"/>
      <c r="Y200" s="768"/>
      <c r="Z200" s="768"/>
      <c r="AA200" s="768"/>
      <c r="AB200" s="768"/>
      <c r="AC200" s="768"/>
      <c r="AD200" s="768"/>
      <c r="AE200" s="768"/>
    </row>
    <row r="201" spans="1:64" s="495" customFormat="1" ht="12.75">
      <c r="A201" s="748"/>
      <c r="B201" s="307"/>
      <c r="C201" s="824">
        <f t="shared" si="83"/>
        <v>9</v>
      </c>
      <c r="D201" s="166"/>
      <c r="E201" s="780" t="str">
        <f>VLOOKUP($J201,TOV!$C$85:$G$217,TOV!$E$1,FALSE)</f>
        <v>Haul Road, Rock, Remove rock cover and replace, Arid</v>
      </c>
      <c r="F201" s="833"/>
      <c r="G201" s="834"/>
      <c r="H201" s="316"/>
      <c r="I201" s="827" t="str">
        <f>VLOOKUP($J201,TOV!$C$85:$G$217,TOV!$G$1,FALSE)</f>
        <v>ha</v>
      </c>
      <c r="J201" s="828" t="str">
        <f>TOV!C129</f>
        <v>#3.45</v>
      </c>
      <c r="K201" s="63">
        <f>VLOOKUP($J201,TOV!$C$85:$G$217,TOV!$F$1,FALSE)</f>
        <v>23509.363519109138</v>
      </c>
      <c r="L201" s="296"/>
      <c r="M201" s="104">
        <f t="shared" si="84"/>
        <v>0</v>
      </c>
      <c r="N201" s="215"/>
      <c r="O201" s="217"/>
      <c r="P201" s="217"/>
      <c r="Q201" s="217"/>
      <c r="R201" s="217"/>
      <c r="S201" s="217"/>
      <c r="T201" s="217"/>
      <c r="U201" s="218"/>
      <c r="V201" s="520"/>
      <c r="W201" s="520"/>
      <c r="X201" s="520"/>
      <c r="Y201" s="520"/>
      <c r="Z201" s="520"/>
      <c r="AA201" s="520"/>
      <c r="AB201" s="520"/>
      <c r="AC201" s="520"/>
      <c r="AH201" s="520"/>
      <c r="BK201" s="520"/>
      <c r="BL201" s="520"/>
    </row>
    <row r="202" spans="1:64" s="495" customFormat="1" ht="12.75">
      <c r="A202" s="748"/>
      <c r="B202" s="307"/>
      <c r="C202" s="824">
        <f t="shared" si="83"/>
        <v>10</v>
      </c>
      <c r="D202" s="166"/>
      <c r="E202" s="937"/>
      <c r="F202" s="938"/>
      <c r="G202" s="939"/>
      <c r="H202" s="316"/>
      <c r="I202" s="835" t="s">
        <v>95</v>
      </c>
      <c r="J202" s="829"/>
      <c r="K202" s="518" t="str">
        <f t="shared" ref="K202:K204" si="85">IF(AND(H202&gt;0,OR(L202="",L202=0)),"Enter Rate","No alert")</f>
        <v>No alert</v>
      </c>
      <c r="L202" s="296"/>
      <c r="M202" s="104">
        <f>L202*H202</f>
        <v>0</v>
      </c>
      <c r="N202" s="215"/>
      <c r="O202" s="217"/>
      <c r="P202" s="217"/>
      <c r="Q202" s="217"/>
      <c r="R202" s="217"/>
      <c r="S202" s="217"/>
      <c r="T202" s="217"/>
      <c r="U202" s="218"/>
      <c r="V202" s="520"/>
      <c r="W202" s="520"/>
      <c r="X202" s="520"/>
      <c r="Y202" s="520"/>
      <c r="Z202" s="520"/>
      <c r="AA202" s="520"/>
      <c r="AB202" s="520"/>
      <c r="AC202" s="520"/>
      <c r="AH202" s="520"/>
      <c r="BK202" s="520"/>
      <c r="BL202" s="520"/>
    </row>
    <row r="203" spans="1:64" s="495" customFormat="1" ht="12.75">
      <c r="A203" s="748"/>
      <c r="B203" s="307"/>
      <c r="C203" s="824">
        <f t="shared" si="83"/>
        <v>11</v>
      </c>
      <c r="D203" s="166"/>
      <c r="E203" s="937"/>
      <c r="F203" s="938"/>
      <c r="G203" s="939"/>
      <c r="H203" s="316"/>
      <c r="I203" s="835" t="s">
        <v>95</v>
      </c>
      <c r="J203" s="829"/>
      <c r="K203" s="518" t="str">
        <f t="shared" si="85"/>
        <v>No alert</v>
      </c>
      <c r="L203" s="296"/>
      <c r="M203" s="104">
        <f t="shared" ref="M203:M204" si="86">L203*H203</f>
        <v>0</v>
      </c>
      <c r="N203" s="215"/>
      <c r="O203" s="217"/>
      <c r="P203" s="217"/>
      <c r="Q203" s="217"/>
      <c r="R203" s="217"/>
      <c r="S203" s="217"/>
      <c r="T203" s="217"/>
      <c r="U203" s="218"/>
      <c r="V203" s="520"/>
      <c r="W203" s="520"/>
      <c r="X203" s="520"/>
      <c r="Y203" s="520"/>
      <c r="Z203" s="520"/>
      <c r="AA203" s="520"/>
      <c r="AB203" s="520"/>
      <c r="AC203" s="520"/>
      <c r="AH203" s="520"/>
      <c r="BK203" s="520"/>
      <c r="BL203" s="520"/>
    </row>
    <row r="204" spans="1:64" s="495" customFormat="1" ht="12.75">
      <c r="A204" s="748"/>
      <c r="B204" s="307"/>
      <c r="C204" s="824">
        <f t="shared" si="83"/>
        <v>12</v>
      </c>
      <c r="D204" s="166"/>
      <c r="E204" s="937"/>
      <c r="F204" s="938"/>
      <c r="G204" s="939"/>
      <c r="H204" s="316"/>
      <c r="I204" s="835" t="s">
        <v>95</v>
      </c>
      <c r="J204" s="829"/>
      <c r="K204" s="518" t="str">
        <f t="shared" si="85"/>
        <v>No alert</v>
      </c>
      <c r="L204" s="296"/>
      <c r="M204" s="104">
        <f t="shared" si="86"/>
        <v>0</v>
      </c>
      <c r="N204" s="215"/>
      <c r="O204" s="217"/>
      <c r="P204" s="217"/>
      <c r="Q204" s="217"/>
      <c r="R204" s="217"/>
      <c r="S204" s="217"/>
      <c r="T204" s="217"/>
      <c r="U204" s="218"/>
      <c r="V204" s="520"/>
      <c r="W204" s="520"/>
      <c r="X204" s="520"/>
      <c r="Y204" s="520"/>
      <c r="Z204" s="520"/>
      <c r="AA204" s="520"/>
      <c r="AB204" s="520"/>
      <c r="AC204" s="520"/>
      <c r="AH204" s="520"/>
      <c r="BK204" s="520"/>
      <c r="BL204" s="520"/>
    </row>
    <row r="205" spans="1:64" s="520" customFormat="1" ht="18" customHeight="1">
      <c r="A205" s="748"/>
      <c r="B205" s="53"/>
      <c r="C205" s="53"/>
      <c r="E205" s="53"/>
      <c r="F205" s="768"/>
      <c r="G205" s="768"/>
      <c r="H205" s="322"/>
      <c r="I205" s="53"/>
      <c r="J205" s="829"/>
      <c r="K205" s="890"/>
      <c r="L205" s="900"/>
      <c r="M205" s="892"/>
      <c r="N205" s="768"/>
      <c r="O205" s="829"/>
      <c r="P205" s="829"/>
      <c r="Q205" s="829"/>
      <c r="R205" s="829"/>
      <c r="S205" s="829"/>
      <c r="T205" s="829"/>
      <c r="U205" s="829"/>
      <c r="V205" s="829"/>
      <c r="W205" s="829"/>
      <c r="X205" s="829"/>
      <c r="Y205" s="829"/>
      <c r="Z205" s="829"/>
      <c r="AA205" s="829"/>
      <c r="AB205" s="829"/>
      <c r="AC205" s="829"/>
      <c r="AF205" s="768"/>
      <c r="AG205" s="768"/>
      <c r="AI205" s="495"/>
      <c r="AJ205" s="768"/>
      <c r="AO205" s="837"/>
      <c r="AP205" s="838"/>
      <c r="AQ205" s="838"/>
      <c r="AR205" s="838"/>
      <c r="AS205" s="838"/>
      <c r="AT205" s="838"/>
      <c r="AU205" s="838"/>
    </row>
    <row r="206" spans="1:64" s="495" customFormat="1" ht="18" customHeight="1">
      <c r="A206" s="748"/>
      <c r="B206" s="839"/>
      <c r="D206" s="520"/>
      <c r="E206" s="840"/>
      <c r="F206" s="768"/>
      <c r="G206" s="844" t="s">
        <v>1593</v>
      </c>
      <c r="H206" s="841">
        <f>SUM(H192:H205)</f>
        <v>0</v>
      </c>
      <c r="I206" s="845" t="s">
        <v>95</v>
      </c>
      <c r="J206" s="768"/>
      <c r="K206" s="768"/>
      <c r="L206" s="842"/>
      <c r="M206" s="106">
        <f>SUM(M192:M205)</f>
        <v>0</v>
      </c>
      <c r="N206" s="797">
        <f>IF(H206=0,0,M206/H206)</f>
        <v>0</v>
      </c>
      <c r="O206" s="520" t="str">
        <f>I206</f>
        <v>ha</v>
      </c>
      <c r="P206" s="843"/>
      <c r="Q206" s="843"/>
      <c r="R206" s="843"/>
      <c r="S206" s="843"/>
      <c r="T206" s="843"/>
      <c r="U206" s="843"/>
      <c r="V206" s="843"/>
      <c r="AH206" s="520"/>
      <c r="BK206" s="520"/>
      <c r="BL206" s="520"/>
    </row>
    <row r="207" spans="1:64" s="495" customFormat="1" ht="15" customHeight="1">
      <c r="A207" s="748"/>
      <c r="B207" s="886"/>
      <c r="C207" s="887"/>
      <c r="D207" s="520"/>
      <c r="F207" s="768"/>
      <c r="G207" s="768"/>
      <c r="H207" s="768"/>
      <c r="I207" s="768"/>
      <c r="J207" s="768"/>
      <c r="K207" s="797"/>
      <c r="L207" s="768"/>
      <c r="M207" s="768"/>
      <c r="N207" s="887"/>
      <c r="O207" s="887"/>
      <c r="P207" s="887"/>
      <c r="Q207" s="887"/>
      <c r="R207" s="887"/>
      <c r="S207" s="887"/>
      <c r="T207" s="887"/>
      <c r="U207" s="887"/>
      <c r="Z207" s="888"/>
      <c r="AA207" s="888"/>
      <c r="AB207" s="888"/>
      <c r="BK207" s="520"/>
      <c r="BL207" s="520"/>
    </row>
    <row r="208" spans="1:64" s="520" customFormat="1" ht="18" customHeight="1">
      <c r="B208" s="789"/>
      <c r="C208" s="848" t="s">
        <v>1680</v>
      </c>
      <c r="D208" s="789"/>
      <c r="E208" s="873"/>
      <c r="F208" s="736"/>
      <c r="G208" s="736"/>
      <c r="H208" s="736"/>
      <c r="I208" s="736"/>
      <c r="J208" s="736"/>
      <c r="K208" s="736"/>
      <c r="L208" s="70"/>
      <c r="M208" s="70"/>
      <c r="N208" s="70"/>
      <c r="O208" s="70"/>
      <c r="P208" s="70"/>
      <c r="Q208" s="768"/>
      <c r="T208" s="70"/>
      <c r="U208" s="70"/>
      <c r="V208" s="70"/>
      <c r="W208" s="70"/>
      <c r="X208" s="70"/>
      <c r="Y208" s="736"/>
      <c r="Z208" s="736"/>
      <c r="AA208" s="736"/>
      <c r="AB208" s="736"/>
      <c r="AC208" s="70"/>
      <c r="AD208" s="70"/>
      <c r="AE208" s="736"/>
      <c r="AF208" s="736"/>
      <c r="AK208" s="736"/>
      <c r="AL208" s="475"/>
      <c r="AM208" s="847" t="str">
        <f>IF(AM211="","No Alert","Enter justification")</f>
        <v>No Alert</v>
      </c>
      <c r="AO208" s="70"/>
      <c r="AP208" s="70"/>
      <c r="AR208" s="582" t="s">
        <v>1595</v>
      </c>
      <c r="AS208" s="768" t="s">
        <v>1662</v>
      </c>
      <c r="AT208" s="768" t="s">
        <v>1663</v>
      </c>
      <c r="AU208" s="882"/>
    </row>
    <row r="209" spans="1:56" s="520" customFormat="1" ht="18" customHeight="1">
      <c r="B209" s="789"/>
      <c r="C209" s="848" t="s">
        <v>1596</v>
      </c>
      <c r="D209" s="789"/>
      <c r="E209" s="873"/>
      <c r="F209" s="736"/>
      <c r="G209" s="736"/>
      <c r="H209" s="736"/>
      <c r="I209" s="736"/>
      <c r="J209" s="736"/>
      <c r="K209" s="736"/>
      <c r="L209" s="70"/>
      <c r="M209" s="70"/>
      <c r="N209" s="70"/>
      <c r="O209" s="70"/>
      <c r="P209" s="70"/>
      <c r="Q209" s="768"/>
      <c r="T209" s="70"/>
      <c r="U209" s="70"/>
      <c r="V209" s="70"/>
      <c r="W209" s="70"/>
      <c r="X209" s="70"/>
      <c r="Y209" s="736"/>
      <c r="Z209" s="736"/>
      <c r="AA209" s="736"/>
      <c r="AB209" s="736"/>
      <c r="AC209" s="70"/>
      <c r="AD209" s="70"/>
      <c r="AE209" s="736"/>
      <c r="AF209" s="736"/>
      <c r="AK209" s="736"/>
      <c r="AL209" s="848" t="s">
        <v>1596</v>
      </c>
      <c r="AM209" s="828" t="str">
        <f>TOV!$C$218</f>
        <v>#3.134</v>
      </c>
      <c r="AO209" s="70"/>
      <c r="AP209" s="70"/>
      <c r="AQ209" s="789" t="s">
        <v>93</v>
      </c>
      <c r="AR209" s="614" t="str">
        <f>TOV!$C$575</f>
        <v>#14.40</v>
      </c>
      <c r="AS209" s="63">
        <f>VLOOKUP(AR209,TOV!$C$575:$G$576,TOV!$F$1,FALSE)</f>
        <v>1655.5</v>
      </c>
      <c r="AT209" s="117"/>
      <c r="AU209" s="849" t="str">
        <f>IF(AT209="","No Alert","Enter justification")</f>
        <v>No Alert</v>
      </c>
    </row>
    <row r="210" spans="1:56" s="520" customFormat="1" ht="18" customHeight="1">
      <c r="B210" s="789"/>
      <c r="C210" s="848" t="s">
        <v>35</v>
      </c>
      <c r="D210" s="789"/>
      <c r="E210" s="873"/>
      <c r="F210" s="736"/>
      <c r="G210" s="736"/>
      <c r="H210" s="736"/>
      <c r="I210" s="736"/>
      <c r="J210" s="736"/>
      <c r="K210" s="736"/>
      <c r="L210" s="70"/>
      <c r="M210" s="70"/>
      <c r="N210" s="70"/>
      <c r="O210" s="70"/>
      <c r="P210" s="70"/>
      <c r="Q210" s="768"/>
      <c r="T210" s="70"/>
      <c r="U210" s="70"/>
      <c r="V210" s="70"/>
      <c r="W210" s="70"/>
      <c r="X210" s="70"/>
      <c r="Y210" s="736"/>
      <c r="Z210" s="736"/>
      <c r="AA210" s="736"/>
      <c r="AB210" s="736"/>
      <c r="AC210" s="70"/>
      <c r="AD210" s="70"/>
      <c r="AE210" s="736"/>
      <c r="AF210" s="736"/>
      <c r="AK210" s="736"/>
      <c r="AL210" s="848" t="s">
        <v>35</v>
      </c>
      <c r="AM210" s="81">
        <f>VLOOKUP(AM209,TOV!$C$85:$G$218,4,FALSE)</f>
        <v>400.15945742176939</v>
      </c>
      <c r="AO210" s="70"/>
      <c r="AP210" s="70"/>
      <c r="AQ210" s="789" t="s">
        <v>116</v>
      </c>
      <c r="AR210" s="614" t="str">
        <f>TOV!$C$576</f>
        <v>#14.41</v>
      </c>
      <c r="AS210" s="63">
        <f>VLOOKUP(AR210,TOV!$C$575:$G$576,TOV!$F$1,FALSE)</f>
        <v>4196.5</v>
      </c>
      <c r="AT210" s="117"/>
      <c r="AU210" s="849" t="str">
        <f>IF(AT210="","No Alert","Enter justification")</f>
        <v>No Alert</v>
      </c>
    </row>
    <row r="211" spans="1:56" s="520" customFormat="1" ht="18" customHeight="1">
      <c r="B211" s="789"/>
      <c r="C211" s="848" t="s">
        <v>1556</v>
      </c>
      <c r="D211" s="789"/>
      <c r="E211" s="873"/>
      <c r="F211" s="736"/>
      <c r="G211" s="736"/>
      <c r="H211" s="736"/>
      <c r="I211" s="736"/>
      <c r="J211" s="736"/>
      <c r="K211" s="736"/>
      <c r="L211" s="70"/>
      <c r="M211" s="70"/>
      <c r="N211" s="70"/>
      <c r="O211" s="70"/>
      <c r="P211" s="70"/>
      <c r="Q211" s="768"/>
      <c r="T211" s="70"/>
      <c r="U211" s="70"/>
      <c r="V211" s="70"/>
      <c r="W211" s="70"/>
      <c r="X211" s="70"/>
      <c r="Y211" s="736"/>
      <c r="Z211" s="736"/>
      <c r="AA211" s="736"/>
      <c r="AB211" s="736"/>
      <c r="AC211" s="70"/>
      <c r="AD211" s="70"/>
      <c r="AE211" s="736"/>
      <c r="AF211" s="736"/>
      <c r="AK211" s="736"/>
      <c r="AL211" s="848" t="s">
        <v>1556</v>
      </c>
      <c r="AM211" s="117"/>
      <c r="AO211" s="70"/>
      <c r="AP211" s="70"/>
      <c r="AU211" s="882"/>
    </row>
    <row r="212" spans="1:56" s="520" customFormat="1" ht="18" customHeight="1">
      <c r="C212" s="848" t="s">
        <v>1597</v>
      </c>
      <c r="F212" s="736"/>
      <c r="I212" s="736"/>
      <c r="J212" s="768"/>
      <c r="K212" s="768"/>
      <c r="L212" s="768"/>
      <c r="M212" s="768"/>
      <c r="N212" s="768"/>
      <c r="O212" s="768"/>
      <c r="P212" s="768"/>
      <c r="Q212" s="768"/>
      <c r="T212" s="768"/>
      <c r="U212" s="768"/>
      <c r="V212" s="768"/>
      <c r="W212" s="768"/>
      <c r="X212" s="768"/>
      <c r="Y212" s="768"/>
      <c r="Z212" s="768"/>
      <c r="AA212" s="768"/>
      <c r="AB212" s="768"/>
      <c r="AC212" s="768"/>
      <c r="AD212" s="768"/>
      <c r="AE212" s="768"/>
      <c r="AF212" s="768"/>
      <c r="AK212" s="768"/>
      <c r="AL212" s="848" t="s">
        <v>1597</v>
      </c>
      <c r="AM212" s="850" t="s">
        <v>1598</v>
      </c>
      <c r="AO212" s="768"/>
      <c r="AP212" s="768"/>
      <c r="AR212" s="768"/>
      <c r="AS212" s="850" t="s">
        <v>1598</v>
      </c>
      <c r="AU212" s="882"/>
    </row>
    <row r="213" spans="1:56" s="520" customFormat="1" ht="18" customHeight="1">
      <c r="C213" s="848" t="s">
        <v>1599</v>
      </c>
      <c r="H213" s="789" t="s">
        <v>1599</v>
      </c>
      <c r="I213" s="824">
        <v>500</v>
      </c>
      <c r="J213" s="768"/>
      <c r="K213" s="768"/>
      <c r="L213" s="768"/>
      <c r="M213" s="768"/>
      <c r="N213" s="768"/>
      <c r="O213" s="768"/>
      <c r="P213" s="768"/>
      <c r="Q213" s="852">
        <f>Default_Growth_Media</f>
        <v>150</v>
      </c>
      <c r="T213" s="768"/>
      <c r="U213" s="768"/>
      <c r="V213" s="768"/>
      <c r="W213" s="768"/>
      <c r="X213" s="768"/>
      <c r="Y213" s="768"/>
      <c r="Z213" s="768"/>
      <c r="AA213" s="768"/>
      <c r="AB213" s="768"/>
      <c r="AC213" s="768"/>
      <c r="AD213" s="768"/>
      <c r="AE213" s="768"/>
      <c r="AF213" s="768"/>
      <c r="AK213" s="768"/>
      <c r="AL213" s="848"/>
      <c r="AM213" s="854"/>
      <c r="AO213" s="768"/>
      <c r="AP213" s="768"/>
      <c r="AR213" s="768"/>
      <c r="AS213" s="768"/>
      <c r="AT213" s="768"/>
      <c r="AU213" s="882"/>
    </row>
    <row r="214" spans="1:56" s="520" customFormat="1" ht="18" customHeight="1">
      <c r="B214" s="287" t="s">
        <v>26</v>
      </c>
      <c r="C214" s="820" t="s">
        <v>1681</v>
      </c>
      <c r="D214" s="816"/>
      <c r="E214" s="878" t="s">
        <v>1602</v>
      </c>
      <c r="F214" s="856"/>
      <c r="G214" s="857"/>
      <c r="H214" s="878" t="s">
        <v>1603</v>
      </c>
      <c r="I214" s="858"/>
      <c r="J214" s="858"/>
      <c r="K214" s="858"/>
      <c r="L214" s="878" t="s">
        <v>1604</v>
      </c>
      <c r="M214" s="859"/>
      <c r="N214" s="859"/>
      <c r="O214" s="855" t="s">
        <v>1605</v>
      </c>
      <c r="P214" s="859"/>
      <c r="Q214" s="859"/>
      <c r="R214" s="859"/>
      <c r="S214" s="859"/>
      <c r="T214" s="859"/>
      <c r="U214" s="860"/>
      <c r="V214" s="860"/>
      <c r="W214" s="860"/>
      <c r="X214" s="861"/>
      <c r="Y214" s="862" t="s">
        <v>1606</v>
      </c>
      <c r="Z214" s="860"/>
      <c r="AA214" s="860"/>
      <c r="AB214" s="860"/>
      <c r="AC214" s="860"/>
      <c r="AD214" s="860"/>
      <c r="AE214" s="860"/>
      <c r="AF214" s="861"/>
      <c r="AG214" s="860"/>
      <c r="AH214" s="860"/>
      <c r="AI214" s="860"/>
      <c r="AJ214" s="860"/>
      <c r="AK214" s="862" t="s">
        <v>1607</v>
      </c>
      <c r="AL214" s="860"/>
      <c r="AM214" s="860"/>
      <c r="AN214" s="860"/>
      <c r="AO214" s="862" t="s">
        <v>1608</v>
      </c>
      <c r="AP214" s="859"/>
      <c r="AQ214" s="859"/>
      <c r="AR214" s="860"/>
      <c r="AS214" s="861"/>
    </row>
    <row r="215" spans="1:56" s="520" customFormat="1" ht="72">
      <c r="A215" s="748"/>
      <c r="B215" s="774" t="s">
        <v>1517</v>
      </c>
      <c r="C215" s="774" t="s">
        <v>27</v>
      </c>
      <c r="D215" s="774" t="s">
        <v>1609</v>
      </c>
      <c r="E215" s="812" t="s">
        <v>1650</v>
      </c>
      <c r="F215" s="812" t="s">
        <v>1612</v>
      </c>
      <c r="G215" s="863"/>
      <c r="H215" s="774" t="s">
        <v>1651</v>
      </c>
      <c r="I215" s="774" t="s">
        <v>1614</v>
      </c>
      <c r="J215" s="774" t="s">
        <v>1615</v>
      </c>
      <c r="K215" s="774" t="s">
        <v>1616</v>
      </c>
      <c r="L215" s="774" t="s">
        <v>1652</v>
      </c>
      <c r="M215" s="774" t="s">
        <v>1618</v>
      </c>
      <c r="N215" s="774" t="s">
        <v>1619</v>
      </c>
      <c r="O215" s="774" t="s">
        <v>1682</v>
      </c>
      <c r="P215" s="774" t="s">
        <v>1622</v>
      </c>
      <c r="Q215" s="774" t="s">
        <v>1623</v>
      </c>
      <c r="R215" s="774" t="s">
        <v>1624</v>
      </c>
      <c r="S215" s="774" t="s">
        <v>1683</v>
      </c>
      <c r="T215" s="774" t="s">
        <v>1626</v>
      </c>
      <c r="U215" s="774" t="s">
        <v>1627</v>
      </c>
      <c r="V215" s="774" t="s">
        <v>1628</v>
      </c>
      <c r="W215" s="774" t="s">
        <v>1629</v>
      </c>
      <c r="X215" s="774" t="s">
        <v>1630</v>
      </c>
      <c r="Y215" s="812" t="s">
        <v>1653</v>
      </c>
      <c r="Z215" s="863"/>
      <c r="AA215" s="812" t="s">
        <v>1632</v>
      </c>
      <c r="AB215" s="863"/>
      <c r="AC215" s="812" t="s">
        <v>1674</v>
      </c>
      <c r="AD215" s="863"/>
      <c r="AE215" s="812" t="s">
        <v>1634</v>
      </c>
      <c r="AF215" s="863"/>
      <c r="AG215" s="812" t="s">
        <v>1635</v>
      </c>
      <c r="AH215" s="863"/>
      <c r="AI215" s="812" t="s">
        <v>1636</v>
      </c>
      <c r="AJ215" s="863"/>
      <c r="AK215" s="774" t="s">
        <v>1684</v>
      </c>
      <c r="AL215" s="774" t="s">
        <v>1549</v>
      </c>
      <c r="AM215" s="774" t="s">
        <v>1685</v>
      </c>
      <c r="AN215" s="774" t="s">
        <v>1639</v>
      </c>
      <c r="AO215" s="774" t="s">
        <v>1640</v>
      </c>
      <c r="AP215" s="774" t="s">
        <v>1655</v>
      </c>
      <c r="AQ215" s="774" t="s">
        <v>1677</v>
      </c>
      <c r="AR215" s="774" t="s">
        <v>1643</v>
      </c>
      <c r="AS215" s="774" t="s">
        <v>1644</v>
      </c>
      <c r="AT215" s="775" t="s">
        <v>1587</v>
      </c>
      <c r="AU215" s="776" t="s">
        <v>1645</v>
      </c>
      <c r="AV215" s="831"/>
      <c r="AW215" s="831"/>
      <c r="AX215" s="865"/>
      <c r="AY215" s="865"/>
      <c r="AZ215" s="831"/>
      <c r="BA215" s="865"/>
      <c r="BB215" s="831"/>
      <c r="BC215" s="831"/>
      <c r="BD215" s="832"/>
    </row>
    <row r="216" spans="1:56" s="520" customFormat="1" ht="18" customHeight="1">
      <c r="B216" s="64"/>
      <c r="C216" s="64"/>
      <c r="D216" s="64"/>
      <c r="E216" s="64"/>
      <c r="F216" s="880" t="s">
        <v>1646</v>
      </c>
      <c r="G216" s="64"/>
      <c r="H216" s="64"/>
      <c r="I216" s="64"/>
      <c r="J216" s="64"/>
      <c r="K216" s="64"/>
      <c r="L216" s="64"/>
      <c r="M216" s="64"/>
      <c r="N216" s="64"/>
      <c r="O216" s="64"/>
      <c r="P216" s="64"/>
      <c r="Q216" s="64"/>
      <c r="R216" s="64"/>
      <c r="S216" s="64"/>
      <c r="T216" s="64"/>
      <c r="X216" s="768"/>
      <c r="Y216" s="125" t="s">
        <v>1646</v>
      </c>
      <c r="Z216" s="124"/>
      <c r="AA216" s="901" t="s">
        <v>1646</v>
      </c>
      <c r="AB216" s="124"/>
      <c r="AC216" s="901" t="s">
        <v>1646</v>
      </c>
      <c r="AD216" s="124"/>
      <c r="AE216" s="901" t="s">
        <v>1646</v>
      </c>
      <c r="AF216" s="124"/>
      <c r="AG216" s="901" t="s">
        <v>1646</v>
      </c>
      <c r="AH216" s="124"/>
      <c r="AI216" s="901" t="s">
        <v>1646</v>
      </c>
      <c r="AJ216" s="64"/>
      <c r="AK216" s="225" t="str">
        <f>Subrates_Table_1</f>
        <v>Subrates Table 1</v>
      </c>
      <c r="AL216" s="225" t="str">
        <f>Subrates_Table_1</f>
        <v>Subrates Table 1</v>
      </c>
      <c r="AM216" s="64"/>
      <c r="AN216" s="225" t="str">
        <f>Subrates_Table_1</f>
        <v>Subrates Table 1</v>
      </c>
      <c r="AO216" s="64"/>
      <c r="AP216" s="64"/>
      <c r="AQ216" s="64"/>
      <c r="AR216" s="64"/>
      <c r="AS216" s="768"/>
      <c r="AT216" s="474"/>
      <c r="AU216" s="748"/>
      <c r="AX216" s="768"/>
      <c r="AY216" s="768"/>
      <c r="AZ216" s="838"/>
      <c r="BA216" s="768"/>
    </row>
    <row r="217" spans="1:56" s="520" customFormat="1" ht="15">
      <c r="B217" s="307"/>
      <c r="C217" s="824">
        <v>1</v>
      </c>
      <c r="D217" s="173"/>
      <c r="E217" s="316"/>
      <c r="F217" s="65" t="s">
        <v>117</v>
      </c>
      <c r="G217" s="68"/>
      <c r="H217" s="326">
        <f t="shared" ref="H217:H236" si="87">E217</f>
        <v>0</v>
      </c>
      <c r="I217" s="30"/>
      <c r="J217" s="824">
        <f>IF(I217="",IF(F217=Lists!B$67,0,Default_HaulRoad_Cover),I217)</f>
        <v>0</v>
      </c>
      <c r="K217" s="867">
        <f t="shared" ref="K217:K236" si="88">E217*10000*J217/1000</f>
        <v>0</v>
      </c>
      <c r="L217" s="326"/>
      <c r="M217" s="30"/>
      <c r="N217" s="867">
        <f t="shared" ref="N217:N236" si="89">L217*10000*IF(M217="",IF(F217=Earthen,0,Default_HaulRoad_Cover),M217)/1000</f>
        <v>0</v>
      </c>
      <c r="O217" s="324">
        <f t="shared" ref="O217:O236" si="90">H217-L217</f>
        <v>0</v>
      </c>
      <c r="P217" s="316">
        <f>O217</f>
        <v>0</v>
      </c>
      <c r="Q217" s="74"/>
      <c r="R217" s="316"/>
      <c r="S217" s="324">
        <f>IF(R217="",P217*10000*IF(Q217&lt;&gt;"",Q217,$Q$213)/1000,R217)</f>
        <v>0</v>
      </c>
      <c r="T217" s="316">
        <f>O217</f>
        <v>0</v>
      </c>
      <c r="U217" s="66">
        <v>1</v>
      </c>
      <c r="V217" s="66"/>
      <c r="W217" s="67">
        <f t="shared" ref="W217:W236" si="91">100%-U217-V217</f>
        <v>0</v>
      </c>
      <c r="X217" s="16" t="str">
        <f>IF(W217&lt;0%,"Error","No Alert")</f>
        <v>No Alert</v>
      </c>
      <c r="Y217" s="37" t="s">
        <v>125</v>
      </c>
      <c r="Z217" s="60"/>
      <c r="AA217" s="79" t="s">
        <v>349</v>
      </c>
      <c r="AB217" s="60"/>
      <c r="AC217" s="37" t="s">
        <v>125</v>
      </c>
      <c r="AD217" s="60"/>
      <c r="AE217" s="79" t="s">
        <v>349</v>
      </c>
      <c r="AF217" s="60"/>
      <c r="AG217" s="37" t="s">
        <v>125</v>
      </c>
      <c r="AH217" s="60"/>
      <c r="AI217" s="40" t="s">
        <v>348</v>
      </c>
      <c r="AJ217" s="60"/>
      <c r="AK217" s="63">
        <f t="shared" ref="AK217:AK236" si="92">INDEX(Load_and_Haul_Values,MATCH(Y217,Load_and_Haul,0),MATCH(AA217,Load_Haul_Fleet_size,0))</f>
        <v>6.2664411871606829</v>
      </c>
      <c r="AL217" s="63">
        <f t="shared" ref="AL217:AL236" si="93">INDEX(Load_and_Haul_Values,MATCH(AC217,Load_and_Haul,0),MATCH(AE217,Load_Haul_Fleet_size,0))</f>
        <v>6.2664411871606829</v>
      </c>
      <c r="AM217" s="63">
        <f t="shared" ref="AM217:AM236" si="94">IF($AM$211&gt;0,$AM$211,$AM$210)</f>
        <v>400.15945742176939</v>
      </c>
      <c r="AN217" s="63">
        <f t="shared" ref="AN217:AN236" si="95">INDEX(Load_and_Haul_Values,MATCH(AG217,Load_and_Haul,0),MATCH(AI217,Load_Haul_Fleet_size,0))</f>
        <v>4.8064250364478198</v>
      </c>
      <c r="AO217" s="351">
        <f t="shared" ref="AO217:AO236" si="96">K217*AK217</f>
        <v>0</v>
      </c>
      <c r="AP217" s="351">
        <f t="shared" ref="AP217:AP236" si="97">O217*AM217</f>
        <v>0</v>
      </c>
      <c r="AQ217" s="351">
        <f t="shared" ref="AQ217:AQ236" si="98">S217*AN217</f>
        <v>0</v>
      </c>
      <c r="AR217" s="351">
        <f t="shared" ref="AR217:AR236" si="99">N217*AL217</f>
        <v>0</v>
      </c>
      <c r="AS217" s="351">
        <f>T217*(U217*IF($AT$209="",$AS$209,$AT$209)+V217*IF($AT$210="",$AS$210,$AT$210))</f>
        <v>0</v>
      </c>
      <c r="AT217" s="276">
        <f t="shared" ref="AT217:AT236" si="100">SUM(AO217:AS217)</f>
        <v>0</v>
      </c>
      <c r="AU217" s="215"/>
      <c r="AV217" s="217"/>
      <c r="AW217" s="217"/>
      <c r="AX217" s="217"/>
      <c r="AY217" s="217"/>
      <c r="AZ217" s="217"/>
      <c r="BA217" s="217"/>
      <c r="BB217" s="217"/>
      <c r="BC217" s="217"/>
      <c r="BD217" s="218"/>
    </row>
    <row r="218" spans="1:56" s="520" customFormat="1" ht="15">
      <c r="B218" s="307"/>
      <c r="C218" s="824">
        <f t="shared" ref="C218:C236" si="101">C217+1</f>
        <v>2</v>
      </c>
      <c r="D218" s="173"/>
      <c r="E218" s="316"/>
      <c r="F218" s="65" t="s">
        <v>118</v>
      </c>
      <c r="G218" s="68"/>
      <c r="H218" s="326">
        <f t="shared" si="87"/>
        <v>0</v>
      </c>
      <c r="I218" s="30"/>
      <c r="J218" s="824">
        <f>IF(I218="",IF(F218=Lists!B$67,0,Default_HaulRoad_Cover),I218)</f>
        <v>500</v>
      </c>
      <c r="K218" s="867">
        <f t="shared" si="88"/>
        <v>0</v>
      </c>
      <c r="L218" s="326"/>
      <c r="M218" s="30"/>
      <c r="N218" s="867">
        <f t="shared" si="89"/>
        <v>0</v>
      </c>
      <c r="O218" s="324">
        <f t="shared" si="90"/>
        <v>0</v>
      </c>
      <c r="P218" s="316">
        <f t="shared" ref="P218:P236" si="102">O218</f>
        <v>0</v>
      </c>
      <c r="Q218" s="74"/>
      <c r="R218" s="316"/>
      <c r="S218" s="324">
        <f t="shared" ref="S218:S236" si="103">IF(R218="",P218*10000*IF(Q218&lt;&gt;"",Q218,$Q$213)/1000,R218)</f>
        <v>0</v>
      </c>
      <c r="T218" s="316">
        <f>O218</f>
        <v>0</v>
      </c>
      <c r="U218" s="66">
        <v>1</v>
      </c>
      <c r="V218" s="66"/>
      <c r="W218" s="67">
        <f t="shared" si="91"/>
        <v>0</v>
      </c>
      <c r="X218" s="16" t="str">
        <f t="shared" ref="X218:X236" si="104">IF(W218&lt;0%,"Error","No Alert")</f>
        <v>No Alert</v>
      </c>
      <c r="Y218" s="37" t="s">
        <v>125</v>
      </c>
      <c r="Z218" s="60"/>
      <c r="AA218" s="79" t="s">
        <v>349</v>
      </c>
      <c r="AB218" s="60"/>
      <c r="AC218" s="37" t="s">
        <v>125</v>
      </c>
      <c r="AD218" s="60"/>
      <c r="AE218" s="79" t="s">
        <v>349</v>
      </c>
      <c r="AF218" s="60"/>
      <c r="AG218" s="37" t="s">
        <v>125</v>
      </c>
      <c r="AH218" s="60"/>
      <c r="AI218" s="40" t="s">
        <v>348</v>
      </c>
      <c r="AJ218" s="60"/>
      <c r="AK218" s="63">
        <f t="shared" si="92"/>
        <v>6.2664411871606829</v>
      </c>
      <c r="AL218" s="63">
        <f t="shared" si="93"/>
        <v>6.2664411871606829</v>
      </c>
      <c r="AM218" s="63">
        <f t="shared" si="94"/>
        <v>400.15945742176939</v>
      </c>
      <c r="AN218" s="63">
        <f t="shared" si="95"/>
        <v>4.8064250364478198</v>
      </c>
      <c r="AO218" s="351">
        <f t="shared" si="96"/>
        <v>0</v>
      </c>
      <c r="AP218" s="351">
        <f t="shared" si="97"/>
        <v>0</v>
      </c>
      <c r="AQ218" s="351">
        <f t="shared" si="98"/>
        <v>0</v>
      </c>
      <c r="AR218" s="351">
        <f t="shared" si="99"/>
        <v>0</v>
      </c>
      <c r="AS218" s="351">
        <f t="shared" ref="AS218:AS236" si="105">T218*(U218*IF($AT$209="",$AS$209,$AT$209)+V218*IF($AT$210="",$AS$210,$AT$210))</f>
        <v>0</v>
      </c>
      <c r="AT218" s="276">
        <f t="shared" si="100"/>
        <v>0</v>
      </c>
      <c r="AU218" s="215"/>
      <c r="AV218" s="217"/>
      <c r="AW218" s="217"/>
      <c r="AX218" s="217"/>
      <c r="AY218" s="217"/>
      <c r="AZ218" s="217"/>
      <c r="BA218" s="217"/>
      <c r="BB218" s="217"/>
      <c r="BC218" s="217"/>
      <c r="BD218" s="218"/>
    </row>
    <row r="219" spans="1:56" s="520" customFormat="1" ht="15">
      <c r="B219" s="307"/>
      <c r="C219" s="824">
        <f t="shared" si="101"/>
        <v>3</v>
      </c>
      <c r="D219" s="173"/>
      <c r="E219" s="316"/>
      <c r="F219" s="65" t="s">
        <v>46</v>
      </c>
      <c r="G219" s="68"/>
      <c r="H219" s="326">
        <f t="shared" si="87"/>
        <v>0</v>
      </c>
      <c r="I219" s="30"/>
      <c r="J219" s="824">
        <f>IF(I219="",IF(F219=Lists!B$67,0,Default_HaulRoad_Cover),I219)</f>
        <v>500</v>
      </c>
      <c r="K219" s="867">
        <f t="shared" si="88"/>
        <v>0</v>
      </c>
      <c r="L219" s="326"/>
      <c r="M219" s="30"/>
      <c r="N219" s="867">
        <f t="shared" si="89"/>
        <v>0</v>
      </c>
      <c r="O219" s="324">
        <f t="shared" si="90"/>
        <v>0</v>
      </c>
      <c r="P219" s="316">
        <f t="shared" si="102"/>
        <v>0</v>
      </c>
      <c r="Q219" s="74"/>
      <c r="R219" s="316"/>
      <c r="S219" s="324">
        <f t="shared" si="103"/>
        <v>0</v>
      </c>
      <c r="T219" s="316">
        <f>O219</f>
        <v>0</v>
      </c>
      <c r="U219" s="66">
        <v>1</v>
      </c>
      <c r="V219" s="66"/>
      <c r="W219" s="67">
        <f t="shared" si="91"/>
        <v>0</v>
      </c>
      <c r="X219" s="16" t="str">
        <f t="shared" si="104"/>
        <v>No Alert</v>
      </c>
      <c r="Y219" s="37" t="s">
        <v>125</v>
      </c>
      <c r="Z219" s="60"/>
      <c r="AA219" s="79" t="s">
        <v>349</v>
      </c>
      <c r="AB219" s="60"/>
      <c r="AC219" s="37" t="s">
        <v>125</v>
      </c>
      <c r="AD219" s="60"/>
      <c r="AE219" s="79" t="s">
        <v>349</v>
      </c>
      <c r="AF219" s="60"/>
      <c r="AG219" s="37" t="s">
        <v>125</v>
      </c>
      <c r="AH219" s="60"/>
      <c r="AI219" s="40" t="s">
        <v>348</v>
      </c>
      <c r="AJ219" s="60"/>
      <c r="AK219" s="63">
        <f t="shared" si="92"/>
        <v>6.2664411871606829</v>
      </c>
      <c r="AL219" s="63">
        <f t="shared" si="93"/>
        <v>6.2664411871606829</v>
      </c>
      <c r="AM219" s="63">
        <f t="shared" si="94"/>
        <v>400.15945742176939</v>
      </c>
      <c r="AN219" s="63">
        <f t="shared" si="95"/>
        <v>4.8064250364478198</v>
      </c>
      <c r="AO219" s="351">
        <f t="shared" si="96"/>
        <v>0</v>
      </c>
      <c r="AP219" s="351">
        <f t="shared" si="97"/>
        <v>0</v>
      </c>
      <c r="AQ219" s="351">
        <f t="shared" si="98"/>
        <v>0</v>
      </c>
      <c r="AR219" s="351">
        <f t="shared" si="99"/>
        <v>0</v>
      </c>
      <c r="AS219" s="351">
        <f t="shared" si="105"/>
        <v>0</v>
      </c>
      <c r="AT219" s="276">
        <f t="shared" si="100"/>
        <v>0</v>
      </c>
      <c r="AU219" s="215"/>
      <c r="AV219" s="217"/>
      <c r="AW219" s="217"/>
      <c r="AX219" s="217"/>
      <c r="AY219" s="217"/>
      <c r="AZ219" s="217"/>
      <c r="BA219" s="217"/>
      <c r="BB219" s="217"/>
      <c r="BC219" s="217"/>
      <c r="BD219" s="218"/>
    </row>
    <row r="220" spans="1:56" s="520" customFormat="1" ht="15">
      <c r="B220" s="307"/>
      <c r="C220" s="824">
        <f t="shared" si="101"/>
        <v>4</v>
      </c>
      <c r="D220" s="173"/>
      <c r="E220" s="316"/>
      <c r="F220" s="65" t="s">
        <v>1647</v>
      </c>
      <c r="G220" s="68"/>
      <c r="H220" s="326">
        <f t="shared" si="87"/>
        <v>0</v>
      </c>
      <c r="I220" s="30"/>
      <c r="J220" s="824">
        <f>IF(I220="",IF(F220=Lists!B$67,0,Default_HaulRoad_Cover),I220)</f>
        <v>500</v>
      </c>
      <c r="K220" s="867">
        <f t="shared" si="88"/>
        <v>0</v>
      </c>
      <c r="L220" s="326"/>
      <c r="M220" s="30"/>
      <c r="N220" s="867">
        <f t="shared" si="89"/>
        <v>0</v>
      </c>
      <c r="O220" s="324">
        <f t="shared" si="90"/>
        <v>0</v>
      </c>
      <c r="P220" s="316">
        <f t="shared" si="102"/>
        <v>0</v>
      </c>
      <c r="Q220" s="74"/>
      <c r="R220" s="316"/>
      <c r="S220" s="324">
        <f t="shared" si="103"/>
        <v>0</v>
      </c>
      <c r="T220" s="316">
        <f t="shared" ref="T220:T236" si="106">O220</f>
        <v>0</v>
      </c>
      <c r="U220" s="66">
        <v>1</v>
      </c>
      <c r="V220" s="66"/>
      <c r="W220" s="67">
        <f t="shared" si="91"/>
        <v>0</v>
      </c>
      <c r="X220" s="16" t="str">
        <f t="shared" si="104"/>
        <v>No Alert</v>
      </c>
      <c r="Y220" s="37" t="s">
        <v>125</v>
      </c>
      <c r="Z220" s="60"/>
      <c r="AA220" s="79" t="s">
        <v>349</v>
      </c>
      <c r="AB220" s="60"/>
      <c r="AC220" s="37" t="s">
        <v>125</v>
      </c>
      <c r="AD220" s="60"/>
      <c r="AE220" s="79" t="s">
        <v>349</v>
      </c>
      <c r="AF220" s="60"/>
      <c r="AG220" s="37" t="s">
        <v>125</v>
      </c>
      <c r="AH220" s="60"/>
      <c r="AI220" s="40" t="s">
        <v>348</v>
      </c>
      <c r="AJ220" s="60"/>
      <c r="AK220" s="63">
        <f t="shared" si="92"/>
        <v>6.2664411871606829</v>
      </c>
      <c r="AL220" s="63">
        <f t="shared" si="93"/>
        <v>6.2664411871606829</v>
      </c>
      <c r="AM220" s="63">
        <f t="shared" si="94"/>
        <v>400.15945742176939</v>
      </c>
      <c r="AN220" s="63">
        <f t="shared" si="95"/>
        <v>4.8064250364478198</v>
      </c>
      <c r="AO220" s="351">
        <f t="shared" si="96"/>
        <v>0</v>
      </c>
      <c r="AP220" s="351">
        <f t="shared" si="97"/>
        <v>0</v>
      </c>
      <c r="AQ220" s="351">
        <f t="shared" si="98"/>
        <v>0</v>
      </c>
      <c r="AR220" s="351">
        <f t="shared" si="99"/>
        <v>0</v>
      </c>
      <c r="AS220" s="351">
        <f t="shared" si="105"/>
        <v>0</v>
      </c>
      <c r="AT220" s="276">
        <f t="shared" si="100"/>
        <v>0</v>
      </c>
      <c r="AU220" s="215"/>
      <c r="AV220" s="217"/>
      <c r="AW220" s="217"/>
      <c r="AX220" s="217"/>
      <c r="AY220" s="217"/>
      <c r="AZ220" s="217"/>
      <c r="BA220" s="217"/>
      <c r="BB220" s="217"/>
      <c r="BC220" s="217"/>
      <c r="BD220" s="218"/>
    </row>
    <row r="221" spans="1:56" s="520" customFormat="1" ht="15">
      <c r="B221" s="307"/>
      <c r="C221" s="824">
        <f t="shared" si="101"/>
        <v>5</v>
      </c>
      <c r="D221" s="173"/>
      <c r="E221" s="316"/>
      <c r="F221" s="65" t="s">
        <v>117</v>
      </c>
      <c r="G221" s="68"/>
      <c r="H221" s="326">
        <f t="shared" si="87"/>
        <v>0</v>
      </c>
      <c r="I221" s="30"/>
      <c r="J221" s="824">
        <f>IF(I221="",IF(F221=Lists!B$67,0,Default_HaulRoad_Cover),I221)</f>
        <v>0</v>
      </c>
      <c r="K221" s="867">
        <f t="shared" si="88"/>
        <v>0</v>
      </c>
      <c r="L221" s="326"/>
      <c r="M221" s="30"/>
      <c r="N221" s="867">
        <f t="shared" si="89"/>
        <v>0</v>
      </c>
      <c r="O221" s="324">
        <f t="shared" si="90"/>
        <v>0</v>
      </c>
      <c r="P221" s="316">
        <f t="shared" si="102"/>
        <v>0</v>
      </c>
      <c r="Q221" s="74"/>
      <c r="R221" s="316"/>
      <c r="S221" s="324">
        <f t="shared" si="103"/>
        <v>0</v>
      </c>
      <c r="T221" s="316">
        <f t="shared" si="106"/>
        <v>0</v>
      </c>
      <c r="U221" s="66">
        <v>1</v>
      </c>
      <c r="V221" s="66"/>
      <c r="W221" s="67">
        <f t="shared" si="91"/>
        <v>0</v>
      </c>
      <c r="X221" s="16" t="str">
        <f t="shared" si="104"/>
        <v>No Alert</v>
      </c>
      <c r="Y221" s="37" t="s">
        <v>125</v>
      </c>
      <c r="Z221" s="60"/>
      <c r="AA221" s="79" t="s">
        <v>349</v>
      </c>
      <c r="AB221" s="60"/>
      <c r="AC221" s="37" t="s">
        <v>125</v>
      </c>
      <c r="AD221" s="60"/>
      <c r="AE221" s="79" t="s">
        <v>349</v>
      </c>
      <c r="AF221" s="60"/>
      <c r="AG221" s="37" t="s">
        <v>125</v>
      </c>
      <c r="AH221" s="60"/>
      <c r="AI221" s="40" t="s">
        <v>348</v>
      </c>
      <c r="AJ221" s="60"/>
      <c r="AK221" s="63">
        <f t="shared" si="92"/>
        <v>6.2664411871606829</v>
      </c>
      <c r="AL221" s="63">
        <f t="shared" si="93"/>
        <v>6.2664411871606829</v>
      </c>
      <c r="AM221" s="63">
        <f t="shared" si="94"/>
        <v>400.15945742176939</v>
      </c>
      <c r="AN221" s="63">
        <f t="shared" si="95"/>
        <v>4.8064250364478198</v>
      </c>
      <c r="AO221" s="351">
        <f t="shared" si="96"/>
        <v>0</v>
      </c>
      <c r="AP221" s="351">
        <f t="shared" si="97"/>
        <v>0</v>
      </c>
      <c r="AQ221" s="351">
        <f t="shared" si="98"/>
        <v>0</v>
      </c>
      <c r="AR221" s="351">
        <f t="shared" si="99"/>
        <v>0</v>
      </c>
      <c r="AS221" s="351">
        <f t="shared" si="105"/>
        <v>0</v>
      </c>
      <c r="AT221" s="276">
        <f t="shared" si="100"/>
        <v>0</v>
      </c>
      <c r="AU221" s="215"/>
      <c r="AV221" s="217"/>
      <c r="AW221" s="217"/>
      <c r="AX221" s="217"/>
      <c r="AY221" s="217"/>
      <c r="AZ221" s="217"/>
      <c r="BA221" s="217"/>
      <c r="BB221" s="217"/>
      <c r="BC221" s="217"/>
      <c r="BD221" s="218"/>
    </row>
    <row r="222" spans="1:56" s="520" customFormat="1" ht="15">
      <c r="B222" s="307"/>
      <c r="C222" s="824">
        <f t="shared" si="101"/>
        <v>6</v>
      </c>
      <c r="D222" s="173"/>
      <c r="E222" s="316"/>
      <c r="F222" s="65" t="s">
        <v>117</v>
      </c>
      <c r="G222" s="68"/>
      <c r="H222" s="326">
        <f t="shared" si="87"/>
        <v>0</v>
      </c>
      <c r="I222" s="30"/>
      <c r="J222" s="824">
        <f>IF(I222="",IF(F222=Lists!B$67,0,Default_HaulRoad_Cover),I222)</f>
        <v>0</v>
      </c>
      <c r="K222" s="867">
        <f t="shared" si="88"/>
        <v>0</v>
      </c>
      <c r="L222" s="316"/>
      <c r="M222" s="30"/>
      <c r="N222" s="867">
        <f t="shared" si="89"/>
        <v>0</v>
      </c>
      <c r="O222" s="324">
        <f t="shared" si="90"/>
        <v>0</v>
      </c>
      <c r="P222" s="316">
        <f t="shared" si="102"/>
        <v>0</v>
      </c>
      <c r="Q222" s="74"/>
      <c r="R222" s="316"/>
      <c r="S222" s="324">
        <f t="shared" si="103"/>
        <v>0</v>
      </c>
      <c r="T222" s="316">
        <f t="shared" si="106"/>
        <v>0</v>
      </c>
      <c r="U222" s="66">
        <v>1</v>
      </c>
      <c r="V222" s="66"/>
      <c r="W222" s="67">
        <f t="shared" si="91"/>
        <v>0</v>
      </c>
      <c r="X222" s="16" t="str">
        <f t="shared" si="104"/>
        <v>No Alert</v>
      </c>
      <c r="Y222" s="37" t="s">
        <v>125</v>
      </c>
      <c r="Z222" s="60"/>
      <c r="AA222" s="79" t="s">
        <v>349</v>
      </c>
      <c r="AB222" s="60"/>
      <c r="AC222" s="37" t="s">
        <v>125</v>
      </c>
      <c r="AD222" s="60"/>
      <c r="AE222" s="79" t="s">
        <v>349</v>
      </c>
      <c r="AF222" s="60"/>
      <c r="AG222" s="37" t="s">
        <v>125</v>
      </c>
      <c r="AH222" s="60"/>
      <c r="AI222" s="40" t="s">
        <v>348</v>
      </c>
      <c r="AJ222" s="60"/>
      <c r="AK222" s="63">
        <f t="shared" si="92"/>
        <v>6.2664411871606829</v>
      </c>
      <c r="AL222" s="63">
        <f t="shared" si="93"/>
        <v>6.2664411871606829</v>
      </c>
      <c r="AM222" s="63">
        <f t="shared" si="94"/>
        <v>400.15945742176939</v>
      </c>
      <c r="AN222" s="63">
        <f t="shared" si="95"/>
        <v>4.8064250364478198</v>
      </c>
      <c r="AO222" s="351">
        <f t="shared" si="96"/>
        <v>0</v>
      </c>
      <c r="AP222" s="351">
        <f t="shared" si="97"/>
        <v>0</v>
      </c>
      <c r="AQ222" s="351">
        <f t="shared" si="98"/>
        <v>0</v>
      </c>
      <c r="AR222" s="351">
        <f t="shared" si="99"/>
        <v>0</v>
      </c>
      <c r="AS222" s="351">
        <f t="shared" si="105"/>
        <v>0</v>
      </c>
      <c r="AT222" s="276">
        <f t="shared" si="100"/>
        <v>0</v>
      </c>
      <c r="AU222" s="215"/>
      <c r="AV222" s="217"/>
      <c r="AW222" s="217"/>
      <c r="AX222" s="217"/>
      <c r="AY222" s="217"/>
      <c r="AZ222" s="217"/>
      <c r="BA222" s="217"/>
      <c r="BB222" s="217"/>
      <c r="BC222" s="217"/>
      <c r="BD222" s="218"/>
    </row>
    <row r="223" spans="1:56" s="520" customFormat="1" ht="15">
      <c r="B223" s="307"/>
      <c r="C223" s="824">
        <f t="shared" si="101"/>
        <v>7</v>
      </c>
      <c r="D223" s="173"/>
      <c r="E223" s="316"/>
      <c r="F223" s="65" t="s">
        <v>117</v>
      </c>
      <c r="G223" s="68"/>
      <c r="H223" s="326">
        <f t="shared" si="87"/>
        <v>0</v>
      </c>
      <c r="I223" s="30"/>
      <c r="J223" s="824">
        <f>IF(I223="",IF(F223=Lists!B$67,0,Default_HaulRoad_Cover),I223)</f>
        <v>0</v>
      </c>
      <c r="K223" s="867">
        <f t="shared" si="88"/>
        <v>0</v>
      </c>
      <c r="L223" s="316"/>
      <c r="M223" s="30"/>
      <c r="N223" s="867">
        <f t="shared" si="89"/>
        <v>0</v>
      </c>
      <c r="O223" s="324">
        <f t="shared" si="90"/>
        <v>0</v>
      </c>
      <c r="P223" s="316">
        <f t="shared" si="102"/>
        <v>0</v>
      </c>
      <c r="Q223" s="74"/>
      <c r="R223" s="316"/>
      <c r="S223" s="324">
        <f t="shared" si="103"/>
        <v>0</v>
      </c>
      <c r="T223" s="316">
        <f t="shared" si="106"/>
        <v>0</v>
      </c>
      <c r="U223" s="66">
        <v>1</v>
      </c>
      <c r="V223" s="66"/>
      <c r="W223" s="67">
        <f t="shared" si="91"/>
        <v>0</v>
      </c>
      <c r="X223" s="16" t="str">
        <f t="shared" si="104"/>
        <v>No Alert</v>
      </c>
      <c r="Y223" s="37" t="s">
        <v>125</v>
      </c>
      <c r="Z223" s="60"/>
      <c r="AA223" s="79" t="s">
        <v>349</v>
      </c>
      <c r="AB223" s="60"/>
      <c r="AC223" s="37" t="s">
        <v>125</v>
      </c>
      <c r="AD223" s="60"/>
      <c r="AE223" s="79" t="s">
        <v>349</v>
      </c>
      <c r="AF223" s="60"/>
      <c r="AG223" s="37" t="s">
        <v>125</v>
      </c>
      <c r="AH223" s="60"/>
      <c r="AI223" s="40" t="s">
        <v>348</v>
      </c>
      <c r="AJ223" s="60"/>
      <c r="AK223" s="63">
        <f t="shared" si="92"/>
        <v>6.2664411871606829</v>
      </c>
      <c r="AL223" s="63">
        <f t="shared" si="93"/>
        <v>6.2664411871606829</v>
      </c>
      <c r="AM223" s="63">
        <f t="shared" si="94"/>
        <v>400.15945742176939</v>
      </c>
      <c r="AN223" s="63">
        <f t="shared" si="95"/>
        <v>4.8064250364478198</v>
      </c>
      <c r="AO223" s="351">
        <f t="shared" si="96"/>
        <v>0</v>
      </c>
      <c r="AP223" s="351">
        <f t="shared" si="97"/>
        <v>0</v>
      </c>
      <c r="AQ223" s="351">
        <f t="shared" si="98"/>
        <v>0</v>
      </c>
      <c r="AR223" s="351">
        <f t="shared" si="99"/>
        <v>0</v>
      </c>
      <c r="AS223" s="351">
        <f t="shared" si="105"/>
        <v>0</v>
      </c>
      <c r="AT223" s="276">
        <f t="shared" si="100"/>
        <v>0</v>
      </c>
      <c r="AU223" s="215"/>
      <c r="AV223" s="217"/>
      <c r="AW223" s="217"/>
      <c r="AX223" s="217"/>
      <c r="AY223" s="217"/>
      <c r="AZ223" s="217"/>
      <c r="BA223" s="217"/>
      <c r="BB223" s="217"/>
      <c r="BC223" s="217"/>
      <c r="BD223" s="218"/>
    </row>
    <row r="224" spans="1:56" s="520" customFormat="1" ht="15">
      <c r="B224" s="307"/>
      <c r="C224" s="824">
        <f t="shared" si="101"/>
        <v>8</v>
      </c>
      <c r="D224" s="173"/>
      <c r="E224" s="316"/>
      <c r="F224" s="65" t="s">
        <v>117</v>
      </c>
      <c r="G224" s="68"/>
      <c r="H224" s="326">
        <f t="shared" si="87"/>
        <v>0</v>
      </c>
      <c r="I224" s="30"/>
      <c r="J224" s="824">
        <f>IF(I224="",IF(F224=Lists!B$67,0,Default_HaulRoad_Cover),I224)</f>
        <v>0</v>
      </c>
      <c r="K224" s="867">
        <f t="shared" si="88"/>
        <v>0</v>
      </c>
      <c r="L224" s="316"/>
      <c r="M224" s="30"/>
      <c r="N224" s="867">
        <f t="shared" si="89"/>
        <v>0</v>
      </c>
      <c r="O224" s="324">
        <f t="shared" si="90"/>
        <v>0</v>
      </c>
      <c r="P224" s="316">
        <f t="shared" si="102"/>
        <v>0</v>
      </c>
      <c r="Q224" s="74"/>
      <c r="R224" s="316"/>
      <c r="S224" s="324">
        <f t="shared" si="103"/>
        <v>0</v>
      </c>
      <c r="T224" s="316">
        <f t="shared" si="106"/>
        <v>0</v>
      </c>
      <c r="U224" s="66">
        <v>1</v>
      </c>
      <c r="V224" s="66"/>
      <c r="W224" s="67">
        <f t="shared" si="91"/>
        <v>0</v>
      </c>
      <c r="X224" s="16" t="str">
        <f t="shared" si="104"/>
        <v>No Alert</v>
      </c>
      <c r="Y224" s="37" t="s">
        <v>125</v>
      </c>
      <c r="Z224" s="60"/>
      <c r="AA224" s="79" t="s">
        <v>349</v>
      </c>
      <c r="AB224" s="60"/>
      <c r="AC224" s="37" t="s">
        <v>125</v>
      </c>
      <c r="AD224" s="60"/>
      <c r="AE224" s="79" t="s">
        <v>349</v>
      </c>
      <c r="AF224" s="60"/>
      <c r="AG224" s="37" t="s">
        <v>125</v>
      </c>
      <c r="AH224" s="60"/>
      <c r="AI224" s="40" t="s">
        <v>348</v>
      </c>
      <c r="AJ224" s="60"/>
      <c r="AK224" s="63">
        <f t="shared" si="92"/>
        <v>6.2664411871606829</v>
      </c>
      <c r="AL224" s="63">
        <f t="shared" si="93"/>
        <v>6.2664411871606829</v>
      </c>
      <c r="AM224" s="63">
        <f t="shared" si="94"/>
        <v>400.15945742176939</v>
      </c>
      <c r="AN224" s="63">
        <f t="shared" si="95"/>
        <v>4.8064250364478198</v>
      </c>
      <c r="AO224" s="351">
        <f t="shared" si="96"/>
        <v>0</v>
      </c>
      <c r="AP224" s="351">
        <f t="shared" si="97"/>
        <v>0</v>
      </c>
      <c r="AQ224" s="351">
        <f t="shared" si="98"/>
        <v>0</v>
      </c>
      <c r="AR224" s="351">
        <f t="shared" si="99"/>
        <v>0</v>
      </c>
      <c r="AS224" s="351">
        <f t="shared" si="105"/>
        <v>0</v>
      </c>
      <c r="AT224" s="276">
        <f t="shared" si="100"/>
        <v>0</v>
      </c>
      <c r="AU224" s="215"/>
      <c r="AV224" s="217"/>
      <c r="AW224" s="217"/>
      <c r="AX224" s="217"/>
      <c r="AY224" s="217"/>
      <c r="AZ224" s="217"/>
      <c r="BA224" s="217"/>
      <c r="BB224" s="217"/>
      <c r="BC224" s="217"/>
      <c r="BD224" s="218"/>
    </row>
    <row r="225" spans="2:56" s="520" customFormat="1" ht="15">
      <c r="B225" s="307"/>
      <c r="C225" s="824">
        <f t="shared" si="101"/>
        <v>9</v>
      </c>
      <c r="D225" s="173"/>
      <c r="E225" s="316"/>
      <c r="F225" s="65" t="s">
        <v>117</v>
      </c>
      <c r="G225" s="68"/>
      <c r="H225" s="326">
        <f t="shared" si="87"/>
        <v>0</v>
      </c>
      <c r="I225" s="30"/>
      <c r="J225" s="824">
        <f>IF(I225="",IF(F225=Lists!B$67,0,Default_HaulRoad_Cover),I225)</f>
        <v>0</v>
      </c>
      <c r="K225" s="867">
        <f t="shared" si="88"/>
        <v>0</v>
      </c>
      <c r="L225" s="316"/>
      <c r="M225" s="30"/>
      <c r="N225" s="867">
        <f t="shared" si="89"/>
        <v>0</v>
      </c>
      <c r="O225" s="324">
        <f t="shared" si="90"/>
        <v>0</v>
      </c>
      <c r="P225" s="316">
        <f t="shared" si="102"/>
        <v>0</v>
      </c>
      <c r="Q225" s="74"/>
      <c r="R225" s="316"/>
      <c r="S225" s="324">
        <f t="shared" si="103"/>
        <v>0</v>
      </c>
      <c r="T225" s="316">
        <f t="shared" si="106"/>
        <v>0</v>
      </c>
      <c r="U225" s="66">
        <v>1</v>
      </c>
      <c r="V225" s="66"/>
      <c r="W225" s="67">
        <f t="shared" si="91"/>
        <v>0</v>
      </c>
      <c r="X225" s="16" t="str">
        <f t="shared" si="104"/>
        <v>No Alert</v>
      </c>
      <c r="Y225" s="37" t="s">
        <v>125</v>
      </c>
      <c r="Z225" s="60"/>
      <c r="AA225" s="79" t="s">
        <v>349</v>
      </c>
      <c r="AB225" s="60"/>
      <c r="AC225" s="37" t="s">
        <v>125</v>
      </c>
      <c r="AD225" s="60"/>
      <c r="AE225" s="79" t="s">
        <v>349</v>
      </c>
      <c r="AF225" s="60"/>
      <c r="AG225" s="37" t="s">
        <v>125</v>
      </c>
      <c r="AH225" s="60"/>
      <c r="AI225" s="40" t="s">
        <v>348</v>
      </c>
      <c r="AJ225" s="60"/>
      <c r="AK225" s="63">
        <f t="shared" si="92"/>
        <v>6.2664411871606829</v>
      </c>
      <c r="AL225" s="63">
        <f t="shared" si="93"/>
        <v>6.2664411871606829</v>
      </c>
      <c r="AM225" s="63">
        <f t="shared" si="94"/>
        <v>400.15945742176939</v>
      </c>
      <c r="AN225" s="63">
        <f t="shared" si="95"/>
        <v>4.8064250364478198</v>
      </c>
      <c r="AO225" s="351">
        <f t="shared" si="96"/>
        <v>0</v>
      </c>
      <c r="AP225" s="351">
        <f t="shared" si="97"/>
        <v>0</v>
      </c>
      <c r="AQ225" s="351">
        <f t="shared" si="98"/>
        <v>0</v>
      </c>
      <c r="AR225" s="351">
        <f t="shared" si="99"/>
        <v>0</v>
      </c>
      <c r="AS225" s="351">
        <f t="shared" si="105"/>
        <v>0</v>
      </c>
      <c r="AT225" s="276">
        <f t="shared" si="100"/>
        <v>0</v>
      </c>
      <c r="AU225" s="215"/>
      <c r="AV225" s="217"/>
      <c r="AW225" s="217"/>
      <c r="AX225" s="217"/>
      <c r="AY225" s="217"/>
      <c r="AZ225" s="217"/>
      <c r="BA225" s="217"/>
      <c r="BB225" s="217"/>
      <c r="BC225" s="217"/>
      <c r="BD225" s="218"/>
    </row>
    <row r="226" spans="2:56" s="520" customFormat="1" ht="15">
      <c r="B226" s="307"/>
      <c r="C226" s="824">
        <f t="shared" si="101"/>
        <v>10</v>
      </c>
      <c r="D226" s="173"/>
      <c r="E226" s="316"/>
      <c r="F226" s="65" t="s">
        <v>117</v>
      </c>
      <c r="G226" s="68"/>
      <c r="H226" s="326">
        <f t="shared" si="87"/>
        <v>0</v>
      </c>
      <c r="I226" s="30"/>
      <c r="J226" s="824">
        <f>IF(I226="",IF(F226=Lists!B$67,0,Default_HaulRoad_Cover),I226)</f>
        <v>0</v>
      </c>
      <c r="K226" s="867">
        <f t="shared" si="88"/>
        <v>0</v>
      </c>
      <c r="L226" s="316"/>
      <c r="M226" s="30"/>
      <c r="N226" s="867">
        <f t="shared" si="89"/>
        <v>0</v>
      </c>
      <c r="O226" s="324">
        <f t="shared" si="90"/>
        <v>0</v>
      </c>
      <c r="P226" s="316">
        <f t="shared" si="102"/>
        <v>0</v>
      </c>
      <c r="Q226" s="74"/>
      <c r="R226" s="316"/>
      <c r="S226" s="324">
        <f t="shared" si="103"/>
        <v>0</v>
      </c>
      <c r="T226" s="316">
        <f t="shared" si="106"/>
        <v>0</v>
      </c>
      <c r="U226" s="66">
        <v>1</v>
      </c>
      <c r="V226" s="66"/>
      <c r="W226" s="67">
        <f t="shared" si="91"/>
        <v>0</v>
      </c>
      <c r="X226" s="16" t="str">
        <f t="shared" si="104"/>
        <v>No Alert</v>
      </c>
      <c r="Y226" s="37" t="s">
        <v>125</v>
      </c>
      <c r="Z226" s="60"/>
      <c r="AA226" s="79" t="s">
        <v>349</v>
      </c>
      <c r="AB226" s="60"/>
      <c r="AC226" s="37" t="s">
        <v>125</v>
      </c>
      <c r="AD226" s="60"/>
      <c r="AE226" s="79" t="s">
        <v>349</v>
      </c>
      <c r="AF226" s="60"/>
      <c r="AG226" s="37" t="s">
        <v>125</v>
      </c>
      <c r="AH226" s="60"/>
      <c r="AI226" s="40" t="s">
        <v>348</v>
      </c>
      <c r="AJ226" s="60"/>
      <c r="AK226" s="63">
        <f t="shared" si="92"/>
        <v>6.2664411871606829</v>
      </c>
      <c r="AL226" s="63">
        <f t="shared" si="93"/>
        <v>6.2664411871606829</v>
      </c>
      <c r="AM226" s="63">
        <f t="shared" si="94"/>
        <v>400.15945742176939</v>
      </c>
      <c r="AN226" s="63">
        <f t="shared" si="95"/>
        <v>4.8064250364478198</v>
      </c>
      <c r="AO226" s="351">
        <f t="shared" si="96"/>
        <v>0</v>
      </c>
      <c r="AP226" s="351">
        <f t="shared" si="97"/>
        <v>0</v>
      </c>
      <c r="AQ226" s="351">
        <f t="shared" si="98"/>
        <v>0</v>
      </c>
      <c r="AR226" s="351">
        <f t="shared" si="99"/>
        <v>0</v>
      </c>
      <c r="AS226" s="351">
        <f t="shared" si="105"/>
        <v>0</v>
      </c>
      <c r="AT226" s="276">
        <f t="shared" si="100"/>
        <v>0</v>
      </c>
      <c r="AU226" s="215"/>
      <c r="AV226" s="217"/>
      <c r="AW226" s="217"/>
      <c r="AX226" s="217"/>
      <c r="AY226" s="217"/>
      <c r="AZ226" s="217"/>
      <c r="BA226" s="217"/>
      <c r="BB226" s="217"/>
      <c r="BC226" s="217"/>
      <c r="BD226" s="218"/>
    </row>
    <row r="227" spans="2:56" s="520" customFormat="1" ht="15">
      <c r="B227" s="307"/>
      <c r="C227" s="824">
        <f t="shared" si="101"/>
        <v>11</v>
      </c>
      <c r="D227" s="173"/>
      <c r="E227" s="316"/>
      <c r="F227" s="65" t="s">
        <v>117</v>
      </c>
      <c r="G227" s="68"/>
      <c r="H227" s="326">
        <f t="shared" si="87"/>
        <v>0</v>
      </c>
      <c r="I227" s="30"/>
      <c r="J227" s="824">
        <f>IF(I227="",IF(F227=Lists!B$67,0,Default_HaulRoad_Cover),I227)</f>
        <v>0</v>
      </c>
      <c r="K227" s="867">
        <f t="shared" si="88"/>
        <v>0</v>
      </c>
      <c r="L227" s="316"/>
      <c r="M227" s="30"/>
      <c r="N227" s="867">
        <f t="shared" si="89"/>
        <v>0</v>
      </c>
      <c r="O227" s="324">
        <f t="shared" si="90"/>
        <v>0</v>
      </c>
      <c r="P227" s="316">
        <f t="shared" si="102"/>
        <v>0</v>
      </c>
      <c r="Q227" s="74"/>
      <c r="R227" s="316"/>
      <c r="S227" s="324">
        <f t="shared" si="103"/>
        <v>0</v>
      </c>
      <c r="T227" s="316">
        <f t="shared" si="106"/>
        <v>0</v>
      </c>
      <c r="U227" s="66">
        <v>1</v>
      </c>
      <c r="V227" s="66"/>
      <c r="W227" s="67">
        <f t="shared" si="91"/>
        <v>0</v>
      </c>
      <c r="X227" s="16" t="str">
        <f t="shared" si="104"/>
        <v>No Alert</v>
      </c>
      <c r="Y227" s="37" t="s">
        <v>125</v>
      </c>
      <c r="Z227" s="60"/>
      <c r="AA227" s="79" t="s">
        <v>349</v>
      </c>
      <c r="AB227" s="60"/>
      <c r="AC227" s="37" t="s">
        <v>125</v>
      </c>
      <c r="AD227" s="60"/>
      <c r="AE227" s="79" t="s">
        <v>349</v>
      </c>
      <c r="AF227" s="60"/>
      <c r="AG227" s="37" t="s">
        <v>125</v>
      </c>
      <c r="AH227" s="60"/>
      <c r="AI227" s="40" t="s">
        <v>348</v>
      </c>
      <c r="AJ227" s="60"/>
      <c r="AK227" s="63">
        <f t="shared" si="92"/>
        <v>6.2664411871606829</v>
      </c>
      <c r="AL227" s="63">
        <f t="shared" si="93"/>
        <v>6.2664411871606829</v>
      </c>
      <c r="AM227" s="63">
        <f t="shared" si="94"/>
        <v>400.15945742176939</v>
      </c>
      <c r="AN227" s="63">
        <f t="shared" si="95"/>
        <v>4.8064250364478198</v>
      </c>
      <c r="AO227" s="351">
        <f t="shared" si="96"/>
        <v>0</v>
      </c>
      <c r="AP227" s="351">
        <f t="shared" si="97"/>
        <v>0</v>
      </c>
      <c r="AQ227" s="351">
        <f t="shared" si="98"/>
        <v>0</v>
      </c>
      <c r="AR227" s="351">
        <f t="shared" si="99"/>
        <v>0</v>
      </c>
      <c r="AS227" s="351">
        <f t="shared" si="105"/>
        <v>0</v>
      </c>
      <c r="AT227" s="276">
        <f t="shared" si="100"/>
        <v>0</v>
      </c>
      <c r="AU227" s="215"/>
      <c r="AV227" s="217"/>
      <c r="AW227" s="217"/>
      <c r="AX227" s="217"/>
      <c r="AY227" s="217"/>
      <c r="AZ227" s="217"/>
      <c r="BA227" s="217"/>
      <c r="BB227" s="217"/>
      <c r="BC227" s="217"/>
      <c r="BD227" s="218"/>
    </row>
    <row r="228" spans="2:56" s="520" customFormat="1" ht="15">
      <c r="B228" s="307"/>
      <c r="C228" s="824">
        <f t="shared" si="101"/>
        <v>12</v>
      </c>
      <c r="D228" s="173"/>
      <c r="E228" s="316"/>
      <c r="F228" s="65" t="s">
        <v>117</v>
      </c>
      <c r="G228" s="68"/>
      <c r="H228" s="326">
        <f t="shared" si="87"/>
        <v>0</v>
      </c>
      <c r="I228" s="30"/>
      <c r="J228" s="824">
        <f>IF(I228="",IF(F228=Lists!B$67,0,Default_HaulRoad_Cover),I228)</f>
        <v>0</v>
      </c>
      <c r="K228" s="867">
        <f t="shared" si="88"/>
        <v>0</v>
      </c>
      <c r="L228" s="316"/>
      <c r="M228" s="30"/>
      <c r="N228" s="867">
        <f t="shared" si="89"/>
        <v>0</v>
      </c>
      <c r="O228" s="324">
        <f t="shared" si="90"/>
        <v>0</v>
      </c>
      <c r="P228" s="316">
        <f t="shared" si="102"/>
        <v>0</v>
      </c>
      <c r="Q228" s="74"/>
      <c r="R228" s="316"/>
      <c r="S228" s="324">
        <f t="shared" si="103"/>
        <v>0</v>
      </c>
      <c r="T228" s="316">
        <f t="shared" si="106"/>
        <v>0</v>
      </c>
      <c r="U228" s="66">
        <v>1</v>
      </c>
      <c r="V228" s="66"/>
      <c r="W228" s="67">
        <f t="shared" si="91"/>
        <v>0</v>
      </c>
      <c r="X228" s="16" t="str">
        <f t="shared" si="104"/>
        <v>No Alert</v>
      </c>
      <c r="Y228" s="37" t="s">
        <v>125</v>
      </c>
      <c r="Z228" s="60"/>
      <c r="AA228" s="79" t="s">
        <v>349</v>
      </c>
      <c r="AB228" s="60"/>
      <c r="AC228" s="37" t="s">
        <v>125</v>
      </c>
      <c r="AD228" s="60"/>
      <c r="AE228" s="79" t="s">
        <v>349</v>
      </c>
      <c r="AF228" s="60"/>
      <c r="AG228" s="37" t="s">
        <v>125</v>
      </c>
      <c r="AH228" s="60"/>
      <c r="AI228" s="40" t="s">
        <v>348</v>
      </c>
      <c r="AJ228" s="60"/>
      <c r="AK228" s="63">
        <f t="shared" si="92"/>
        <v>6.2664411871606829</v>
      </c>
      <c r="AL228" s="63">
        <f t="shared" si="93"/>
        <v>6.2664411871606829</v>
      </c>
      <c r="AM228" s="63">
        <f t="shared" si="94"/>
        <v>400.15945742176939</v>
      </c>
      <c r="AN228" s="63">
        <f t="shared" si="95"/>
        <v>4.8064250364478198</v>
      </c>
      <c r="AO228" s="351">
        <f t="shared" si="96"/>
        <v>0</v>
      </c>
      <c r="AP228" s="351">
        <f t="shared" si="97"/>
        <v>0</v>
      </c>
      <c r="AQ228" s="351">
        <f t="shared" si="98"/>
        <v>0</v>
      </c>
      <c r="AR228" s="351">
        <f t="shared" si="99"/>
        <v>0</v>
      </c>
      <c r="AS228" s="351">
        <f t="shared" si="105"/>
        <v>0</v>
      </c>
      <c r="AT228" s="276">
        <f t="shared" si="100"/>
        <v>0</v>
      </c>
      <c r="AU228" s="215"/>
      <c r="AV228" s="217"/>
      <c r="AW228" s="217"/>
      <c r="AX228" s="217"/>
      <c r="AY228" s="217"/>
      <c r="AZ228" s="217"/>
      <c r="BA228" s="217"/>
      <c r="BB228" s="217"/>
      <c r="BC228" s="217"/>
      <c r="BD228" s="218"/>
    </row>
    <row r="229" spans="2:56" s="520" customFormat="1" ht="15">
      <c r="B229" s="307"/>
      <c r="C229" s="824">
        <f t="shared" si="101"/>
        <v>13</v>
      </c>
      <c r="D229" s="173"/>
      <c r="E229" s="316"/>
      <c r="F229" s="65" t="s">
        <v>117</v>
      </c>
      <c r="G229" s="68"/>
      <c r="H229" s="326">
        <f t="shared" si="87"/>
        <v>0</v>
      </c>
      <c r="I229" s="30"/>
      <c r="J229" s="824">
        <f>IF(I229="",IF(F229=Lists!B$67,0,Default_HaulRoad_Cover),I229)</f>
        <v>0</v>
      </c>
      <c r="K229" s="867">
        <f t="shared" si="88"/>
        <v>0</v>
      </c>
      <c r="L229" s="316"/>
      <c r="M229" s="30"/>
      <c r="N229" s="867">
        <f t="shared" si="89"/>
        <v>0</v>
      </c>
      <c r="O229" s="324">
        <f t="shared" si="90"/>
        <v>0</v>
      </c>
      <c r="P229" s="316">
        <f t="shared" si="102"/>
        <v>0</v>
      </c>
      <c r="Q229" s="74"/>
      <c r="R229" s="316"/>
      <c r="S229" s="324">
        <f t="shared" si="103"/>
        <v>0</v>
      </c>
      <c r="T229" s="316">
        <f t="shared" si="106"/>
        <v>0</v>
      </c>
      <c r="U229" s="66">
        <v>1</v>
      </c>
      <c r="V229" s="66"/>
      <c r="W229" s="67">
        <f t="shared" si="91"/>
        <v>0</v>
      </c>
      <c r="X229" s="16" t="str">
        <f t="shared" si="104"/>
        <v>No Alert</v>
      </c>
      <c r="Y229" s="37" t="s">
        <v>125</v>
      </c>
      <c r="Z229" s="60"/>
      <c r="AA229" s="79" t="s">
        <v>349</v>
      </c>
      <c r="AB229" s="60"/>
      <c r="AC229" s="37" t="s">
        <v>125</v>
      </c>
      <c r="AD229" s="60"/>
      <c r="AE229" s="79" t="s">
        <v>349</v>
      </c>
      <c r="AF229" s="60"/>
      <c r="AG229" s="37" t="s">
        <v>125</v>
      </c>
      <c r="AH229" s="60"/>
      <c r="AI229" s="40" t="s">
        <v>348</v>
      </c>
      <c r="AJ229" s="60"/>
      <c r="AK229" s="63">
        <f t="shared" si="92"/>
        <v>6.2664411871606829</v>
      </c>
      <c r="AL229" s="63">
        <f t="shared" si="93"/>
        <v>6.2664411871606829</v>
      </c>
      <c r="AM229" s="63">
        <f t="shared" si="94"/>
        <v>400.15945742176939</v>
      </c>
      <c r="AN229" s="63">
        <f t="shared" si="95"/>
        <v>4.8064250364478198</v>
      </c>
      <c r="AO229" s="351">
        <f t="shared" si="96"/>
        <v>0</v>
      </c>
      <c r="AP229" s="351">
        <f t="shared" si="97"/>
        <v>0</v>
      </c>
      <c r="AQ229" s="351">
        <f t="shared" si="98"/>
        <v>0</v>
      </c>
      <c r="AR229" s="351">
        <f t="shared" si="99"/>
        <v>0</v>
      </c>
      <c r="AS229" s="351">
        <f t="shared" si="105"/>
        <v>0</v>
      </c>
      <c r="AT229" s="276">
        <f t="shared" si="100"/>
        <v>0</v>
      </c>
      <c r="AU229" s="215"/>
      <c r="AV229" s="217"/>
      <c r="AW229" s="217"/>
      <c r="AX229" s="217"/>
      <c r="AY229" s="217"/>
      <c r="AZ229" s="217"/>
      <c r="BA229" s="217"/>
      <c r="BB229" s="217"/>
      <c r="BC229" s="217"/>
      <c r="BD229" s="218"/>
    </row>
    <row r="230" spans="2:56" s="520" customFormat="1" ht="15">
      <c r="B230" s="307"/>
      <c r="C230" s="824">
        <f t="shared" si="101"/>
        <v>14</v>
      </c>
      <c r="D230" s="173"/>
      <c r="E230" s="316"/>
      <c r="F230" s="65" t="s">
        <v>117</v>
      </c>
      <c r="G230" s="68"/>
      <c r="H230" s="326">
        <f t="shared" si="87"/>
        <v>0</v>
      </c>
      <c r="I230" s="30"/>
      <c r="J230" s="824">
        <f>IF(I230="",IF(F230=Lists!B$67,0,Default_HaulRoad_Cover),I230)</f>
        <v>0</v>
      </c>
      <c r="K230" s="867">
        <f t="shared" si="88"/>
        <v>0</v>
      </c>
      <c r="L230" s="316"/>
      <c r="M230" s="30"/>
      <c r="N230" s="867">
        <f t="shared" si="89"/>
        <v>0</v>
      </c>
      <c r="O230" s="324">
        <f t="shared" si="90"/>
        <v>0</v>
      </c>
      <c r="P230" s="316">
        <f t="shared" si="102"/>
        <v>0</v>
      </c>
      <c r="Q230" s="74"/>
      <c r="R230" s="316"/>
      <c r="S230" s="324">
        <f t="shared" si="103"/>
        <v>0</v>
      </c>
      <c r="T230" s="316">
        <f t="shared" si="106"/>
        <v>0</v>
      </c>
      <c r="U230" s="66">
        <v>1</v>
      </c>
      <c r="V230" s="66"/>
      <c r="W230" s="67">
        <f t="shared" si="91"/>
        <v>0</v>
      </c>
      <c r="X230" s="16" t="str">
        <f t="shared" si="104"/>
        <v>No Alert</v>
      </c>
      <c r="Y230" s="37" t="s">
        <v>125</v>
      </c>
      <c r="Z230" s="60"/>
      <c r="AA230" s="79" t="s">
        <v>349</v>
      </c>
      <c r="AB230" s="60"/>
      <c r="AC230" s="37" t="s">
        <v>125</v>
      </c>
      <c r="AD230" s="60"/>
      <c r="AE230" s="79" t="s">
        <v>349</v>
      </c>
      <c r="AF230" s="60"/>
      <c r="AG230" s="37" t="s">
        <v>125</v>
      </c>
      <c r="AH230" s="60"/>
      <c r="AI230" s="40" t="s">
        <v>348</v>
      </c>
      <c r="AJ230" s="60"/>
      <c r="AK230" s="63">
        <f t="shared" si="92"/>
        <v>6.2664411871606829</v>
      </c>
      <c r="AL230" s="63">
        <f t="shared" si="93"/>
        <v>6.2664411871606829</v>
      </c>
      <c r="AM230" s="63">
        <f t="shared" si="94"/>
        <v>400.15945742176939</v>
      </c>
      <c r="AN230" s="63">
        <f t="shared" si="95"/>
        <v>4.8064250364478198</v>
      </c>
      <c r="AO230" s="351">
        <f t="shared" si="96"/>
        <v>0</v>
      </c>
      <c r="AP230" s="351">
        <f t="shared" si="97"/>
        <v>0</v>
      </c>
      <c r="AQ230" s="351">
        <f t="shared" si="98"/>
        <v>0</v>
      </c>
      <c r="AR230" s="351">
        <f t="shared" si="99"/>
        <v>0</v>
      </c>
      <c r="AS230" s="351">
        <f t="shared" si="105"/>
        <v>0</v>
      </c>
      <c r="AT230" s="276">
        <f t="shared" si="100"/>
        <v>0</v>
      </c>
      <c r="AU230" s="215"/>
      <c r="AV230" s="217"/>
      <c r="AW230" s="217"/>
      <c r="AX230" s="217"/>
      <c r="AY230" s="217"/>
      <c r="AZ230" s="217"/>
      <c r="BA230" s="217"/>
      <c r="BB230" s="217"/>
      <c r="BC230" s="217"/>
      <c r="BD230" s="218"/>
    </row>
    <row r="231" spans="2:56" s="520" customFormat="1" ht="15">
      <c r="B231" s="307"/>
      <c r="C231" s="824">
        <f t="shared" si="101"/>
        <v>15</v>
      </c>
      <c r="D231" s="173"/>
      <c r="E231" s="316"/>
      <c r="F231" s="65" t="s">
        <v>117</v>
      </c>
      <c r="G231" s="68"/>
      <c r="H231" s="326">
        <f t="shared" si="87"/>
        <v>0</v>
      </c>
      <c r="I231" s="30"/>
      <c r="J231" s="824">
        <f>IF(I231="",IF(F231=Lists!B$67,0,Default_HaulRoad_Cover),I231)</f>
        <v>0</v>
      </c>
      <c r="K231" s="867">
        <f t="shared" si="88"/>
        <v>0</v>
      </c>
      <c r="L231" s="316"/>
      <c r="M231" s="30"/>
      <c r="N231" s="867">
        <f t="shared" si="89"/>
        <v>0</v>
      </c>
      <c r="O231" s="324">
        <f t="shared" si="90"/>
        <v>0</v>
      </c>
      <c r="P231" s="316">
        <f t="shared" si="102"/>
        <v>0</v>
      </c>
      <c r="Q231" s="74"/>
      <c r="R231" s="316"/>
      <c r="S231" s="324">
        <f t="shared" si="103"/>
        <v>0</v>
      </c>
      <c r="T231" s="316">
        <f t="shared" si="106"/>
        <v>0</v>
      </c>
      <c r="U231" s="66">
        <v>1</v>
      </c>
      <c r="V231" s="66"/>
      <c r="W231" s="67">
        <f t="shared" si="91"/>
        <v>0</v>
      </c>
      <c r="X231" s="16" t="str">
        <f t="shared" si="104"/>
        <v>No Alert</v>
      </c>
      <c r="Y231" s="37" t="s">
        <v>125</v>
      </c>
      <c r="Z231" s="60"/>
      <c r="AA231" s="79" t="s">
        <v>349</v>
      </c>
      <c r="AB231" s="60"/>
      <c r="AC231" s="37" t="s">
        <v>125</v>
      </c>
      <c r="AD231" s="60"/>
      <c r="AE231" s="79" t="s">
        <v>349</v>
      </c>
      <c r="AF231" s="60"/>
      <c r="AG231" s="37" t="s">
        <v>125</v>
      </c>
      <c r="AH231" s="60"/>
      <c r="AI231" s="40" t="s">
        <v>348</v>
      </c>
      <c r="AJ231" s="60"/>
      <c r="AK231" s="63">
        <f t="shared" si="92"/>
        <v>6.2664411871606829</v>
      </c>
      <c r="AL231" s="63">
        <f t="shared" si="93"/>
        <v>6.2664411871606829</v>
      </c>
      <c r="AM231" s="63">
        <f t="shared" si="94"/>
        <v>400.15945742176939</v>
      </c>
      <c r="AN231" s="63">
        <f t="shared" si="95"/>
        <v>4.8064250364478198</v>
      </c>
      <c r="AO231" s="351">
        <f t="shared" si="96"/>
        <v>0</v>
      </c>
      <c r="AP231" s="351">
        <f t="shared" si="97"/>
        <v>0</v>
      </c>
      <c r="AQ231" s="351">
        <f t="shared" si="98"/>
        <v>0</v>
      </c>
      <c r="AR231" s="351">
        <f t="shared" si="99"/>
        <v>0</v>
      </c>
      <c r="AS231" s="351">
        <f t="shared" si="105"/>
        <v>0</v>
      </c>
      <c r="AT231" s="276">
        <f t="shared" si="100"/>
        <v>0</v>
      </c>
      <c r="AU231" s="215"/>
      <c r="AV231" s="217"/>
      <c r="AW231" s="217"/>
      <c r="AX231" s="217"/>
      <c r="AY231" s="217"/>
      <c r="AZ231" s="217"/>
      <c r="BA231" s="217"/>
      <c r="BB231" s="217"/>
      <c r="BC231" s="217"/>
      <c r="BD231" s="218"/>
    </row>
    <row r="232" spans="2:56" s="520" customFormat="1" ht="15">
      <c r="B232" s="307"/>
      <c r="C232" s="824">
        <f t="shared" si="101"/>
        <v>16</v>
      </c>
      <c r="D232" s="173"/>
      <c r="E232" s="316"/>
      <c r="F232" s="65" t="s">
        <v>117</v>
      </c>
      <c r="G232" s="68"/>
      <c r="H232" s="326">
        <f t="shared" si="87"/>
        <v>0</v>
      </c>
      <c r="I232" s="30"/>
      <c r="J232" s="824">
        <f>IF(I232="",IF(F232=Lists!B$67,0,Default_HaulRoad_Cover),I232)</f>
        <v>0</v>
      </c>
      <c r="K232" s="867">
        <f t="shared" si="88"/>
        <v>0</v>
      </c>
      <c r="L232" s="316"/>
      <c r="M232" s="30"/>
      <c r="N232" s="867">
        <f t="shared" si="89"/>
        <v>0</v>
      </c>
      <c r="O232" s="324">
        <f t="shared" si="90"/>
        <v>0</v>
      </c>
      <c r="P232" s="316">
        <f t="shared" si="102"/>
        <v>0</v>
      </c>
      <c r="Q232" s="74"/>
      <c r="R232" s="316"/>
      <c r="S232" s="324">
        <f t="shared" si="103"/>
        <v>0</v>
      </c>
      <c r="T232" s="316">
        <f t="shared" si="106"/>
        <v>0</v>
      </c>
      <c r="U232" s="66">
        <v>1</v>
      </c>
      <c r="V232" s="66"/>
      <c r="W232" s="67">
        <f t="shared" si="91"/>
        <v>0</v>
      </c>
      <c r="X232" s="16" t="str">
        <f t="shared" si="104"/>
        <v>No Alert</v>
      </c>
      <c r="Y232" s="37" t="s">
        <v>125</v>
      </c>
      <c r="Z232" s="60"/>
      <c r="AA232" s="79" t="s">
        <v>349</v>
      </c>
      <c r="AB232" s="60"/>
      <c r="AC232" s="37" t="s">
        <v>125</v>
      </c>
      <c r="AD232" s="60"/>
      <c r="AE232" s="79" t="s">
        <v>349</v>
      </c>
      <c r="AF232" s="60"/>
      <c r="AG232" s="37" t="s">
        <v>125</v>
      </c>
      <c r="AH232" s="60"/>
      <c r="AI232" s="40" t="s">
        <v>348</v>
      </c>
      <c r="AJ232" s="60"/>
      <c r="AK232" s="63">
        <f t="shared" si="92"/>
        <v>6.2664411871606829</v>
      </c>
      <c r="AL232" s="63">
        <f t="shared" si="93"/>
        <v>6.2664411871606829</v>
      </c>
      <c r="AM232" s="63">
        <f t="shared" si="94"/>
        <v>400.15945742176939</v>
      </c>
      <c r="AN232" s="63">
        <f t="shared" si="95"/>
        <v>4.8064250364478198</v>
      </c>
      <c r="AO232" s="351">
        <f t="shared" si="96"/>
        <v>0</v>
      </c>
      <c r="AP232" s="351">
        <f t="shared" si="97"/>
        <v>0</v>
      </c>
      <c r="AQ232" s="351">
        <f t="shared" si="98"/>
        <v>0</v>
      </c>
      <c r="AR232" s="351">
        <f t="shared" si="99"/>
        <v>0</v>
      </c>
      <c r="AS232" s="351">
        <f t="shared" si="105"/>
        <v>0</v>
      </c>
      <c r="AT232" s="276">
        <f t="shared" si="100"/>
        <v>0</v>
      </c>
      <c r="AU232" s="215"/>
      <c r="AV232" s="217"/>
      <c r="AW232" s="217"/>
      <c r="AX232" s="217"/>
      <c r="AY232" s="217"/>
      <c r="AZ232" s="217"/>
      <c r="BA232" s="217"/>
      <c r="BB232" s="217"/>
      <c r="BC232" s="217"/>
      <c r="BD232" s="218"/>
    </row>
    <row r="233" spans="2:56" s="520" customFormat="1" ht="15">
      <c r="B233" s="307"/>
      <c r="C233" s="824">
        <f t="shared" si="101"/>
        <v>17</v>
      </c>
      <c r="D233" s="173"/>
      <c r="E233" s="316"/>
      <c r="F233" s="65" t="s">
        <v>117</v>
      </c>
      <c r="G233" s="68"/>
      <c r="H233" s="326">
        <f t="shared" si="87"/>
        <v>0</v>
      </c>
      <c r="I233" s="30"/>
      <c r="J233" s="824">
        <f>IF(I233="",IF(F233=Lists!B$67,0,Default_HaulRoad_Cover),I233)</f>
        <v>0</v>
      </c>
      <c r="K233" s="867">
        <f t="shared" si="88"/>
        <v>0</v>
      </c>
      <c r="L233" s="316"/>
      <c r="M233" s="30"/>
      <c r="N233" s="867">
        <f t="shared" si="89"/>
        <v>0</v>
      </c>
      <c r="O233" s="324">
        <f t="shared" si="90"/>
        <v>0</v>
      </c>
      <c r="P233" s="316">
        <f t="shared" si="102"/>
        <v>0</v>
      </c>
      <c r="Q233" s="74"/>
      <c r="R233" s="316"/>
      <c r="S233" s="324">
        <f t="shared" si="103"/>
        <v>0</v>
      </c>
      <c r="T233" s="316">
        <f t="shared" si="106"/>
        <v>0</v>
      </c>
      <c r="U233" s="66">
        <v>1</v>
      </c>
      <c r="V233" s="66"/>
      <c r="W233" s="67">
        <f t="shared" si="91"/>
        <v>0</v>
      </c>
      <c r="X233" s="16" t="str">
        <f t="shared" si="104"/>
        <v>No Alert</v>
      </c>
      <c r="Y233" s="37" t="s">
        <v>125</v>
      </c>
      <c r="Z233" s="60"/>
      <c r="AA233" s="79" t="s">
        <v>349</v>
      </c>
      <c r="AB233" s="60"/>
      <c r="AC233" s="37" t="s">
        <v>125</v>
      </c>
      <c r="AD233" s="60"/>
      <c r="AE233" s="79" t="s">
        <v>349</v>
      </c>
      <c r="AF233" s="60"/>
      <c r="AG233" s="37" t="s">
        <v>125</v>
      </c>
      <c r="AH233" s="60"/>
      <c r="AI233" s="40" t="s">
        <v>348</v>
      </c>
      <c r="AJ233" s="60"/>
      <c r="AK233" s="63">
        <f t="shared" si="92"/>
        <v>6.2664411871606829</v>
      </c>
      <c r="AL233" s="63">
        <f t="shared" si="93"/>
        <v>6.2664411871606829</v>
      </c>
      <c r="AM233" s="63">
        <f t="shared" si="94"/>
        <v>400.15945742176939</v>
      </c>
      <c r="AN233" s="63">
        <f t="shared" si="95"/>
        <v>4.8064250364478198</v>
      </c>
      <c r="AO233" s="351">
        <f t="shared" si="96"/>
        <v>0</v>
      </c>
      <c r="AP233" s="351">
        <f t="shared" si="97"/>
        <v>0</v>
      </c>
      <c r="AQ233" s="351">
        <f t="shared" si="98"/>
        <v>0</v>
      </c>
      <c r="AR233" s="351">
        <f t="shared" si="99"/>
        <v>0</v>
      </c>
      <c r="AS233" s="351">
        <f t="shared" si="105"/>
        <v>0</v>
      </c>
      <c r="AT233" s="276">
        <f t="shared" si="100"/>
        <v>0</v>
      </c>
      <c r="AU233" s="215"/>
      <c r="AV233" s="217"/>
      <c r="AW233" s="217"/>
      <c r="AX233" s="217"/>
      <c r="AY233" s="217"/>
      <c r="AZ233" s="217"/>
      <c r="BA233" s="217"/>
      <c r="BB233" s="217"/>
      <c r="BC233" s="217"/>
      <c r="BD233" s="218"/>
    </row>
    <row r="234" spans="2:56" s="520" customFormat="1" ht="15">
      <c r="B234" s="307"/>
      <c r="C234" s="824">
        <f t="shared" si="101"/>
        <v>18</v>
      </c>
      <c r="D234" s="173"/>
      <c r="E234" s="316"/>
      <c r="F234" s="65" t="s">
        <v>117</v>
      </c>
      <c r="G234" s="68"/>
      <c r="H234" s="326">
        <f t="shared" si="87"/>
        <v>0</v>
      </c>
      <c r="I234" s="30"/>
      <c r="J234" s="824">
        <f>IF(I234="",IF(F234=Lists!B$67,0,Default_HaulRoad_Cover),I234)</f>
        <v>0</v>
      </c>
      <c r="K234" s="867">
        <f t="shared" si="88"/>
        <v>0</v>
      </c>
      <c r="L234" s="316"/>
      <c r="M234" s="30"/>
      <c r="N234" s="867">
        <f t="shared" si="89"/>
        <v>0</v>
      </c>
      <c r="O234" s="324">
        <f t="shared" si="90"/>
        <v>0</v>
      </c>
      <c r="P234" s="316">
        <f t="shared" si="102"/>
        <v>0</v>
      </c>
      <c r="Q234" s="74"/>
      <c r="R234" s="316"/>
      <c r="S234" s="324">
        <f t="shared" si="103"/>
        <v>0</v>
      </c>
      <c r="T234" s="316">
        <f t="shared" si="106"/>
        <v>0</v>
      </c>
      <c r="U234" s="66">
        <v>1</v>
      </c>
      <c r="V234" s="66"/>
      <c r="W234" s="67">
        <f t="shared" si="91"/>
        <v>0</v>
      </c>
      <c r="X234" s="16" t="str">
        <f t="shared" si="104"/>
        <v>No Alert</v>
      </c>
      <c r="Y234" s="37" t="s">
        <v>125</v>
      </c>
      <c r="Z234" s="60"/>
      <c r="AA234" s="79" t="s">
        <v>349</v>
      </c>
      <c r="AB234" s="60"/>
      <c r="AC234" s="37" t="s">
        <v>125</v>
      </c>
      <c r="AD234" s="60"/>
      <c r="AE234" s="79" t="s">
        <v>349</v>
      </c>
      <c r="AF234" s="60"/>
      <c r="AG234" s="37" t="s">
        <v>125</v>
      </c>
      <c r="AH234" s="60"/>
      <c r="AI234" s="40" t="s">
        <v>348</v>
      </c>
      <c r="AJ234" s="60"/>
      <c r="AK234" s="63">
        <f t="shared" si="92"/>
        <v>6.2664411871606829</v>
      </c>
      <c r="AL234" s="63">
        <f t="shared" si="93"/>
        <v>6.2664411871606829</v>
      </c>
      <c r="AM234" s="63">
        <f t="shared" si="94"/>
        <v>400.15945742176939</v>
      </c>
      <c r="AN234" s="63">
        <f t="shared" si="95"/>
        <v>4.8064250364478198</v>
      </c>
      <c r="AO234" s="351">
        <f t="shared" si="96"/>
        <v>0</v>
      </c>
      <c r="AP234" s="351">
        <f t="shared" si="97"/>
        <v>0</v>
      </c>
      <c r="AQ234" s="351">
        <f t="shared" si="98"/>
        <v>0</v>
      </c>
      <c r="AR234" s="351">
        <f t="shared" si="99"/>
        <v>0</v>
      </c>
      <c r="AS234" s="351">
        <f t="shared" si="105"/>
        <v>0</v>
      </c>
      <c r="AT234" s="276">
        <f t="shared" si="100"/>
        <v>0</v>
      </c>
      <c r="AU234" s="215"/>
      <c r="AV234" s="217"/>
      <c r="AW234" s="217"/>
      <c r="AX234" s="217"/>
      <c r="AY234" s="217"/>
      <c r="AZ234" s="217"/>
      <c r="BA234" s="217"/>
      <c r="BB234" s="217"/>
      <c r="BC234" s="217"/>
      <c r="BD234" s="218"/>
    </row>
    <row r="235" spans="2:56" s="520" customFormat="1" ht="15">
      <c r="B235" s="307"/>
      <c r="C235" s="824">
        <f t="shared" si="101"/>
        <v>19</v>
      </c>
      <c r="D235" s="173"/>
      <c r="E235" s="316"/>
      <c r="F235" s="65" t="s">
        <v>117</v>
      </c>
      <c r="G235" s="68"/>
      <c r="H235" s="326">
        <f t="shared" si="87"/>
        <v>0</v>
      </c>
      <c r="I235" s="30"/>
      <c r="J235" s="824">
        <f>IF(I235="",IF(F235=Lists!B$67,0,Default_HaulRoad_Cover),I235)</f>
        <v>0</v>
      </c>
      <c r="K235" s="867">
        <f t="shared" si="88"/>
        <v>0</v>
      </c>
      <c r="L235" s="316"/>
      <c r="M235" s="30"/>
      <c r="N235" s="867">
        <f t="shared" si="89"/>
        <v>0</v>
      </c>
      <c r="O235" s="324">
        <f t="shared" si="90"/>
        <v>0</v>
      </c>
      <c r="P235" s="316">
        <f t="shared" si="102"/>
        <v>0</v>
      </c>
      <c r="Q235" s="74"/>
      <c r="R235" s="316"/>
      <c r="S235" s="324">
        <f t="shared" si="103"/>
        <v>0</v>
      </c>
      <c r="T235" s="316">
        <f t="shared" si="106"/>
        <v>0</v>
      </c>
      <c r="U235" s="66">
        <v>1</v>
      </c>
      <c r="V235" s="66"/>
      <c r="W235" s="67">
        <f t="shared" si="91"/>
        <v>0</v>
      </c>
      <c r="X235" s="16" t="str">
        <f t="shared" si="104"/>
        <v>No Alert</v>
      </c>
      <c r="Y235" s="37" t="s">
        <v>125</v>
      </c>
      <c r="Z235" s="60"/>
      <c r="AA235" s="79" t="s">
        <v>349</v>
      </c>
      <c r="AB235" s="60"/>
      <c r="AC235" s="37" t="s">
        <v>125</v>
      </c>
      <c r="AD235" s="60"/>
      <c r="AE235" s="79" t="s">
        <v>349</v>
      </c>
      <c r="AF235" s="60"/>
      <c r="AG235" s="37" t="s">
        <v>125</v>
      </c>
      <c r="AH235" s="60"/>
      <c r="AI235" s="40" t="s">
        <v>348</v>
      </c>
      <c r="AJ235" s="60"/>
      <c r="AK235" s="63">
        <f t="shared" si="92"/>
        <v>6.2664411871606829</v>
      </c>
      <c r="AL235" s="63">
        <f t="shared" si="93"/>
        <v>6.2664411871606829</v>
      </c>
      <c r="AM235" s="63">
        <f t="shared" si="94"/>
        <v>400.15945742176939</v>
      </c>
      <c r="AN235" s="63">
        <f t="shared" si="95"/>
        <v>4.8064250364478198</v>
      </c>
      <c r="AO235" s="351">
        <f t="shared" si="96"/>
        <v>0</v>
      </c>
      <c r="AP235" s="351">
        <f t="shared" si="97"/>
        <v>0</v>
      </c>
      <c r="AQ235" s="351">
        <f t="shared" si="98"/>
        <v>0</v>
      </c>
      <c r="AR235" s="351">
        <f t="shared" si="99"/>
        <v>0</v>
      </c>
      <c r="AS235" s="351">
        <f t="shared" si="105"/>
        <v>0</v>
      </c>
      <c r="AT235" s="276">
        <f t="shared" si="100"/>
        <v>0</v>
      </c>
      <c r="AU235" s="215"/>
      <c r="AV235" s="217"/>
      <c r="AW235" s="217"/>
      <c r="AX235" s="217"/>
      <c r="AY235" s="217"/>
      <c r="AZ235" s="217"/>
      <c r="BA235" s="217"/>
      <c r="BB235" s="217"/>
      <c r="BC235" s="217"/>
      <c r="BD235" s="218"/>
    </row>
    <row r="236" spans="2:56" s="520" customFormat="1" ht="15">
      <c r="B236" s="307"/>
      <c r="C236" s="824">
        <f t="shared" si="101"/>
        <v>20</v>
      </c>
      <c r="D236" s="173"/>
      <c r="E236" s="316"/>
      <c r="F236" s="65" t="s">
        <v>117</v>
      </c>
      <c r="G236" s="68"/>
      <c r="H236" s="326">
        <f t="shared" si="87"/>
        <v>0</v>
      </c>
      <c r="I236" s="30"/>
      <c r="J236" s="824">
        <f>IF(I236="",IF(F236=Lists!B$67,0,Default_HaulRoad_Cover),I236)</f>
        <v>0</v>
      </c>
      <c r="K236" s="867">
        <f t="shared" si="88"/>
        <v>0</v>
      </c>
      <c r="L236" s="316"/>
      <c r="M236" s="30"/>
      <c r="N236" s="867">
        <f t="shared" si="89"/>
        <v>0</v>
      </c>
      <c r="O236" s="324">
        <f t="shared" si="90"/>
        <v>0</v>
      </c>
      <c r="P236" s="316">
        <f t="shared" si="102"/>
        <v>0</v>
      </c>
      <c r="Q236" s="74"/>
      <c r="R236" s="316"/>
      <c r="S236" s="324">
        <f t="shared" si="103"/>
        <v>0</v>
      </c>
      <c r="T236" s="316">
        <f t="shared" si="106"/>
        <v>0</v>
      </c>
      <c r="U236" s="66">
        <v>1</v>
      </c>
      <c r="V236" s="66"/>
      <c r="W236" s="67">
        <f t="shared" si="91"/>
        <v>0</v>
      </c>
      <c r="X236" s="16" t="str">
        <f t="shared" si="104"/>
        <v>No Alert</v>
      </c>
      <c r="Y236" s="37" t="s">
        <v>125</v>
      </c>
      <c r="Z236" s="60"/>
      <c r="AA236" s="79" t="s">
        <v>349</v>
      </c>
      <c r="AB236" s="60"/>
      <c r="AC236" s="37" t="s">
        <v>125</v>
      </c>
      <c r="AD236" s="60"/>
      <c r="AE236" s="79" t="s">
        <v>349</v>
      </c>
      <c r="AF236" s="60"/>
      <c r="AG236" s="37" t="s">
        <v>125</v>
      </c>
      <c r="AH236" s="60"/>
      <c r="AI236" s="40" t="s">
        <v>348</v>
      </c>
      <c r="AJ236" s="60"/>
      <c r="AK236" s="63">
        <f t="shared" si="92"/>
        <v>6.2664411871606829</v>
      </c>
      <c r="AL236" s="63">
        <f t="shared" si="93"/>
        <v>6.2664411871606829</v>
      </c>
      <c r="AM236" s="63">
        <f t="shared" si="94"/>
        <v>400.15945742176939</v>
      </c>
      <c r="AN236" s="63">
        <f t="shared" si="95"/>
        <v>4.8064250364478198</v>
      </c>
      <c r="AO236" s="351">
        <f t="shared" si="96"/>
        <v>0</v>
      </c>
      <c r="AP236" s="351">
        <f t="shared" si="97"/>
        <v>0</v>
      </c>
      <c r="AQ236" s="351">
        <f t="shared" si="98"/>
        <v>0</v>
      </c>
      <c r="AR236" s="351">
        <f t="shared" si="99"/>
        <v>0</v>
      </c>
      <c r="AS236" s="351">
        <f t="shared" si="105"/>
        <v>0</v>
      </c>
      <c r="AT236" s="276">
        <f t="shared" si="100"/>
        <v>0</v>
      </c>
      <c r="AU236" s="215"/>
      <c r="AV236" s="217"/>
      <c r="AW236" s="217"/>
      <c r="AX236" s="217"/>
      <c r="AY236" s="217"/>
      <c r="AZ236" s="217"/>
      <c r="BA236" s="217"/>
      <c r="BB236" s="217"/>
      <c r="BC236" s="217"/>
      <c r="BD236" s="218"/>
    </row>
    <row r="237" spans="2:56" s="520" customFormat="1" ht="18" customHeight="1">
      <c r="B237" s="23"/>
      <c r="C237" s="23"/>
      <c r="D237" s="23"/>
      <c r="E237" s="323"/>
      <c r="F237" s="23"/>
      <c r="G237" s="23"/>
      <c r="H237" s="323"/>
      <c r="I237" s="736"/>
      <c r="J237" s="23"/>
      <c r="K237" s="323"/>
      <c r="L237" s="323"/>
      <c r="M237" s="23"/>
      <c r="N237" s="323"/>
      <c r="O237" s="323"/>
      <c r="P237" s="869"/>
      <c r="Q237" s="768"/>
      <c r="R237" s="869"/>
      <c r="S237" s="869"/>
      <c r="T237" s="870"/>
      <c r="U237" s="23"/>
      <c r="V237" s="23"/>
      <c r="W237" s="23"/>
      <c r="X237" s="23"/>
      <c r="AA237" s="23"/>
      <c r="AB237" s="23"/>
      <c r="AC237" s="768"/>
      <c r="AD237" s="768"/>
      <c r="AE237" s="768"/>
      <c r="AF237" s="23"/>
      <c r="AG237" s="23"/>
      <c r="AO237" s="23"/>
      <c r="AP237" s="23"/>
      <c r="AR237" s="887"/>
      <c r="AS237" s="23"/>
      <c r="AT237" s="54"/>
    </row>
    <row r="238" spans="2:56" s="520" customFormat="1" ht="18" customHeight="1">
      <c r="B238" s="789"/>
      <c r="C238" s="789"/>
      <c r="D238" s="789"/>
      <c r="E238" s="372">
        <f>SUM(E216:E237)</f>
        <v>0</v>
      </c>
      <c r="F238" s="283" t="s">
        <v>95</v>
      </c>
      <c r="G238" s="23"/>
      <c r="H238" s="372">
        <f>SUM(H216:H237)</f>
        <v>0</v>
      </c>
      <c r="I238" s="790" t="s">
        <v>95</v>
      </c>
      <c r="J238" s="768"/>
      <c r="K238" s="372">
        <f>SUM(K216:K237)</f>
        <v>0</v>
      </c>
      <c r="L238" s="372">
        <f>SUM(L216:L237)</f>
        <v>0</v>
      </c>
      <c r="M238" s="23"/>
      <c r="N238" s="372">
        <f>SUM(N216:N237)</f>
        <v>0</v>
      </c>
      <c r="O238" s="372">
        <f>SUM(O216:O237)</f>
        <v>0</v>
      </c>
      <c r="P238" s="372">
        <f>SUM(P216:P237)</f>
        <v>0</v>
      </c>
      <c r="Q238" s="768"/>
      <c r="R238" s="372">
        <f>SUM(R216:R237)</f>
        <v>0</v>
      </c>
      <c r="S238" s="372">
        <f>SUM(S216:S237)</f>
        <v>0</v>
      </c>
      <c r="T238" s="372">
        <f>SUM(T216:T237)</f>
        <v>0</v>
      </c>
      <c r="U238" s="70"/>
      <c r="V238" s="70"/>
      <c r="W238" s="768"/>
      <c r="X238" s="475"/>
      <c r="AA238" s="768"/>
      <c r="AB238" s="768"/>
      <c r="AC238" s="768"/>
      <c r="AD238" s="768"/>
      <c r="AE238" s="70"/>
      <c r="AF238" s="768"/>
      <c r="AG238" s="768"/>
      <c r="AO238" s="347">
        <f t="shared" ref="AO238:AS238" si="107">SUM(AO216:AO237)</f>
        <v>0</v>
      </c>
      <c r="AP238" s="347">
        <f t="shared" si="107"/>
        <v>0</v>
      </c>
      <c r="AQ238" s="347">
        <f t="shared" si="107"/>
        <v>0</v>
      </c>
      <c r="AR238" s="347">
        <f t="shared" si="107"/>
        <v>0</v>
      </c>
      <c r="AS238" s="347">
        <f t="shared" si="107"/>
        <v>0</v>
      </c>
      <c r="AT238" s="276">
        <f>SUM(AT216:AT237)</f>
        <v>0</v>
      </c>
      <c r="AU238" s="882">
        <f>IF(E238=0,0,AT238/E238)</f>
        <v>0</v>
      </c>
      <c r="AV238" s="520" t="s">
        <v>41</v>
      </c>
    </row>
    <row r="239" spans="2:56" s="520" customFormat="1" ht="18" customHeight="1">
      <c r="B239" s="789"/>
      <c r="C239" s="789"/>
      <c r="D239" s="789"/>
      <c r="E239" s="789"/>
      <c r="F239" s="789"/>
      <c r="G239" s="789"/>
      <c r="H239" s="789"/>
      <c r="I239" s="789"/>
      <c r="J239" s="789"/>
      <c r="K239" s="789"/>
      <c r="L239" s="789"/>
      <c r="M239" s="789"/>
      <c r="N239" s="789"/>
      <c r="O239" s="789"/>
      <c r="P239" s="789"/>
      <c r="Q239" s="789"/>
      <c r="R239" s="789"/>
      <c r="S239" s="789"/>
      <c r="T239" s="789"/>
      <c r="U239" s="789"/>
      <c r="V239" s="789"/>
      <c r="W239" s="789"/>
      <c r="X239" s="789"/>
      <c r="Y239" s="789"/>
      <c r="Z239" s="789"/>
      <c r="AA239" s="789"/>
      <c r="AB239" s="789"/>
      <c r="AC239" s="789"/>
      <c r="AD239" s="789"/>
      <c r="AE239" s="789"/>
      <c r="AF239" s="789"/>
      <c r="AG239" s="789"/>
      <c r="AH239" s="789"/>
      <c r="AI239" s="789"/>
      <c r="AJ239" s="789"/>
      <c r="AK239" s="789"/>
      <c r="AL239" s="789"/>
      <c r="AM239" s="789"/>
      <c r="AN239" s="789"/>
      <c r="AO239" s="789"/>
      <c r="AP239" s="789"/>
      <c r="AQ239" s="789"/>
      <c r="AR239" s="789"/>
      <c r="AS239" s="789"/>
      <c r="AT239" s="789"/>
      <c r="AU239" s="882"/>
      <c r="AV239" s="789"/>
      <c r="AX239" s="789"/>
    </row>
    <row r="240" spans="2:56" s="520" customFormat="1" ht="18" customHeight="1">
      <c r="B240" s="789"/>
      <c r="C240" s="789"/>
      <c r="D240" s="789"/>
      <c r="E240" s="873"/>
      <c r="G240" s="736"/>
      <c r="H240" s="736"/>
      <c r="I240" s="768"/>
      <c r="J240" s="23"/>
      <c r="K240" s="736"/>
      <c r="L240" s="736"/>
      <c r="M240" s="70"/>
      <c r="N240" s="70"/>
      <c r="O240" s="70"/>
      <c r="P240" s="768"/>
      <c r="Q240" s="70"/>
      <c r="R240" s="70"/>
      <c r="T240" s="768"/>
      <c r="W240" s="70"/>
      <c r="X240" s="70"/>
      <c r="Y240" s="70"/>
      <c r="Z240" s="70"/>
      <c r="AA240" s="70"/>
      <c r="AB240" s="736"/>
      <c r="AC240" s="736"/>
      <c r="AD240" s="736"/>
      <c r="AE240" s="736"/>
      <c r="AF240" s="70"/>
      <c r="AG240" s="70"/>
      <c r="AH240" s="736"/>
      <c r="AI240" s="736"/>
      <c r="AN240" s="736"/>
      <c r="AO240" s="475"/>
      <c r="AQ240" s="70"/>
      <c r="AR240" s="70"/>
      <c r="AT240" s="70"/>
      <c r="AU240" s="70"/>
      <c r="AV240" s="882"/>
      <c r="AX240" s="882"/>
    </row>
    <row r="241" spans="1:65" s="520" customFormat="1" ht="18" customHeight="1">
      <c r="I241" s="736"/>
      <c r="J241" s="736"/>
      <c r="K241" s="768"/>
      <c r="L241" s="768"/>
      <c r="M241" s="768"/>
      <c r="N241" s="768"/>
      <c r="O241" s="768"/>
      <c r="P241" s="768"/>
      <c r="Q241" s="768"/>
      <c r="R241" s="768"/>
      <c r="T241" s="768"/>
      <c r="W241" s="768"/>
      <c r="X241" s="768"/>
      <c r="Y241" s="768"/>
      <c r="Z241" s="768"/>
      <c r="AA241" s="768"/>
      <c r="AB241" s="768"/>
      <c r="AC241" s="768"/>
      <c r="AD241" s="768"/>
      <c r="AE241" s="768"/>
      <c r="AF241" s="768"/>
      <c r="AG241" s="768"/>
      <c r="AH241" s="768"/>
      <c r="AI241" s="768"/>
      <c r="AK241" s="768"/>
      <c r="AL241" s="768"/>
      <c r="AM241" s="768"/>
      <c r="AN241" s="768"/>
      <c r="AO241" s="475"/>
      <c r="AP241" s="847"/>
      <c r="AV241" s="882"/>
      <c r="AX241" s="768"/>
    </row>
    <row r="242" spans="1:65" s="495" customFormat="1" ht="15" customHeight="1">
      <c r="A242" s="748"/>
      <c r="B242" s="886"/>
      <c r="C242" s="887"/>
      <c r="D242" s="520"/>
      <c r="E242" s="887"/>
      <c r="F242" s="768"/>
      <c r="G242" s="768"/>
      <c r="H242" s="887"/>
      <c r="I242" s="887"/>
      <c r="J242" s="887"/>
      <c r="K242" s="887"/>
      <c r="L242" s="887"/>
      <c r="M242" s="887"/>
      <c r="N242" s="887"/>
      <c r="O242" s="829"/>
      <c r="P242" s="829"/>
      <c r="Q242" s="829"/>
      <c r="R242" s="829"/>
      <c r="S242" s="829"/>
      <c r="T242" s="829"/>
      <c r="U242" s="829"/>
      <c r="V242" s="829"/>
      <c r="W242" s="829"/>
      <c r="X242" s="829"/>
      <c r="Y242" s="829"/>
      <c r="Z242" s="829"/>
      <c r="AA242" s="829"/>
      <c r="AB242" s="887"/>
      <c r="AC242" s="887"/>
      <c r="AD242" s="888"/>
      <c r="AW242" s="882"/>
      <c r="BL242" s="520"/>
      <c r="BM242" s="520"/>
    </row>
    <row r="243" spans="1:65" s="520" customFormat="1" ht="18" customHeight="1">
      <c r="A243" s="748"/>
      <c r="B243" s="287" t="s">
        <v>26</v>
      </c>
      <c r="C243" s="820" t="s">
        <v>1686</v>
      </c>
      <c r="D243" s="816"/>
      <c r="F243" s="793"/>
      <c r="G243" s="768"/>
      <c r="H243" s="768"/>
      <c r="I243" s="768"/>
      <c r="J243" s="768"/>
      <c r="K243" s="768"/>
      <c r="L243" s="768"/>
      <c r="M243" s="768"/>
      <c r="N243" s="768"/>
      <c r="O243" s="768"/>
      <c r="P243" s="768"/>
      <c r="Q243" s="768"/>
      <c r="R243" s="768"/>
      <c r="S243" s="768"/>
      <c r="T243" s="768"/>
      <c r="U243" s="768"/>
      <c r="V243" s="768"/>
      <c r="W243" s="768"/>
      <c r="X243" s="768"/>
      <c r="Y243" s="768"/>
      <c r="Z243" s="768"/>
      <c r="AA243" s="768"/>
      <c r="AB243" s="768"/>
      <c r="AC243" s="768"/>
      <c r="AD243" s="768"/>
      <c r="AE243" s="768"/>
      <c r="AW243" s="882"/>
    </row>
    <row r="244" spans="1:65" s="495" customFormat="1" ht="31.9" customHeight="1">
      <c r="A244" s="748"/>
      <c r="B244" s="774" t="s">
        <v>1517</v>
      </c>
      <c r="C244" s="774" t="s">
        <v>27</v>
      </c>
      <c r="D244" s="774"/>
      <c r="E244" s="812" t="s">
        <v>1590</v>
      </c>
      <c r="F244" s="822"/>
      <c r="G244" s="823"/>
      <c r="H244" s="773" t="s">
        <v>1485</v>
      </c>
      <c r="I244" s="773" t="s">
        <v>2</v>
      </c>
      <c r="J244" s="773" t="s">
        <v>1521</v>
      </c>
      <c r="K244" s="773" t="s">
        <v>1549</v>
      </c>
      <c r="L244" s="773" t="s">
        <v>1586</v>
      </c>
      <c r="M244" s="775" t="s">
        <v>32</v>
      </c>
      <c r="N244" s="776" t="s">
        <v>1526</v>
      </c>
      <c r="O244" s="777"/>
      <c r="P244" s="777"/>
      <c r="Q244" s="777"/>
      <c r="R244" s="777"/>
      <c r="S244" s="777"/>
      <c r="T244" s="777"/>
      <c r="U244" s="778"/>
      <c r="V244" s="793"/>
      <c r="W244" s="793"/>
      <c r="AI244" s="520"/>
      <c r="AJ244" s="520"/>
      <c r="BH244" s="520"/>
      <c r="BI244" s="520"/>
    </row>
    <row r="245" spans="1:65" s="520" customFormat="1" ht="18" customHeight="1">
      <c r="A245" s="748"/>
      <c r="B245" s="768"/>
      <c r="C245" s="768"/>
      <c r="D245" s="768"/>
      <c r="E245" s="768"/>
      <c r="F245" s="768"/>
      <c r="G245" s="768"/>
      <c r="H245" s="768"/>
      <c r="I245" s="768"/>
      <c r="J245" s="768"/>
      <c r="K245" s="768"/>
      <c r="L245" s="768"/>
      <c r="M245" s="768"/>
      <c r="N245" s="748"/>
      <c r="O245" s="474"/>
      <c r="P245" s="474"/>
      <c r="Q245" s="474"/>
      <c r="R245" s="474"/>
      <c r="S245" s="474"/>
      <c r="T245" s="474"/>
      <c r="U245" s="779"/>
      <c r="V245" s="768"/>
      <c r="W245" s="768"/>
      <c r="X245" s="768"/>
      <c r="Y245" s="768"/>
      <c r="Z245" s="768"/>
      <c r="AA245" s="768"/>
      <c r="AB245" s="768"/>
      <c r="AC245" s="768"/>
      <c r="AD245" s="768"/>
      <c r="AE245" s="768"/>
    </row>
    <row r="246" spans="1:65" s="520" customFormat="1">
      <c r="A246" s="748"/>
      <c r="B246" s="307"/>
      <c r="C246" s="824">
        <v>1</v>
      </c>
      <c r="D246" s="166"/>
      <c r="E246" s="780" t="str">
        <f>VLOOKUP($J246,TOV!$C$85:$G$217,TOV!$E$1,FALSE)</f>
        <v>Laydown, Earthen, No replace, Pasture</v>
      </c>
      <c r="F246" s="833"/>
      <c r="G246" s="834"/>
      <c r="H246" s="316"/>
      <c r="I246" s="827" t="str">
        <f>VLOOKUP($J246,TOV!$C$85:$G$217,TOV!$G$1,FALSE)</f>
        <v>ha</v>
      </c>
      <c r="J246" s="828" t="str">
        <f>TOV!C133</f>
        <v>#3.49</v>
      </c>
      <c r="K246" s="63">
        <f>VLOOKUP($J246,TOV!$C$85:$G$217,TOV!$F$1,FALSE)</f>
        <v>6698.6177144702051</v>
      </c>
      <c r="L246" s="296"/>
      <c r="M246" s="104">
        <f>IF(L246="",K246,L246)*H246</f>
        <v>0</v>
      </c>
      <c r="N246" s="215"/>
      <c r="O246" s="217"/>
      <c r="P246" s="217"/>
      <c r="Q246" s="217"/>
      <c r="R246" s="217"/>
      <c r="S246" s="217"/>
      <c r="T246" s="217"/>
      <c r="U246" s="218"/>
      <c r="V246" s="768"/>
      <c r="W246" s="768"/>
      <c r="X246" s="768"/>
      <c r="Y246" s="768"/>
      <c r="Z246" s="768"/>
      <c r="AA246" s="768"/>
      <c r="AB246" s="768"/>
      <c r="AC246" s="768"/>
      <c r="AD246" s="768"/>
      <c r="AE246" s="768"/>
    </row>
    <row r="247" spans="1:65" s="520" customFormat="1">
      <c r="A247" s="748"/>
      <c r="B247" s="307"/>
      <c r="C247" s="824">
        <f t="shared" ref="C247:C254" si="108">C246+1</f>
        <v>2</v>
      </c>
      <c r="D247" s="166"/>
      <c r="E247" s="780" t="str">
        <f>VLOOKUP($J247,TOV!$C$85:$G$217,TOV!$E$1,FALSE)</f>
        <v>Laydown, Earthen, No replace, Native</v>
      </c>
      <c r="F247" s="833"/>
      <c r="G247" s="834"/>
      <c r="H247" s="316"/>
      <c r="I247" s="827" t="str">
        <f>VLOOKUP($J247,TOV!$C$85:$G$217,TOV!$G$1,FALSE)</f>
        <v>ha</v>
      </c>
      <c r="J247" s="828" t="str">
        <f>TOV!C134</f>
        <v>#3.50</v>
      </c>
      <c r="K247" s="63">
        <f>VLOOKUP($J247,TOV!$C$85:$G$217,TOV!$F$1,FALSE)</f>
        <v>9239.6177144702051</v>
      </c>
      <c r="L247" s="296"/>
      <c r="M247" s="104">
        <f t="shared" ref="M247:M251" si="109">IF(L247="",K247,L247)*H247</f>
        <v>0</v>
      </c>
      <c r="N247" s="215"/>
      <c r="O247" s="217"/>
      <c r="P247" s="217"/>
      <c r="Q247" s="217"/>
      <c r="R247" s="217"/>
      <c r="S247" s="217"/>
      <c r="T247" s="217"/>
      <c r="U247" s="218"/>
      <c r="V247" s="768"/>
      <c r="W247" s="768"/>
      <c r="X247" s="768"/>
      <c r="Y247" s="768"/>
      <c r="Z247" s="768"/>
      <c r="AA247" s="768"/>
      <c r="AB247" s="768"/>
      <c r="AC247" s="768"/>
      <c r="AD247" s="768"/>
      <c r="AE247" s="768"/>
    </row>
    <row r="248" spans="1:65" s="520" customFormat="1">
      <c r="A248" s="748"/>
      <c r="B248" s="307"/>
      <c r="C248" s="824">
        <f t="shared" si="108"/>
        <v>3</v>
      </c>
      <c r="D248" s="166"/>
      <c r="E248" s="780" t="str">
        <f>VLOOKUP($J248,TOV!$C$85:$G$217,TOV!$E$1,FALSE)</f>
        <v>Laydown, Earthen, No replace, Arid</v>
      </c>
      <c r="F248" s="833"/>
      <c r="G248" s="834"/>
      <c r="H248" s="316"/>
      <c r="I248" s="827" t="str">
        <f>VLOOKUP($J248,TOV!$C$85:$G$217,TOV!$G$1,FALSE)</f>
        <v>ha</v>
      </c>
      <c r="J248" s="828" t="str">
        <f>TOV!C135</f>
        <v>#3.51</v>
      </c>
      <c r="K248" s="63">
        <f>VLOOKUP($J248,TOV!$C$85:$G$217,TOV!$F$1,FALSE)</f>
        <v>400.15945742176939</v>
      </c>
      <c r="L248" s="296"/>
      <c r="M248" s="104">
        <f t="shared" si="109"/>
        <v>0</v>
      </c>
      <c r="N248" s="215"/>
      <c r="O248" s="217"/>
      <c r="P248" s="217"/>
      <c r="Q248" s="217"/>
      <c r="R248" s="217"/>
      <c r="S248" s="217"/>
      <c r="T248" s="217"/>
      <c r="U248" s="218"/>
      <c r="V248" s="768"/>
      <c r="W248" s="768"/>
      <c r="X248" s="768"/>
      <c r="Y248" s="768"/>
      <c r="Z248" s="768"/>
      <c r="AA248" s="768"/>
      <c r="AB248" s="768"/>
      <c r="AC248" s="768"/>
      <c r="AD248" s="768"/>
      <c r="AE248" s="768"/>
    </row>
    <row r="249" spans="1:65" s="520" customFormat="1">
      <c r="A249" s="748"/>
      <c r="B249" s="307"/>
      <c r="C249" s="824">
        <f t="shared" si="108"/>
        <v>4</v>
      </c>
      <c r="D249" s="166"/>
      <c r="E249" s="780" t="str">
        <f>VLOOKUP($J249,TOV!$C$85:$G$217,TOV!$E$1,FALSE)</f>
        <v>Laydown, Rock, No replace, Pasture</v>
      </c>
      <c r="F249" s="833"/>
      <c r="G249" s="834"/>
      <c r="H249" s="316"/>
      <c r="I249" s="827" t="str">
        <f>VLOOKUP($J249,TOV!$C$85:$G$217,TOV!$G$1,FALSE)</f>
        <v>ha</v>
      </c>
      <c r="J249" s="828" t="str">
        <f>TOV!C136</f>
        <v>#3.52</v>
      </c>
      <c r="K249" s="63">
        <f>VLOOKUP($J249,TOV!$C$85:$G$217,TOV!$F$1,FALSE)</f>
        <v>13908.255269141935</v>
      </c>
      <c r="L249" s="296"/>
      <c r="M249" s="104">
        <f t="shared" si="109"/>
        <v>0</v>
      </c>
      <c r="N249" s="215"/>
      <c r="O249" s="217"/>
      <c r="P249" s="217"/>
      <c r="Q249" s="217"/>
      <c r="R249" s="217"/>
      <c r="S249" s="217"/>
      <c r="T249" s="217"/>
      <c r="U249" s="218"/>
      <c r="V249" s="768"/>
      <c r="W249" s="768"/>
      <c r="X249" s="768"/>
      <c r="Y249" s="768"/>
      <c r="Z249" s="768"/>
      <c r="AA249" s="768"/>
      <c r="AB249" s="768"/>
      <c r="AC249" s="768"/>
      <c r="AD249" s="768"/>
      <c r="AE249" s="768"/>
    </row>
    <row r="250" spans="1:65" s="520" customFormat="1">
      <c r="A250" s="748"/>
      <c r="B250" s="307"/>
      <c r="C250" s="824">
        <f t="shared" si="108"/>
        <v>5</v>
      </c>
      <c r="D250" s="166"/>
      <c r="E250" s="780" t="str">
        <f>VLOOKUP($J250,TOV!$C$85:$G$217,TOV!$E$1,FALSE)</f>
        <v>Laydown, Rock, No replace, Native</v>
      </c>
      <c r="F250" s="833"/>
      <c r="G250" s="834"/>
      <c r="H250" s="316"/>
      <c r="I250" s="827" t="str">
        <f>VLOOKUP($J250,TOV!$C$85:$G$217,TOV!$G$1,FALSE)</f>
        <v>ha</v>
      </c>
      <c r="J250" s="828" t="str">
        <f>TOV!C137</f>
        <v>#3.53</v>
      </c>
      <c r="K250" s="63">
        <f>VLOOKUP($J250,TOV!$C$85:$G$217,TOV!$F$1,FALSE)</f>
        <v>16449.255269141933</v>
      </c>
      <c r="L250" s="296"/>
      <c r="M250" s="104">
        <f t="shared" si="109"/>
        <v>0</v>
      </c>
      <c r="N250" s="215"/>
      <c r="O250" s="217"/>
      <c r="P250" s="217"/>
      <c r="Q250" s="217"/>
      <c r="R250" s="217"/>
      <c r="S250" s="217"/>
      <c r="T250" s="217"/>
      <c r="U250" s="218"/>
      <c r="V250" s="768"/>
      <c r="W250" s="768"/>
      <c r="X250" s="768"/>
      <c r="Y250" s="768"/>
      <c r="Z250" s="768"/>
      <c r="AA250" s="768"/>
      <c r="AB250" s="768"/>
      <c r="AC250" s="768"/>
      <c r="AD250" s="768"/>
      <c r="AE250" s="768"/>
    </row>
    <row r="251" spans="1:65" s="520" customFormat="1">
      <c r="A251" s="748"/>
      <c r="B251" s="307"/>
      <c r="C251" s="824">
        <f t="shared" si="108"/>
        <v>6</v>
      </c>
      <c r="D251" s="166"/>
      <c r="E251" s="780" t="str">
        <f>VLOOKUP($J251,TOV!$C$85:$G$217,TOV!$E$1,FALSE)</f>
        <v>Laydown, Rock, No replace, Arid</v>
      </c>
      <c r="F251" s="833"/>
      <c r="G251" s="834"/>
      <c r="H251" s="316"/>
      <c r="I251" s="827" t="str">
        <f>VLOOKUP($J251,TOV!$C$85:$G$217,TOV!$G$1,FALSE)</f>
        <v>ha</v>
      </c>
      <c r="J251" s="828" t="str">
        <f>TOV!C138</f>
        <v>#3.54</v>
      </c>
      <c r="K251" s="63">
        <f>VLOOKUP($J251,TOV!$C$85:$G$217,TOV!$F$1,FALSE)</f>
        <v>7609.7970120934997</v>
      </c>
      <c r="L251" s="296"/>
      <c r="M251" s="104">
        <f t="shared" si="109"/>
        <v>0</v>
      </c>
      <c r="N251" s="215"/>
      <c r="O251" s="217"/>
      <c r="P251" s="217"/>
      <c r="Q251" s="217"/>
      <c r="R251" s="217"/>
      <c r="S251" s="217"/>
      <c r="T251" s="217"/>
      <c r="U251" s="218"/>
      <c r="V251" s="768"/>
      <c r="W251" s="768"/>
      <c r="X251" s="768"/>
      <c r="Y251" s="768"/>
      <c r="Z251" s="768"/>
      <c r="AA251" s="768"/>
      <c r="AB251" s="768"/>
      <c r="AC251" s="768"/>
      <c r="AD251" s="768"/>
      <c r="AE251" s="768"/>
    </row>
    <row r="252" spans="1:65" s="495" customFormat="1" ht="12.75">
      <c r="A252" s="748"/>
      <c r="B252" s="307"/>
      <c r="C252" s="824">
        <f t="shared" si="108"/>
        <v>7</v>
      </c>
      <c r="D252" s="166"/>
      <c r="E252" s="937"/>
      <c r="F252" s="938"/>
      <c r="G252" s="939"/>
      <c r="H252" s="316"/>
      <c r="I252" s="835" t="s">
        <v>95</v>
      </c>
      <c r="J252" s="736"/>
      <c r="K252" s="518" t="str">
        <f t="shared" ref="K252:K254" si="110">IF(AND(H252&gt;0,OR(L252="",L252=0)),"Enter Rate","No alert")</f>
        <v>No alert</v>
      </c>
      <c r="L252" s="296"/>
      <c r="M252" s="104">
        <f>L252*H252</f>
        <v>0</v>
      </c>
      <c r="N252" s="215"/>
      <c r="O252" s="217"/>
      <c r="P252" s="217"/>
      <c r="Q252" s="217"/>
      <c r="R252" s="217"/>
      <c r="S252" s="217"/>
      <c r="T252" s="217"/>
      <c r="U252" s="218"/>
      <c r="V252" s="520"/>
      <c r="W252" s="520"/>
      <c r="X252" s="520"/>
      <c r="Y252" s="520"/>
      <c r="Z252" s="520"/>
      <c r="AA252" s="520"/>
      <c r="AB252" s="520"/>
      <c r="AC252" s="520"/>
      <c r="AH252" s="520"/>
      <c r="BK252" s="520"/>
      <c r="BL252" s="520"/>
    </row>
    <row r="253" spans="1:65" s="495" customFormat="1" ht="12.75">
      <c r="A253" s="748"/>
      <c r="B253" s="307"/>
      <c r="C253" s="824">
        <f t="shared" si="108"/>
        <v>8</v>
      </c>
      <c r="D253" s="166"/>
      <c r="E253" s="937"/>
      <c r="F253" s="938"/>
      <c r="G253" s="939"/>
      <c r="H253" s="316"/>
      <c r="I253" s="835" t="s">
        <v>95</v>
      </c>
      <c r="J253" s="736"/>
      <c r="K253" s="518" t="str">
        <f t="shared" si="110"/>
        <v>No alert</v>
      </c>
      <c r="L253" s="296"/>
      <c r="M253" s="104">
        <f t="shared" ref="M253:M254" si="111">L253*H253</f>
        <v>0</v>
      </c>
      <c r="N253" s="215"/>
      <c r="O253" s="217"/>
      <c r="P253" s="217"/>
      <c r="Q253" s="217"/>
      <c r="R253" s="217"/>
      <c r="S253" s="217"/>
      <c r="T253" s="217"/>
      <c r="U253" s="218"/>
      <c r="V253" s="520"/>
      <c r="W253" s="520"/>
      <c r="X253" s="520"/>
      <c r="Y253" s="520"/>
      <c r="Z253" s="520"/>
      <c r="AA253" s="520"/>
      <c r="AB253" s="520"/>
      <c r="AC253" s="520"/>
      <c r="AH253" s="520"/>
      <c r="BK253" s="520"/>
      <c r="BL253" s="520"/>
    </row>
    <row r="254" spans="1:65" s="495" customFormat="1" ht="12.75">
      <c r="A254" s="748"/>
      <c r="B254" s="307"/>
      <c r="C254" s="824">
        <f t="shared" si="108"/>
        <v>9</v>
      </c>
      <c r="D254" s="166"/>
      <c r="E254" s="937"/>
      <c r="F254" s="938"/>
      <c r="G254" s="939"/>
      <c r="H254" s="316"/>
      <c r="I254" s="835" t="s">
        <v>95</v>
      </c>
      <c r="J254" s="736"/>
      <c r="K254" s="518" t="str">
        <f t="shared" si="110"/>
        <v>No alert</v>
      </c>
      <c r="L254" s="296"/>
      <c r="M254" s="104">
        <f t="shared" si="111"/>
        <v>0</v>
      </c>
      <c r="N254" s="215"/>
      <c r="O254" s="217"/>
      <c r="P254" s="217"/>
      <c r="Q254" s="217"/>
      <c r="R254" s="217"/>
      <c r="S254" s="217"/>
      <c r="T254" s="217"/>
      <c r="U254" s="218"/>
      <c r="V254" s="520"/>
      <c r="W254" s="520"/>
      <c r="X254" s="520"/>
      <c r="Y254" s="520"/>
      <c r="Z254" s="520"/>
      <c r="AA254" s="520"/>
      <c r="AB254" s="520"/>
      <c r="AC254" s="520"/>
      <c r="AH254" s="520"/>
      <c r="BK254" s="520"/>
      <c r="BL254" s="520"/>
    </row>
    <row r="255" spans="1:65" s="520" customFormat="1" ht="18" customHeight="1">
      <c r="A255" s="748"/>
      <c r="C255" s="789"/>
      <c r="E255" s="789"/>
      <c r="F255" s="768"/>
      <c r="G255" s="768"/>
      <c r="H255" s="868"/>
      <c r="I255" s="768"/>
      <c r="J255" s="768"/>
      <c r="K255" s="768"/>
      <c r="L255" s="768"/>
      <c r="M255" s="768"/>
      <c r="N255" s="768"/>
      <c r="O255" s="54"/>
      <c r="P255" s="54"/>
      <c r="Q255" s="23"/>
      <c r="R255" s="55"/>
      <c r="S255" s="768"/>
      <c r="T255" s="768"/>
      <c r="U255" s="736"/>
      <c r="V255" s="54"/>
      <c r="W255" s="897"/>
      <c r="X255" s="55"/>
      <c r="Y255" s="56"/>
      <c r="Z255" s="56"/>
      <c r="AA255" s="56"/>
      <c r="AB255" s="23"/>
      <c r="AC255" s="57"/>
      <c r="AE255" s="896"/>
      <c r="AF255" s="896"/>
      <c r="AG255" s="896"/>
      <c r="AH255" s="23"/>
      <c r="AI255" s="58"/>
      <c r="AJ255" s="768"/>
      <c r="AK255" s="768"/>
      <c r="AO255" s="874"/>
      <c r="AP255" s="768"/>
      <c r="AQ255" s="768"/>
      <c r="AR255" s="768"/>
      <c r="AS255" s="768"/>
      <c r="AT255" s="768"/>
      <c r="AU255" s="768"/>
    </row>
    <row r="256" spans="1:65" s="495" customFormat="1" ht="18" customHeight="1">
      <c r="A256" s="748"/>
      <c r="B256" s="839"/>
      <c r="D256" s="520"/>
      <c r="E256" s="844" t="s">
        <v>1593</v>
      </c>
      <c r="F256" s="768"/>
      <c r="G256" s="768"/>
      <c r="H256" s="841">
        <f>SUM(H245:H255)</f>
        <v>0</v>
      </c>
      <c r="I256" s="902" t="s">
        <v>95</v>
      </c>
      <c r="J256" s="839"/>
      <c r="K256" s="846"/>
      <c r="L256" s="903" t="s">
        <v>75</v>
      </c>
      <c r="M256" s="106">
        <f>SUM(M245:M255)</f>
        <v>0</v>
      </c>
      <c r="N256" s="904">
        <f>IF(H256=0,0,M256/H256)</f>
        <v>0</v>
      </c>
      <c r="O256" s="793" t="str">
        <f>I256</f>
        <v>ha</v>
      </c>
      <c r="P256" s="843"/>
      <c r="Q256" s="550"/>
      <c r="R256" s="550"/>
      <c r="S256" s="550"/>
      <c r="T256" s="905"/>
      <c r="U256" s="905"/>
      <c r="V256" s="905"/>
      <c r="W256" s="905"/>
      <c r="BH256" s="520"/>
      <c r="BI256" s="520"/>
    </row>
    <row r="257" spans="1:61" s="495" customFormat="1" ht="18" customHeight="1">
      <c r="A257" s="748"/>
      <c r="B257" s="839"/>
      <c r="D257" s="520"/>
      <c r="E257" s="844"/>
      <c r="F257" s="768"/>
      <c r="G257" s="768"/>
      <c r="H257" s="768"/>
      <c r="I257" s="768"/>
      <c r="J257" s="768"/>
      <c r="K257" s="768"/>
      <c r="L257" s="768"/>
      <c r="M257" s="768"/>
      <c r="N257" s="768"/>
      <c r="O257" s="768"/>
      <c r="P257" s="768"/>
      <c r="Q257" s="768"/>
      <c r="R257" s="768"/>
      <c r="S257" s="768"/>
      <c r="T257" s="768"/>
      <c r="U257" s="768"/>
      <c r="V257" s="768"/>
      <c r="W257" s="768"/>
      <c r="X257" s="768"/>
      <c r="Y257" s="768"/>
      <c r="BH257" s="520"/>
      <c r="BI257" s="520"/>
    </row>
    <row r="258" spans="1:61" s="520" customFormat="1" ht="18" customHeight="1">
      <c r="C258" s="848" t="s">
        <v>1680</v>
      </c>
      <c r="J258" s="736"/>
      <c r="K258" s="736"/>
      <c r="L258" s="768"/>
      <c r="M258" s="768"/>
      <c r="N258" s="768"/>
      <c r="O258" s="23"/>
      <c r="P258" s="768"/>
      <c r="Q258" s="768"/>
      <c r="R258" s="768"/>
      <c r="S258" s="768"/>
      <c r="T258" s="768"/>
      <c r="U258" s="768"/>
      <c r="V258" s="768"/>
      <c r="W258" s="768"/>
      <c r="X258" s="768"/>
      <c r="Y258" s="768"/>
      <c r="Z258" s="768"/>
      <c r="AA258" s="768"/>
      <c r="AD258" s="475"/>
      <c r="AE258" s="906" t="str">
        <f>IF(AE261="","No Alert","Enter justification")</f>
        <v>No Alert</v>
      </c>
      <c r="AG258" s="582" t="s">
        <v>1595</v>
      </c>
      <c r="AH258" s="768" t="s">
        <v>1662</v>
      </c>
      <c r="AI258" s="768" t="s">
        <v>1663</v>
      </c>
      <c r="AJ258" s="768"/>
      <c r="AK258" s="768"/>
      <c r="AM258" s="768"/>
      <c r="AT258" s="495"/>
      <c r="AV258" s="768"/>
      <c r="AW258" s="768"/>
      <c r="AX258" s="768"/>
      <c r="AY258" s="768"/>
    </row>
    <row r="259" spans="1:61" s="495" customFormat="1" ht="18" customHeight="1">
      <c r="A259" s="875"/>
      <c r="B259" s="875"/>
      <c r="C259" s="848" t="s">
        <v>1596</v>
      </c>
      <c r="D259" s="907"/>
      <c r="E259" s="829"/>
      <c r="F259" s="829"/>
      <c r="G259" s="829"/>
      <c r="H259" s="829"/>
      <c r="I259" s="908" t="s">
        <v>1</v>
      </c>
      <c r="J259" s="829"/>
      <c r="K259" s="829"/>
      <c r="L259" s="829"/>
      <c r="M259" s="829"/>
      <c r="N259" s="829"/>
      <c r="O259" s="829"/>
      <c r="P259" s="829"/>
      <c r="Q259" s="829"/>
      <c r="R259" s="829"/>
      <c r="S259" s="829"/>
      <c r="T259" s="829"/>
      <c r="U259" s="829"/>
      <c r="V259" s="829"/>
      <c r="W259" s="829"/>
      <c r="AB259" s="520"/>
      <c r="AD259" s="848" t="s">
        <v>1596</v>
      </c>
      <c r="AE259" s="828" t="str">
        <f>TOV!$C$218</f>
        <v>#3.134</v>
      </c>
      <c r="AF259" s="789" t="s">
        <v>93</v>
      </c>
      <c r="AG259" s="614" t="str">
        <f>TOV!$C$575</f>
        <v>#14.40</v>
      </c>
      <c r="AH259" s="63">
        <f>VLOOKUP(AG259,TOV!$C$575:$G$576,TOV!$F$1,FALSE)</f>
        <v>1655.5</v>
      </c>
      <c r="AI259" s="117"/>
      <c r="AJ259" s="849" t="str">
        <f>IF(AI259="","No Alert","Enter justification")</f>
        <v>No Alert</v>
      </c>
      <c r="AK259" s="768"/>
      <c r="AL259" s="768"/>
      <c r="AM259" s="768"/>
      <c r="AN259" s="768"/>
      <c r="AO259" s="768"/>
      <c r="AP259" s="768"/>
      <c r="AQ259" s="768"/>
      <c r="AR259" s="520"/>
      <c r="AS259" s="520"/>
      <c r="BH259" s="520"/>
      <c r="BI259" s="520"/>
    </row>
    <row r="260" spans="1:61" s="520" customFormat="1" ht="18" customHeight="1">
      <c r="C260" s="848" t="s">
        <v>35</v>
      </c>
      <c r="G260" s="768"/>
      <c r="H260" s="789" t="s">
        <v>117</v>
      </c>
      <c r="I260" s="824">
        <v>0</v>
      </c>
      <c r="J260" s="768"/>
      <c r="K260" s="768"/>
      <c r="L260" s="768"/>
      <c r="M260" s="768"/>
      <c r="N260" s="768"/>
      <c r="O260" s="768"/>
      <c r="P260" s="768"/>
      <c r="Q260" s="768"/>
      <c r="R260" s="768"/>
      <c r="S260" s="768"/>
      <c r="T260" s="768"/>
      <c r="U260" s="768"/>
      <c r="V260" s="768"/>
      <c r="W260" s="768"/>
      <c r="X260" s="768"/>
      <c r="Y260" s="768"/>
      <c r="Z260" s="768"/>
      <c r="AA260" s="768"/>
      <c r="AD260" s="848" t="s">
        <v>35</v>
      </c>
      <c r="AE260" s="81">
        <f>VLOOKUP(AE259,TOV!$C$85:$G$218,4,FALSE)</f>
        <v>400.15945742176939</v>
      </c>
      <c r="AF260" s="789" t="s">
        <v>116</v>
      </c>
      <c r="AG260" s="614" t="str">
        <f>TOV!$C$576</f>
        <v>#14.41</v>
      </c>
      <c r="AH260" s="63">
        <f>VLOOKUP(AG260,TOV!$C$575:$G$576,TOV!$F$1,FALSE)</f>
        <v>4196.5</v>
      </c>
      <c r="AI260" s="117"/>
      <c r="AJ260" s="849" t="str">
        <f>IF(AI260="","No Alert","Enter justification")</f>
        <v>No Alert</v>
      </c>
      <c r="AK260" s="768"/>
      <c r="AL260" s="768"/>
      <c r="AM260" s="768"/>
      <c r="AN260" s="768"/>
      <c r="AO260" s="768"/>
      <c r="AQ260" s="768"/>
    </row>
    <row r="261" spans="1:61" s="520" customFormat="1" ht="18" customHeight="1">
      <c r="C261" s="848" t="s">
        <v>1556</v>
      </c>
      <c r="E261" s="768"/>
      <c r="G261" s="768"/>
      <c r="H261" s="789" t="s">
        <v>118</v>
      </c>
      <c r="I261" s="824">
        <v>150</v>
      </c>
      <c r="J261" s="768"/>
      <c r="K261" s="768"/>
      <c r="L261" s="768"/>
      <c r="M261" s="768"/>
      <c r="N261" s="768"/>
      <c r="O261" s="768"/>
      <c r="P261" s="768"/>
      <c r="Q261" s="768"/>
      <c r="R261" s="768"/>
      <c r="S261" s="768"/>
      <c r="T261" s="768"/>
      <c r="U261" s="768"/>
      <c r="V261" s="768"/>
      <c r="W261" s="768"/>
      <c r="X261" s="768"/>
      <c r="Y261" s="768"/>
      <c r="Z261" s="768"/>
      <c r="AA261" s="768"/>
      <c r="AB261" s="768"/>
      <c r="AD261" s="848" t="s">
        <v>1556</v>
      </c>
      <c r="AE261" s="117"/>
      <c r="AF261" s="789"/>
      <c r="AI261" s="768"/>
      <c r="AJ261" s="768"/>
      <c r="AK261" s="768"/>
      <c r="AL261" s="768"/>
      <c r="AM261" s="768"/>
      <c r="AN261" s="768"/>
      <c r="AO261" s="768"/>
      <c r="AQ261" s="768"/>
    </row>
    <row r="262" spans="1:61" s="520" customFormat="1" ht="18" customHeight="1">
      <c r="B262" s="768"/>
      <c r="C262" s="848" t="s">
        <v>1597</v>
      </c>
      <c r="D262" s="768"/>
      <c r="E262" s="768"/>
      <c r="G262" s="768"/>
      <c r="H262" s="789" t="s">
        <v>46</v>
      </c>
      <c r="I262" s="824">
        <v>150</v>
      </c>
      <c r="J262" s="768"/>
      <c r="K262" s="768"/>
      <c r="L262" s="768"/>
      <c r="M262" s="768"/>
      <c r="N262" s="768"/>
      <c r="O262" s="768"/>
      <c r="P262" s="768"/>
      <c r="Q262" s="768"/>
      <c r="R262" s="768"/>
      <c r="S262" s="768"/>
      <c r="T262" s="768"/>
      <c r="U262" s="768"/>
      <c r="V262" s="768"/>
      <c r="W262" s="768"/>
      <c r="X262" s="768"/>
      <c r="Y262" s="768"/>
      <c r="Z262" s="768"/>
      <c r="AA262" s="768"/>
      <c r="AB262" s="768"/>
      <c r="AD262" s="848" t="s">
        <v>1597</v>
      </c>
      <c r="AE262" s="850" t="s">
        <v>95</v>
      </c>
      <c r="AH262" s="850" t="s">
        <v>95</v>
      </c>
      <c r="AI262" s="768"/>
      <c r="AJ262" s="768"/>
      <c r="AK262" s="768"/>
      <c r="AL262" s="768"/>
      <c r="AM262" s="768"/>
      <c r="AN262" s="768"/>
      <c r="AO262" s="768"/>
      <c r="AP262" s="768"/>
      <c r="AQ262" s="495"/>
      <c r="AR262" s="768"/>
      <c r="AS262" s="768"/>
      <c r="AT262" s="768"/>
      <c r="AU262" s="768"/>
      <c r="AV262" s="768"/>
      <c r="AW262" s="768"/>
    </row>
    <row r="263" spans="1:61" s="520" customFormat="1" ht="18" customHeight="1">
      <c r="B263" s="768"/>
      <c r="C263" s="848" t="s">
        <v>1599</v>
      </c>
      <c r="D263" s="768"/>
      <c r="E263" s="768"/>
      <c r="G263" s="768"/>
      <c r="H263" s="789" t="s">
        <v>1647</v>
      </c>
      <c r="I263" s="824">
        <v>150</v>
      </c>
      <c r="J263" s="768"/>
      <c r="K263" s="768"/>
      <c r="L263" s="768"/>
      <c r="M263" s="768"/>
      <c r="N263" s="768"/>
      <c r="O263" s="852">
        <f>Default_Growth_Media</f>
        <v>150</v>
      </c>
      <c r="P263" s="768"/>
      <c r="Q263" s="768"/>
      <c r="R263" s="768"/>
      <c r="S263" s="768"/>
      <c r="T263" s="768"/>
      <c r="U263" s="768"/>
      <c r="V263" s="768"/>
      <c r="W263" s="768"/>
      <c r="X263" s="768"/>
      <c r="Y263" s="768"/>
      <c r="Z263" s="768"/>
      <c r="AA263" s="768"/>
      <c r="AB263" s="768"/>
      <c r="AD263" s="848"/>
      <c r="AE263" s="848"/>
      <c r="AF263" s="848"/>
      <c r="AG263" s="848"/>
      <c r="AH263" s="848"/>
      <c r="AI263" s="848"/>
      <c r="AJ263" s="768"/>
      <c r="AK263" s="768"/>
      <c r="AL263" s="768"/>
      <c r="AM263" s="768"/>
      <c r="AN263" s="768"/>
      <c r="AO263" s="768"/>
      <c r="AP263" s="768"/>
      <c r="AQ263" s="495"/>
      <c r="AR263" s="768"/>
      <c r="AS263" s="768"/>
      <c r="AT263" s="768"/>
      <c r="AU263" s="768"/>
      <c r="AV263" s="768"/>
      <c r="AW263" s="768"/>
    </row>
    <row r="264" spans="1:61" s="520" customFormat="1" ht="18" customHeight="1">
      <c r="B264" s="287" t="s">
        <v>26</v>
      </c>
      <c r="C264" s="820" t="s">
        <v>1687</v>
      </c>
      <c r="D264" s="816"/>
      <c r="E264" s="878" t="s">
        <v>1688</v>
      </c>
      <c r="F264" s="909" t="s">
        <v>1689</v>
      </c>
      <c r="G264" s="856"/>
      <c r="H264" s="856"/>
      <c r="I264" s="856"/>
      <c r="J264" s="856"/>
      <c r="K264" s="856"/>
      <c r="L264" s="856"/>
      <c r="M264" s="878" t="s">
        <v>1690</v>
      </c>
      <c r="N264" s="859"/>
      <c r="O264" s="859"/>
      <c r="P264" s="859"/>
      <c r="Q264" s="859"/>
      <c r="R264" s="859"/>
      <c r="S264" s="859"/>
      <c r="T264" s="859"/>
      <c r="U264" s="859"/>
      <c r="V264" s="859"/>
      <c r="W264" s="862" t="s">
        <v>1606</v>
      </c>
      <c r="X264" s="858"/>
      <c r="Y264" s="858"/>
      <c r="Z264" s="859"/>
      <c r="AA264" s="859"/>
      <c r="AB264" s="910"/>
      <c r="AC264" s="862" t="s">
        <v>1607</v>
      </c>
      <c r="AD264" s="859"/>
      <c r="AE264" s="910"/>
      <c r="AF264" s="859" t="s">
        <v>1608</v>
      </c>
      <c r="AG264" s="859"/>
      <c r="AH264" s="910"/>
      <c r="AM264" s="768"/>
      <c r="AN264" s="768"/>
      <c r="AP264" s="768"/>
    </row>
    <row r="265" spans="1:61" s="520" customFormat="1" ht="36">
      <c r="A265" s="748"/>
      <c r="B265" s="774" t="s">
        <v>1517</v>
      </c>
      <c r="C265" s="774" t="s">
        <v>27</v>
      </c>
      <c r="D265" s="774" t="s">
        <v>1691</v>
      </c>
      <c r="E265" s="774" t="s">
        <v>1650</v>
      </c>
      <c r="F265" s="812" t="s">
        <v>1612</v>
      </c>
      <c r="G265" s="863"/>
      <c r="H265" s="774" t="s">
        <v>1692</v>
      </c>
      <c r="I265" s="774" t="s">
        <v>1693</v>
      </c>
      <c r="J265" s="774" t="s">
        <v>1694</v>
      </c>
      <c r="K265" s="774" t="s">
        <v>1615</v>
      </c>
      <c r="L265" s="774" t="s">
        <v>1616</v>
      </c>
      <c r="M265" s="774" t="s">
        <v>1695</v>
      </c>
      <c r="N265" s="774" t="s">
        <v>1696</v>
      </c>
      <c r="O265" s="774" t="s">
        <v>1623</v>
      </c>
      <c r="P265" s="774" t="s">
        <v>1697</v>
      </c>
      <c r="Q265" s="774" t="s">
        <v>1625</v>
      </c>
      <c r="R265" s="774" t="s">
        <v>1626</v>
      </c>
      <c r="S265" s="774" t="s">
        <v>1627</v>
      </c>
      <c r="T265" s="774" t="s">
        <v>1628</v>
      </c>
      <c r="U265" s="774" t="s">
        <v>1629</v>
      </c>
      <c r="V265" s="774" t="s">
        <v>1630</v>
      </c>
      <c r="W265" s="812" t="s">
        <v>1698</v>
      </c>
      <c r="X265" s="863"/>
      <c r="Y265" s="911" t="s">
        <v>1699</v>
      </c>
      <c r="Z265" s="812" t="s">
        <v>1700</v>
      </c>
      <c r="AA265" s="863"/>
      <c r="AB265" s="774" t="s">
        <v>1701</v>
      </c>
      <c r="AC265" s="774" t="s">
        <v>1684</v>
      </c>
      <c r="AD265" s="774" t="s">
        <v>1639</v>
      </c>
      <c r="AE265" s="774" t="s">
        <v>1702</v>
      </c>
      <c r="AF265" s="774" t="s">
        <v>1640</v>
      </c>
      <c r="AG265" s="774" t="s">
        <v>1703</v>
      </c>
      <c r="AH265" s="774" t="s">
        <v>1644</v>
      </c>
      <c r="AI265" s="864" t="s">
        <v>1587</v>
      </c>
      <c r="AJ265" s="776" t="s">
        <v>1645</v>
      </c>
      <c r="AK265" s="831"/>
      <c r="AL265" s="831"/>
      <c r="AM265" s="865"/>
      <c r="AN265" s="865"/>
      <c r="AO265" s="831"/>
      <c r="AP265" s="865"/>
      <c r="AQ265" s="831"/>
      <c r="AR265" s="831"/>
      <c r="AS265" s="832"/>
    </row>
    <row r="266" spans="1:61" s="520" customFormat="1" ht="18" customHeight="1">
      <c r="B266" s="64"/>
      <c r="C266" s="64"/>
      <c r="D266" s="64"/>
      <c r="E266" s="132"/>
      <c r="F266" s="880" t="s">
        <v>1646</v>
      </c>
      <c r="G266" s="64"/>
      <c r="H266" s="64"/>
      <c r="I266" s="768"/>
      <c r="J266" s="64"/>
      <c r="K266" s="64"/>
      <c r="L266" s="64"/>
      <c r="M266" s="64"/>
      <c r="N266" s="64"/>
      <c r="O266" s="64"/>
      <c r="P266" s="64"/>
      <c r="Q266" s="64"/>
      <c r="R266" s="768"/>
      <c r="V266" s="768"/>
      <c r="W266" s="64"/>
      <c r="X266" s="64"/>
      <c r="Y266" s="64"/>
      <c r="Z266" s="64"/>
      <c r="AA266" s="64"/>
      <c r="AB266" s="64"/>
      <c r="AC266" s="225" t="str">
        <f>Subrates_Table_1</f>
        <v>Subrates Table 1</v>
      </c>
      <c r="AD266" s="225" t="str">
        <f>Subrates_Table_1</f>
        <v>Subrates Table 1</v>
      </c>
      <c r="AE266" s="64"/>
      <c r="AF266" s="64"/>
      <c r="AH266" s="768"/>
      <c r="AI266" s="474"/>
      <c r="AJ266" s="748"/>
      <c r="AM266" s="768"/>
      <c r="AN266" s="768"/>
      <c r="AO266" s="838"/>
      <c r="AP266" s="768"/>
    </row>
    <row r="267" spans="1:61" s="520" customFormat="1" ht="15">
      <c r="B267" s="307"/>
      <c r="C267" s="824">
        <v>1</v>
      </c>
      <c r="D267" s="169"/>
      <c r="E267" s="316"/>
      <c r="F267" s="65" t="s">
        <v>117</v>
      </c>
      <c r="G267" s="68"/>
      <c r="H267" s="316">
        <f t="shared" ref="H267:H276" si="112">E267</f>
        <v>0</v>
      </c>
      <c r="I267" s="824">
        <f>VLOOKUP(F267,H$260:I$263,2,FALSE)</f>
        <v>0</v>
      </c>
      <c r="J267" s="30"/>
      <c r="K267" s="824">
        <f>IF(J267="",I267,J267)</f>
        <v>0</v>
      </c>
      <c r="L267" s="324">
        <f>IF(F267=Lists!$B$67,0,E267*10000*K267/1000)</f>
        <v>0</v>
      </c>
      <c r="M267" s="324">
        <f t="shared" ref="M267:M276" si="113">E267</f>
        <v>0</v>
      </c>
      <c r="N267" s="316">
        <f t="shared" ref="N267:N276" si="114">E267</f>
        <v>0</v>
      </c>
      <c r="O267" s="74"/>
      <c r="P267" s="316"/>
      <c r="Q267" s="324">
        <f>IF(P267="",N267*10000*IF(O267&lt;&gt;"",O267,$O$263)/1000,P267)</f>
        <v>0</v>
      </c>
      <c r="R267" s="324">
        <f t="shared" ref="R267:R276" si="115">E267</f>
        <v>0</v>
      </c>
      <c r="S267" s="66">
        <v>1</v>
      </c>
      <c r="T267" s="66"/>
      <c r="U267" s="67">
        <f t="shared" ref="U267:U276" si="116">100%-S267-T267</f>
        <v>0</v>
      </c>
      <c r="V267" s="16" t="str">
        <f>IF(U267&lt;0%,"Error","No Alert")</f>
        <v>No Alert</v>
      </c>
      <c r="W267" s="37" t="s">
        <v>125</v>
      </c>
      <c r="X267" s="60"/>
      <c r="Y267" s="79" t="s">
        <v>349</v>
      </c>
      <c r="Z267" s="75" t="s">
        <v>125</v>
      </c>
      <c r="AA267" s="76"/>
      <c r="AB267" s="40" t="s">
        <v>348</v>
      </c>
      <c r="AC267" s="63">
        <f t="shared" ref="AC267:AC276" si="117">INDEX(Load_and_Haul_Values,MATCH(W267,Load_and_Haul,0),MATCH(Y267,Load_Haul_Fleet_size,0))</f>
        <v>6.2664411871606829</v>
      </c>
      <c r="AD267" s="63">
        <f t="shared" ref="AD267:AD276" si="118">INDEX(Load_and_Haul_Values,MATCH(Z267,Load_and_Haul,0),MATCH(AB267,Load_Haul_Fleet_size,0))</f>
        <v>4.8064250364478198</v>
      </c>
      <c r="AE267" s="351">
        <f t="shared" ref="AE267:AE276" si="119">M267*IF($AE$261="",$AE$260,$AE$261)</f>
        <v>0</v>
      </c>
      <c r="AF267" s="351">
        <f t="shared" ref="AF267:AF276" si="120">L267*AC267</f>
        <v>0</v>
      </c>
      <c r="AG267" s="351">
        <f t="shared" ref="AG267:AG276" si="121">Q267*AD267</f>
        <v>0</v>
      </c>
      <c r="AH267" s="351">
        <f t="shared" ref="AH267:AH276" si="122">R267*(S267*IF($AI$259="",$AH$259,$AI$259)+T267*IF($AI$260="",$AH$260,$AI$260))</f>
        <v>0</v>
      </c>
      <c r="AI267" s="276">
        <f t="shared" ref="AI267:AI276" si="123">AF267+AE267+AG267+AH267</f>
        <v>0</v>
      </c>
      <c r="AJ267" s="215"/>
      <c r="AK267" s="217"/>
      <c r="AL267" s="217"/>
      <c r="AM267" s="217"/>
      <c r="AN267" s="217"/>
      <c r="AO267" s="217"/>
      <c r="AP267" s="217"/>
      <c r="AQ267" s="217"/>
      <c r="AR267" s="217"/>
      <c r="AS267" s="218"/>
      <c r="AX267" s="874"/>
    </row>
    <row r="268" spans="1:61" s="520" customFormat="1" ht="15">
      <c r="B268" s="307"/>
      <c r="C268" s="824">
        <v>2</v>
      </c>
      <c r="D268" s="169"/>
      <c r="E268" s="316"/>
      <c r="F268" s="65" t="s">
        <v>118</v>
      </c>
      <c r="G268" s="68"/>
      <c r="H268" s="316">
        <f t="shared" si="112"/>
        <v>0</v>
      </c>
      <c r="I268" s="824">
        <f t="shared" ref="I268:I276" si="124">VLOOKUP(F268,H$260:I$263,2,FALSE)</f>
        <v>150</v>
      </c>
      <c r="J268" s="30"/>
      <c r="K268" s="824">
        <f t="shared" ref="K268:K276" si="125">IF(J268="",I268,J268)</f>
        <v>150</v>
      </c>
      <c r="L268" s="324">
        <f>IF(F268=Lists!$B$67,0,E268*10000*K268/1000)</f>
        <v>0</v>
      </c>
      <c r="M268" s="324">
        <f t="shared" si="113"/>
        <v>0</v>
      </c>
      <c r="N268" s="316">
        <f t="shared" si="114"/>
        <v>0</v>
      </c>
      <c r="O268" s="74"/>
      <c r="P268" s="316"/>
      <c r="Q268" s="324">
        <f t="shared" ref="Q268:Q276" si="126">IF(P268="",N268*10000*IF(O268&lt;&gt;"",O268,$O$263)/1000,P268)</f>
        <v>0</v>
      </c>
      <c r="R268" s="324">
        <f t="shared" si="115"/>
        <v>0</v>
      </c>
      <c r="S268" s="66">
        <v>1</v>
      </c>
      <c r="T268" s="66"/>
      <c r="U268" s="67">
        <f t="shared" si="116"/>
        <v>0</v>
      </c>
      <c r="V268" s="16" t="str">
        <f t="shared" ref="V268:V276" si="127">IF(U268&lt;0%,"Error","No Alert")</f>
        <v>No Alert</v>
      </c>
      <c r="W268" s="37" t="s">
        <v>125</v>
      </c>
      <c r="X268" s="60"/>
      <c r="Y268" s="79" t="s">
        <v>349</v>
      </c>
      <c r="Z268" s="75" t="s">
        <v>125</v>
      </c>
      <c r="AA268" s="76"/>
      <c r="AB268" s="40" t="s">
        <v>348</v>
      </c>
      <c r="AC268" s="63">
        <f t="shared" si="117"/>
        <v>6.2664411871606829</v>
      </c>
      <c r="AD268" s="63">
        <f t="shared" si="118"/>
        <v>4.8064250364478198</v>
      </c>
      <c r="AE268" s="351">
        <f t="shared" si="119"/>
        <v>0</v>
      </c>
      <c r="AF268" s="351">
        <f t="shared" si="120"/>
        <v>0</v>
      </c>
      <c r="AG268" s="351">
        <f t="shared" si="121"/>
        <v>0</v>
      </c>
      <c r="AH268" s="351">
        <f t="shared" si="122"/>
        <v>0</v>
      </c>
      <c r="AI268" s="276">
        <f t="shared" si="123"/>
        <v>0</v>
      </c>
      <c r="AJ268" s="215"/>
      <c r="AK268" s="217"/>
      <c r="AL268" s="217"/>
      <c r="AM268" s="217"/>
      <c r="AN268" s="217"/>
      <c r="AO268" s="217"/>
      <c r="AP268" s="217"/>
      <c r="AQ268" s="217"/>
      <c r="AR268" s="217"/>
      <c r="AS268" s="218"/>
      <c r="AX268" s="874"/>
    </row>
    <row r="269" spans="1:61" s="520" customFormat="1" ht="15">
      <c r="B269" s="307"/>
      <c r="C269" s="824">
        <v>3</v>
      </c>
      <c r="D269" s="169"/>
      <c r="E269" s="316"/>
      <c r="F269" s="65" t="s">
        <v>46</v>
      </c>
      <c r="G269" s="68"/>
      <c r="H269" s="316">
        <f t="shared" si="112"/>
        <v>0</v>
      </c>
      <c r="I269" s="824">
        <f t="shared" si="124"/>
        <v>150</v>
      </c>
      <c r="J269" s="30"/>
      <c r="K269" s="824">
        <f t="shared" si="125"/>
        <v>150</v>
      </c>
      <c r="L269" s="324">
        <f>IF(F269=Lists!$B$67,0,E269*10000*K269/1000)</f>
        <v>0</v>
      </c>
      <c r="M269" s="324">
        <f t="shared" si="113"/>
        <v>0</v>
      </c>
      <c r="N269" s="316">
        <f t="shared" si="114"/>
        <v>0</v>
      </c>
      <c r="O269" s="74"/>
      <c r="P269" s="316"/>
      <c r="Q269" s="324">
        <f t="shared" si="126"/>
        <v>0</v>
      </c>
      <c r="R269" s="324">
        <f t="shared" si="115"/>
        <v>0</v>
      </c>
      <c r="S269" s="66">
        <v>1</v>
      </c>
      <c r="T269" s="66"/>
      <c r="U269" s="67">
        <f t="shared" si="116"/>
        <v>0</v>
      </c>
      <c r="V269" s="16" t="str">
        <f t="shared" si="127"/>
        <v>No Alert</v>
      </c>
      <c r="W269" s="37" t="s">
        <v>125</v>
      </c>
      <c r="X269" s="60"/>
      <c r="Y269" s="79" t="s">
        <v>349</v>
      </c>
      <c r="Z269" s="75" t="s">
        <v>125</v>
      </c>
      <c r="AA269" s="76"/>
      <c r="AB269" s="40" t="s">
        <v>348</v>
      </c>
      <c r="AC269" s="63">
        <f t="shared" si="117"/>
        <v>6.2664411871606829</v>
      </c>
      <c r="AD269" s="63">
        <f t="shared" si="118"/>
        <v>4.8064250364478198</v>
      </c>
      <c r="AE269" s="351">
        <f t="shared" si="119"/>
        <v>0</v>
      </c>
      <c r="AF269" s="351">
        <f t="shared" si="120"/>
        <v>0</v>
      </c>
      <c r="AG269" s="351">
        <f t="shared" si="121"/>
        <v>0</v>
      </c>
      <c r="AH269" s="351">
        <f t="shared" si="122"/>
        <v>0</v>
      </c>
      <c r="AI269" s="276">
        <f t="shared" si="123"/>
        <v>0</v>
      </c>
      <c r="AJ269" s="215"/>
      <c r="AK269" s="217"/>
      <c r="AL269" s="217"/>
      <c r="AM269" s="217"/>
      <c r="AN269" s="217"/>
      <c r="AO269" s="217"/>
      <c r="AP269" s="217"/>
      <c r="AQ269" s="217"/>
      <c r="AR269" s="217"/>
      <c r="AS269" s="218"/>
      <c r="AX269" s="874"/>
    </row>
    <row r="270" spans="1:61" s="520" customFormat="1" ht="15">
      <c r="B270" s="307"/>
      <c r="C270" s="824">
        <v>4</v>
      </c>
      <c r="D270" s="169"/>
      <c r="E270" s="316"/>
      <c r="F270" s="65" t="s">
        <v>1647</v>
      </c>
      <c r="G270" s="68"/>
      <c r="H270" s="316">
        <f t="shared" si="112"/>
        <v>0</v>
      </c>
      <c r="I270" s="824">
        <f t="shared" si="124"/>
        <v>150</v>
      </c>
      <c r="J270" s="30"/>
      <c r="K270" s="824">
        <f t="shared" si="125"/>
        <v>150</v>
      </c>
      <c r="L270" s="324">
        <f>IF(F270=Lists!$B$67,0,E270*10000*K270/1000)</f>
        <v>0</v>
      </c>
      <c r="M270" s="324">
        <f t="shared" si="113"/>
        <v>0</v>
      </c>
      <c r="N270" s="316">
        <f t="shared" si="114"/>
        <v>0</v>
      </c>
      <c r="O270" s="74"/>
      <c r="P270" s="316"/>
      <c r="Q270" s="324">
        <f t="shared" si="126"/>
        <v>0</v>
      </c>
      <c r="R270" s="324">
        <f t="shared" si="115"/>
        <v>0</v>
      </c>
      <c r="S270" s="66">
        <v>1</v>
      </c>
      <c r="T270" s="66"/>
      <c r="U270" s="67">
        <f t="shared" si="116"/>
        <v>0</v>
      </c>
      <c r="V270" s="16" t="str">
        <f t="shared" si="127"/>
        <v>No Alert</v>
      </c>
      <c r="W270" s="37" t="s">
        <v>125</v>
      </c>
      <c r="X270" s="60"/>
      <c r="Y270" s="79" t="s">
        <v>349</v>
      </c>
      <c r="Z270" s="75" t="s">
        <v>125</v>
      </c>
      <c r="AA270" s="76"/>
      <c r="AB270" s="40" t="s">
        <v>348</v>
      </c>
      <c r="AC270" s="63">
        <f t="shared" si="117"/>
        <v>6.2664411871606829</v>
      </c>
      <c r="AD270" s="63">
        <f t="shared" si="118"/>
        <v>4.8064250364478198</v>
      </c>
      <c r="AE270" s="351">
        <f t="shared" si="119"/>
        <v>0</v>
      </c>
      <c r="AF270" s="351">
        <f t="shared" si="120"/>
        <v>0</v>
      </c>
      <c r="AG270" s="351">
        <f t="shared" si="121"/>
        <v>0</v>
      </c>
      <c r="AH270" s="351">
        <f t="shared" si="122"/>
        <v>0</v>
      </c>
      <c r="AI270" s="276">
        <f t="shared" si="123"/>
        <v>0</v>
      </c>
      <c r="AJ270" s="215"/>
      <c r="AK270" s="217"/>
      <c r="AL270" s="217"/>
      <c r="AM270" s="217"/>
      <c r="AN270" s="217"/>
      <c r="AO270" s="217"/>
      <c r="AP270" s="217"/>
      <c r="AQ270" s="217"/>
      <c r="AR270" s="217"/>
      <c r="AS270" s="218"/>
      <c r="AX270" s="874"/>
    </row>
    <row r="271" spans="1:61" s="520" customFormat="1" ht="15">
      <c r="B271" s="307"/>
      <c r="C271" s="824">
        <v>5</v>
      </c>
      <c r="D271" s="169"/>
      <c r="E271" s="316"/>
      <c r="F271" s="65" t="s">
        <v>117</v>
      </c>
      <c r="G271" s="68"/>
      <c r="H271" s="316">
        <f t="shared" si="112"/>
        <v>0</v>
      </c>
      <c r="I271" s="824">
        <f t="shared" si="124"/>
        <v>0</v>
      </c>
      <c r="J271" s="30"/>
      <c r="K271" s="824">
        <f t="shared" si="125"/>
        <v>0</v>
      </c>
      <c r="L271" s="324">
        <f>IF(F271=Lists!$B$67,0,E271*10000*K271/1000)</f>
        <v>0</v>
      </c>
      <c r="M271" s="324">
        <f t="shared" si="113"/>
        <v>0</v>
      </c>
      <c r="N271" s="316">
        <f t="shared" si="114"/>
        <v>0</v>
      </c>
      <c r="O271" s="74"/>
      <c r="P271" s="316"/>
      <c r="Q271" s="324">
        <f t="shared" si="126"/>
        <v>0</v>
      </c>
      <c r="R271" s="324">
        <f t="shared" si="115"/>
        <v>0</v>
      </c>
      <c r="S271" s="66">
        <v>1</v>
      </c>
      <c r="T271" s="66"/>
      <c r="U271" s="67">
        <f t="shared" si="116"/>
        <v>0</v>
      </c>
      <c r="V271" s="16" t="str">
        <f t="shared" si="127"/>
        <v>No Alert</v>
      </c>
      <c r="W271" s="37" t="s">
        <v>125</v>
      </c>
      <c r="X271" s="60"/>
      <c r="Y271" s="79" t="s">
        <v>349</v>
      </c>
      <c r="Z271" s="75" t="s">
        <v>125</v>
      </c>
      <c r="AA271" s="76"/>
      <c r="AB271" s="40" t="s">
        <v>348</v>
      </c>
      <c r="AC271" s="63">
        <f t="shared" si="117"/>
        <v>6.2664411871606829</v>
      </c>
      <c r="AD271" s="63">
        <f t="shared" si="118"/>
        <v>4.8064250364478198</v>
      </c>
      <c r="AE271" s="351">
        <f t="shared" si="119"/>
        <v>0</v>
      </c>
      <c r="AF271" s="351">
        <f t="shared" si="120"/>
        <v>0</v>
      </c>
      <c r="AG271" s="351">
        <f t="shared" si="121"/>
        <v>0</v>
      </c>
      <c r="AH271" s="351">
        <f t="shared" si="122"/>
        <v>0</v>
      </c>
      <c r="AI271" s="276">
        <f t="shared" si="123"/>
        <v>0</v>
      </c>
      <c r="AJ271" s="215"/>
      <c r="AK271" s="217"/>
      <c r="AL271" s="217"/>
      <c r="AM271" s="217"/>
      <c r="AN271" s="217"/>
      <c r="AO271" s="217"/>
      <c r="AP271" s="217"/>
      <c r="AQ271" s="217"/>
      <c r="AR271" s="217"/>
      <c r="AS271" s="218"/>
      <c r="AX271" s="874"/>
    </row>
    <row r="272" spans="1:61" s="520" customFormat="1" ht="15">
      <c r="B272" s="307"/>
      <c r="C272" s="824">
        <v>6</v>
      </c>
      <c r="D272" s="169"/>
      <c r="E272" s="316"/>
      <c r="F272" s="65" t="s">
        <v>117</v>
      </c>
      <c r="G272" s="68"/>
      <c r="H272" s="316">
        <f t="shared" si="112"/>
        <v>0</v>
      </c>
      <c r="I272" s="824">
        <f t="shared" si="124"/>
        <v>0</v>
      </c>
      <c r="J272" s="30"/>
      <c r="K272" s="824">
        <f t="shared" si="125"/>
        <v>0</v>
      </c>
      <c r="L272" s="324">
        <f>IF(F272=Lists!$B$67,0,E272*10000*K272/1000)</f>
        <v>0</v>
      </c>
      <c r="M272" s="324">
        <f t="shared" si="113"/>
        <v>0</v>
      </c>
      <c r="N272" s="316">
        <f t="shared" si="114"/>
        <v>0</v>
      </c>
      <c r="O272" s="74"/>
      <c r="P272" s="316"/>
      <c r="Q272" s="324">
        <f t="shared" si="126"/>
        <v>0</v>
      </c>
      <c r="R272" s="324">
        <f t="shared" si="115"/>
        <v>0</v>
      </c>
      <c r="S272" s="66">
        <v>1</v>
      </c>
      <c r="T272" s="66"/>
      <c r="U272" s="67">
        <f t="shared" si="116"/>
        <v>0</v>
      </c>
      <c r="V272" s="16" t="str">
        <f t="shared" si="127"/>
        <v>No Alert</v>
      </c>
      <c r="W272" s="37" t="s">
        <v>125</v>
      </c>
      <c r="X272" s="60"/>
      <c r="Y272" s="79" t="s">
        <v>349</v>
      </c>
      <c r="Z272" s="75" t="s">
        <v>125</v>
      </c>
      <c r="AA272" s="76"/>
      <c r="AB272" s="40" t="s">
        <v>348</v>
      </c>
      <c r="AC272" s="63">
        <f t="shared" si="117"/>
        <v>6.2664411871606829</v>
      </c>
      <c r="AD272" s="63">
        <f t="shared" si="118"/>
        <v>4.8064250364478198</v>
      </c>
      <c r="AE272" s="351">
        <f t="shared" si="119"/>
        <v>0</v>
      </c>
      <c r="AF272" s="351">
        <f t="shared" si="120"/>
        <v>0</v>
      </c>
      <c r="AG272" s="351">
        <f t="shared" si="121"/>
        <v>0</v>
      </c>
      <c r="AH272" s="351">
        <f t="shared" si="122"/>
        <v>0</v>
      </c>
      <c r="AI272" s="276">
        <f t="shared" si="123"/>
        <v>0</v>
      </c>
      <c r="AJ272" s="215"/>
      <c r="AK272" s="217"/>
      <c r="AL272" s="217"/>
      <c r="AM272" s="217"/>
      <c r="AN272" s="217"/>
      <c r="AO272" s="217"/>
      <c r="AP272" s="217"/>
      <c r="AQ272" s="217"/>
      <c r="AR272" s="217"/>
      <c r="AS272" s="218"/>
      <c r="AX272" s="874"/>
    </row>
    <row r="273" spans="1:61" s="520" customFormat="1" ht="15">
      <c r="B273" s="307"/>
      <c r="C273" s="824">
        <v>7</v>
      </c>
      <c r="D273" s="169"/>
      <c r="E273" s="316"/>
      <c r="F273" s="65" t="s">
        <v>117</v>
      </c>
      <c r="G273" s="68"/>
      <c r="H273" s="316">
        <f t="shared" si="112"/>
        <v>0</v>
      </c>
      <c r="I273" s="824">
        <f t="shared" si="124"/>
        <v>0</v>
      </c>
      <c r="J273" s="30"/>
      <c r="K273" s="824">
        <f t="shared" si="125"/>
        <v>0</v>
      </c>
      <c r="L273" s="324">
        <f>IF(F273=Lists!$B$67,0,E273*10000*K273/1000)</f>
        <v>0</v>
      </c>
      <c r="M273" s="324">
        <f t="shared" si="113"/>
        <v>0</v>
      </c>
      <c r="N273" s="316">
        <f t="shared" si="114"/>
        <v>0</v>
      </c>
      <c r="O273" s="74"/>
      <c r="P273" s="316"/>
      <c r="Q273" s="324">
        <f t="shared" si="126"/>
        <v>0</v>
      </c>
      <c r="R273" s="324">
        <f t="shared" si="115"/>
        <v>0</v>
      </c>
      <c r="S273" s="66">
        <v>1</v>
      </c>
      <c r="T273" s="66"/>
      <c r="U273" s="67">
        <f t="shared" si="116"/>
        <v>0</v>
      </c>
      <c r="V273" s="16" t="str">
        <f t="shared" si="127"/>
        <v>No Alert</v>
      </c>
      <c r="W273" s="37" t="s">
        <v>125</v>
      </c>
      <c r="X273" s="60"/>
      <c r="Y273" s="79" t="s">
        <v>349</v>
      </c>
      <c r="Z273" s="75" t="s">
        <v>125</v>
      </c>
      <c r="AA273" s="76"/>
      <c r="AB273" s="40" t="s">
        <v>348</v>
      </c>
      <c r="AC273" s="63">
        <f t="shared" si="117"/>
        <v>6.2664411871606829</v>
      </c>
      <c r="AD273" s="63">
        <f t="shared" si="118"/>
        <v>4.8064250364478198</v>
      </c>
      <c r="AE273" s="351">
        <f t="shared" si="119"/>
        <v>0</v>
      </c>
      <c r="AF273" s="351">
        <f t="shared" si="120"/>
        <v>0</v>
      </c>
      <c r="AG273" s="351">
        <f t="shared" si="121"/>
        <v>0</v>
      </c>
      <c r="AH273" s="351">
        <f t="shared" si="122"/>
        <v>0</v>
      </c>
      <c r="AI273" s="276">
        <f t="shared" si="123"/>
        <v>0</v>
      </c>
      <c r="AJ273" s="215"/>
      <c r="AK273" s="217"/>
      <c r="AL273" s="217"/>
      <c r="AM273" s="217"/>
      <c r="AN273" s="217"/>
      <c r="AO273" s="217"/>
      <c r="AP273" s="217"/>
      <c r="AQ273" s="217"/>
      <c r="AR273" s="217"/>
      <c r="AS273" s="218"/>
      <c r="AX273" s="874"/>
    </row>
    <row r="274" spans="1:61" s="520" customFormat="1" ht="15">
      <c r="B274" s="307"/>
      <c r="C274" s="824">
        <v>8</v>
      </c>
      <c r="D274" s="169"/>
      <c r="E274" s="316"/>
      <c r="F274" s="65" t="s">
        <v>117</v>
      </c>
      <c r="G274" s="68"/>
      <c r="H274" s="316">
        <f t="shared" si="112"/>
        <v>0</v>
      </c>
      <c r="I274" s="824">
        <f t="shared" si="124"/>
        <v>0</v>
      </c>
      <c r="J274" s="30"/>
      <c r="K274" s="824">
        <f t="shared" si="125"/>
        <v>0</v>
      </c>
      <c r="L274" s="324">
        <f>IF(F274=Lists!$B$67,0,E274*10000*K274/1000)</f>
        <v>0</v>
      </c>
      <c r="M274" s="324">
        <f t="shared" si="113"/>
        <v>0</v>
      </c>
      <c r="N274" s="316">
        <f t="shared" si="114"/>
        <v>0</v>
      </c>
      <c r="O274" s="74"/>
      <c r="P274" s="316"/>
      <c r="Q274" s="324">
        <f t="shared" si="126"/>
        <v>0</v>
      </c>
      <c r="R274" s="324">
        <f t="shared" si="115"/>
        <v>0</v>
      </c>
      <c r="S274" s="66">
        <v>1</v>
      </c>
      <c r="T274" s="66"/>
      <c r="U274" s="67">
        <f t="shared" si="116"/>
        <v>0</v>
      </c>
      <c r="V274" s="16" t="str">
        <f t="shared" si="127"/>
        <v>No Alert</v>
      </c>
      <c r="W274" s="37" t="s">
        <v>125</v>
      </c>
      <c r="X274" s="60"/>
      <c r="Y274" s="79" t="s">
        <v>349</v>
      </c>
      <c r="Z274" s="75" t="s">
        <v>125</v>
      </c>
      <c r="AA274" s="76"/>
      <c r="AB274" s="40" t="s">
        <v>348</v>
      </c>
      <c r="AC274" s="63">
        <f t="shared" si="117"/>
        <v>6.2664411871606829</v>
      </c>
      <c r="AD274" s="63">
        <f t="shared" si="118"/>
        <v>4.8064250364478198</v>
      </c>
      <c r="AE274" s="351">
        <f t="shared" si="119"/>
        <v>0</v>
      </c>
      <c r="AF274" s="351">
        <f t="shared" si="120"/>
        <v>0</v>
      </c>
      <c r="AG274" s="351">
        <f t="shared" si="121"/>
        <v>0</v>
      </c>
      <c r="AH274" s="351">
        <f t="shared" si="122"/>
        <v>0</v>
      </c>
      <c r="AI274" s="276">
        <f t="shared" si="123"/>
        <v>0</v>
      </c>
      <c r="AJ274" s="215"/>
      <c r="AK274" s="217"/>
      <c r="AL274" s="217"/>
      <c r="AM274" s="217"/>
      <c r="AN274" s="217"/>
      <c r="AO274" s="217"/>
      <c r="AP274" s="217"/>
      <c r="AQ274" s="217"/>
      <c r="AR274" s="217"/>
      <c r="AS274" s="218"/>
      <c r="AX274" s="874"/>
    </row>
    <row r="275" spans="1:61" s="520" customFormat="1" ht="15">
      <c r="B275" s="307"/>
      <c r="C275" s="824">
        <v>9</v>
      </c>
      <c r="D275" s="169"/>
      <c r="E275" s="316"/>
      <c r="F275" s="65" t="s">
        <v>117</v>
      </c>
      <c r="G275" s="68"/>
      <c r="H275" s="316">
        <f t="shared" si="112"/>
        <v>0</v>
      </c>
      <c r="I275" s="824">
        <f t="shared" si="124"/>
        <v>0</v>
      </c>
      <c r="J275" s="30"/>
      <c r="K275" s="824">
        <f t="shared" si="125"/>
        <v>0</v>
      </c>
      <c r="L275" s="324">
        <f>IF(F275=Lists!$B$67,0,E275*10000*K275/1000)</f>
        <v>0</v>
      </c>
      <c r="M275" s="324">
        <f t="shared" si="113"/>
        <v>0</v>
      </c>
      <c r="N275" s="316">
        <f t="shared" si="114"/>
        <v>0</v>
      </c>
      <c r="O275" s="74"/>
      <c r="P275" s="316"/>
      <c r="Q275" s="324">
        <f t="shared" si="126"/>
        <v>0</v>
      </c>
      <c r="R275" s="324">
        <f t="shared" si="115"/>
        <v>0</v>
      </c>
      <c r="S275" s="66">
        <v>1</v>
      </c>
      <c r="T275" s="66"/>
      <c r="U275" s="67">
        <f t="shared" si="116"/>
        <v>0</v>
      </c>
      <c r="V275" s="16" t="str">
        <f t="shared" si="127"/>
        <v>No Alert</v>
      </c>
      <c r="W275" s="37" t="s">
        <v>125</v>
      </c>
      <c r="X275" s="60"/>
      <c r="Y275" s="79" t="s">
        <v>349</v>
      </c>
      <c r="Z275" s="75" t="s">
        <v>125</v>
      </c>
      <c r="AA275" s="76"/>
      <c r="AB275" s="40" t="s">
        <v>348</v>
      </c>
      <c r="AC275" s="63">
        <f t="shared" si="117"/>
        <v>6.2664411871606829</v>
      </c>
      <c r="AD275" s="63">
        <f t="shared" si="118"/>
        <v>4.8064250364478198</v>
      </c>
      <c r="AE275" s="351">
        <f t="shared" si="119"/>
        <v>0</v>
      </c>
      <c r="AF275" s="351">
        <f t="shared" si="120"/>
        <v>0</v>
      </c>
      <c r="AG275" s="351">
        <f t="shared" si="121"/>
        <v>0</v>
      </c>
      <c r="AH275" s="351">
        <f t="shared" si="122"/>
        <v>0</v>
      </c>
      <c r="AI275" s="276">
        <f t="shared" si="123"/>
        <v>0</v>
      </c>
      <c r="AJ275" s="215"/>
      <c r="AK275" s="217"/>
      <c r="AL275" s="217"/>
      <c r="AM275" s="217"/>
      <c r="AN275" s="217"/>
      <c r="AO275" s="217"/>
      <c r="AP275" s="217"/>
      <c r="AQ275" s="217"/>
      <c r="AR275" s="217"/>
      <c r="AS275" s="218"/>
      <c r="AX275" s="874"/>
    </row>
    <row r="276" spans="1:61" s="520" customFormat="1" ht="15">
      <c r="B276" s="307"/>
      <c r="C276" s="824">
        <v>10</v>
      </c>
      <c r="D276" s="169"/>
      <c r="E276" s="316"/>
      <c r="F276" s="65" t="s">
        <v>117</v>
      </c>
      <c r="G276" s="68"/>
      <c r="H276" s="316">
        <f t="shared" si="112"/>
        <v>0</v>
      </c>
      <c r="I276" s="824">
        <f t="shared" si="124"/>
        <v>0</v>
      </c>
      <c r="J276" s="30"/>
      <c r="K276" s="824">
        <f t="shared" si="125"/>
        <v>0</v>
      </c>
      <c r="L276" s="324">
        <f>IF(F276=Lists!$B$67,0,E276*10000*K276/1000)</f>
        <v>0</v>
      </c>
      <c r="M276" s="324">
        <f t="shared" si="113"/>
        <v>0</v>
      </c>
      <c r="N276" s="316">
        <f t="shared" si="114"/>
        <v>0</v>
      </c>
      <c r="O276" s="74"/>
      <c r="P276" s="316"/>
      <c r="Q276" s="324">
        <f t="shared" si="126"/>
        <v>0</v>
      </c>
      <c r="R276" s="324">
        <f t="shared" si="115"/>
        <v>0</v>
      </c>
      <c r="S276" s="66">
        <v>1</v>
      </c>
      <c r="T276" s="66"/>
      <c r="U276" s="67">
        <f t="shared" si="116"/>
        <v>0</v>
      </c>
      <c r="V276" s="16" t="str">
        <f t="shared" si="127"/>
        <v>No Alert</v>
      </c>
      <c r="W276" s="37" t="s">
        <v>125</v>
      </c>
      <c r="X276" s="60"/>
      <c r="Y276" s="79" t="s">
        <v>349</v>
      </c>
      <c r="Z276" s="75" t="s">
        <v>125</v>
      </c>
      <c r="AA276" s="76"/>
      <c r="AB276" s="40" t="s">
        <v>348</v>
      </c>
      <c r="AC276" s="63">
        <f t="shared" si="117"/>
        <v>6.2664411871606829</v>
      </c>
      <c r="AD276" s="63">
        <f t="shared" si="118"/>
        <v>4.8064250364478198</v>
      </c>
      <c r="AE276" s="351">
        <f t="shared" si="119"/>
        <v>0</v>
      </c>
      <c r="AF276" s="351">
        <f t="shared" si="120"/>
        <v>0</v>
      </c>
      <c r="AG276" s="351">
        <f t="shared" si="121"/>
        <v>0</v>
      </c>
      <c r="AH276" s="351">
        <f t="shared" si="122"/>
        <v>0</v>
      </c>
      <c r="AI276" s="276">
        <f t="shared" si="123"/>
        <v>0</v>
      </c>
      <c r="AJ276" s="215"/>
      <c r="AK276" s="217"/>
      <c r="AL276" s="217"/>
      <c r="AM276" s="217"/>
      <c r="AN276" s="217"/>
      <c r="AO276" s="217"/>
      <c r="AP276" s="217"/>
      <c r="AQ276" s="217"/>
      <c r="AR276" s="217"/>
      <c r="AS276" s="218"/>
      <c r="AX276" s="874"/>
    </row>
    <row r="277" spans="1:61" s="520" customFormat="1" ht="18" customHeight="1">
      <c r="B277" s="912"/>
      <c r="C277" s="913"/>
      <c r="D277" s="789"/>
      <c r="E277" s="868"/>
      <c r="H277" s="868"/>
      <c r="I277" s="768"/>
      <c r="J277" s="768"/>
      <c r="K277" s="768"/>
      <c r="L277" s="868"/>
      <c r="M277" s="323"/>
      <c r="N277" s="323"/>
      <c r="O277" s="54"/>
      <c r="P277" s="323"/>
      <c r="Q277" s="323"/>
      <c r="R277" s="868"/>
      <c r="T277" s="768"/>
      <c r="U277" s="768"/>
      <c r="V277" s="768"/>
      <c r="W277" s="768"/>
      <c r="X277" s="768"/>
      <c r="Y277" s="768"/>
      <c r="Z277" s="54"/>
      <c r="AA277" s="54"/>
      <c r="AB277" s="54"/>
      <c r="AC277" s="54"/>
      <c r="AD277" s="54"/>
      <c r="AE277" s="54"/>
      <c r="AF277" s="54"/>
      <c r="AG277" s="54"/>
      <c r="AH277" s="54"/>
      <c r="AI277" s="54"/>
      <c r="AJ277" s="768"/>
      <c r="AM277" s="768"/>
      <c r="AN277" s="768"/>
      <c r="AO277" s="873"/>
      <c r="AP277" s="768"/>
      <c r="AV277" s="23"/>
      <c r="AW277" s="58"/>
      <c r="AZ277" s="874"/>
      <c r="BA277" s="768"/>
      <c r="BB277" s="768"/>
      <c r="BC277" s="768"/>
      <c r="BD277" s="768"/>
      <c r="BE277" s="768"/>
    </row>
    <row r="278" spans="1:61" s="520" customFormat="1" ht="18" customHeight="1">
      <c r="A278" s="793"/>
      <c r="B278" s="793"/>
      <c r="E278" s="372">
        <f>SUM(E267:E277)</f>
        <v>0</v>
      </c>
      <c r="F278" s="283" t="s">
        <v>95</v>
      </c>
      <c r="G278" s="789"/>
      <c r="H278" s="372">
        <f>SUM(H267:H277)</f>
        <v>0</v>
      </c>
      <c r="I278" s="283" t="s">
        <v>95</v>
      </c>
      <c r="J278" s="768"/>
      <c r="K278" s="768"/>
      <c r="L278" s="372">
        <f>SUM(L267:L277)</f>
        <v>0</v>
      </c>
      <c r="M278" s="372">
        <f>SUM(M267:M277)</f>
        <v>0</v>
      </c>
      <c r="N278" s="372">
        <f>SUM(N267:N277)</f>
        <v>0</v>
      </c>
      <c r="O278" s="54"/>
      <c r="P278" s="372">
        <f>SUM(P267:P277)</f>
        <v>0</v>
      </c>
      <c r="Q278" s="372">
        <f>SUM(Q267:Q277)</f>
        <v>0</v>
      </c>
      <c r="R278" s="372">
        <f>SUM(R267:R277)</f>
        <v>0</v>
      </c>
      <c r="S278" s="61"/>
      <c r="T278" s="61"/>
      <c r="U278" s="61"/>
      <c r="V278" s="734"/>
      <c r="W278" s="734"/>
      <c r="X278" s="768"/>
      <c r="Y278" s="768"/>
      <c r="Z278" s="768"/>
      <c r="AA278" s="768"/>
      <c r="AB278" s="768"/>
      <c r="AC278" s="768"/>
      <c r="AD278" s="768"/>
      <c r="AE278" s="351">
        <f>SUM(AE267:AE277)</f>
        <v>0</v>
      </c>
      <c r="AF278" s="351">
        <f>SUM(AF267:AF277)</f>
        <v>0</v>
      </c>
      <c r="AG278" s="351">
        <f>SUM(AG267:AG277)</f>
        <v>0</v>
      </c>
      <c r="AH278" s="351">
        <f>SUM(AH267:AH277)</f>
        <v>0</v>
      </c>
      <c r="AI278" s="276">
        <f>SUM(AI265:AI277)</f>
        <v>0</v>
      </c>
      <c r="AJ278" s="797">
        <f>IF(E278=0,0,AI278/E278)</f>
        <v>0</v>
      </c>
      <c r="AK278" s="520" t="s">
        <v>41</v>
      </c>
      <c r="AM278" s="768"/>
      <c r="AN278" s="768"/>
      <c r="AO278" s="734"/>
      <c r="AP278" s="768"/>
      <c r="AV278" s="61"/>
      <c r="AW278" s="61"/>
    </row>
    <row r="279" spans="1:61" s="520" customFormat="1" ht="18" customHeight="1">
      <c r="A279" s="793"/>
      <c r="B279" s="793"/>
      <c r="AB279" s="768"/>
      <c r="AC279" s="768"/>
      <c r="AD279" s="768"/>
      <c r="AE279" s="768"/>
      <c r="AF279" s="768"/>
      <c r="AG279" s="768"/>
      <c r="AH279" s="768"/>
      <c r="AI279" s="768"/>
      <c r="AJ279" s="768"/>
      <c r="AK279" s="768"/>
      <c r="AL279" s="768"/>
      <c r="AM279" s="768"/>
      <c r="AN279" s="768"/>
      <c r="AO279" s="768"/>
      <c r="AP279" s="768"/>
      <c r="AQ279" s="768"/>
      <c r="AR279" s="768"/>
      <c r="AV279" s="61"/>
      <c r="AW279" s="61"/>
    </row>
    <row r="280" spans="1:61" s="495" customFormat="1" ht="15" customHeight="1">
      <c r="A280" s="748"/>
      <c r="B280" s="839"/>
      <c r="D280" s="520"/>
      <c r="E280" s="844"/>
      <c r="F280" s="768"/>
      <c r="G280" s="768"/>
      <c r="H280" s="844"/>
      <c r="I280" s="844"/>
      <c r="J280" s="844"/>
      <c r="K280" s="844"/>
      <c r="L280" s="844"/>
      <c r="M280" s="844"/>
      <c r="N280" s="844"/>
      <c r="O280" s="843"/>
      <c r="P280" s="843"/>
      <c r="Q280" s="550"/>
      <c r="R280" s="550"/>
      <c r="S280" s="550"/>
      <c r="T280" s="905"/>
      <c r="U280" s="905"/>
      <c r="V280" s="905"/>
      <c r="W280" s="905"/>
      <c r="AH280" s="768"/>
      <c r="AI280" s="768"/>
      <c r="BH280" s="520"/>
      <c r="BI280" s="520"/>
    </row>
    <row r="281" spans="1:61" s="520" customFormat="1" ht="18" customHeight="1">
      <c r="A281" s="748"/>
      <c r="B281" s="287" t="s">
        <v>26</v>
      </c>
      <c r="C281" s="820" t="s">
        <v>248</v>
      </c>
      <c r="D281" s="816"/>
      <c r="F281" s="793"/>
      <c r="G281" s="768"/>
      <c r="H281" s="768"/>
      <c r="I281" s="768"/>
      <c r="J281" s="768"/>
      <c r="K281" s="768"/>
      <c r="L281" s="768"/>
      <c r="M281" s="768"/>
      <c r="N281" s="768"/>
      <c r="O281" s="768"/>
      <c r="P281" s="768"/>
      <c r="Q281" s="768"/>
      <c r="R281" s="768"/>
      <c r="S281" s="768"/>
      <c r="T281" s="768"/>
      <c r="U281" s="768"/>
      <c r="V281" s="768"/>
      <c r="W281" s="768"/>
      <c r="X281" s="768"/>
      <c r="Y281" s="768"/>
      <c r="Z281" s="768"/>
      <c r="AA281" s="768"/>
      <c r="AB281" s="768"/>
      <c r="AC281" s="768"/>
      <c r="AD281" s="768"/>
      <c r="AE281" s="768"/>
      <c r="AH281" s="768"/>
      <c r="AI281" s="768"/>
    </row>
    <row r="282" spans="1:61" s="495" customFormat="1" ht="31.9" customHeight="1">
      <c r="A282" s="748"/>
      <c r="B282" s="774" t="s">
        <v>1517</v>
      </c>
      <c r="C282" s="774" t="s">
        <v>27</v>
      </c>
      <c r="D282" s="821"/>
      <c r="E282" s="812" t="s">
        <v>248</v>
      </c>
      <c r="F282" s="822"/>
      <c r="G282" s="823"/>
      <c r="H282" s="823" t="s">
        <v>1485</v>
      </c>
      <c r="I282" s="773" t="s">
        <v>2</v>
      </c>
      <c r="J282" s="773" t="s">
        <v>1585</v>
      </c>
      <c r="K282" s="773" t="s">
        <v>1549</v>
      </c>
      <c r="L282" s="773" t="s">
        <v>1586</v>
      </c>
      <c r="M282" s="775" t="s">
        <v>1587</v>
      </c>
      <c r="N282" s="776" t="s">
        <v>1526</v>
      </c>
      <c r="O282" s="777"/>
      <c r="P282" s="777"/>
      <c r="Q282" s="777"/>
      <c r="R282" s="777"/>
      <c r="S282" s="777"/>
      <c r="T282" s="777"/>
      <c r="U282" s="778"/>
      <c r="V282" s="793"/>
      <c r="W282" s="793"/>
      <c r="AH282" s="768"/>
      <c r="AI282" s="768"/>
      <c r="AJ282" s="520"/>
      <c r="BH282" s="520"/>
      <c r="BI282" s="520"/>
    </row>
    <row r="283" spans="1:61" s="520" customFormat="1" ht="18" customHeight="1">
      <c r="A283" s="748"/>
      <c r="B283" s="768"/>
      <c r="C283" s="768"/>
      <c r="D283" s="768"/>
      <c r="E283" s="768"/>
      <c r="F283" s="768"/>
      <c r="G283" s="768"/>
      <c r="H283" s="768"/>
      <c r="I283" s="768"/>
      <c r="J283" s="768"/>
      <c r="K283" s="768"/>
      <c r="L283" s="768"/>
      <c r="M283" s="768"/>
      <c r="N283" s="748"/>
      <c r="O283" s="474"/>
      <c r="P283" s="474"/>
      <c r="Q283" s="474"/>
      <c r="R283" s="474"/>
      <c r="S283" s="474"/>
      <c r="T283" s="474"/>
      <c r="U283" s="779"/>
      <c r="V283" s="768"/>
      <c r="W283" s="768"/>
      <c r="X283" s="768"/>
      <c r="Y283" s="768"/>
      <c r="Z283" s="768"/>
      <c r="AA283" s="768"/>
      <c r="AB283" s="768"/>
      <c r="AC283" s="768"/>
      <c r="AD283" s="768"/>
      <c r="AE283" s="768"/>
    </row>
    <row r="284" spans="1:61" s="520" customFormat="1">
      <c r="A284" s="748"/>
      <c r="B284" s="307"/>
      <c r="C284" s="824">
        <v>1</v>
      </c>
      <c r="D284" s="166"/>
      <c r="E284" s="780" t="str">
        <f>VLOOKUP($J284,TOV!$C$85:$G$217,TOV!$E$1,FALSE)</f>
        <v>Borrow Pit - pasture</v>
      </c>
      <c r="F284" s="831"/>
      <c r="G284" s="832"/>
      <c r="H284" s="327"/>
      <c r="I284" s="827" t="str">
        <f>VLOOKUP($J284,TOV!$C$85:$G$217,TOV!$G$1,FALSE)</f>
        <v>ha</v>
      </c>
      <c r="J284" s="828" t="str">
        <f>TOV!$C139</f>
        <v>#3.55</v>
      </c>
      <c r="K284" s="63">
        <f>VLOOKUP($J284,TOV!$C$85:$G$217,TOV!$F$1,FALSE)</f>
        <v>9568.9520300392505</v>
      </c>
      <c r="L284" s="298"/>
      <c r="M284" s="104">
        <f>IF(L284="",K284,L284)*H284</f>
        <v>0</v>
      </c>
      <c r="N284" s="215"/>
      <c r="O284" s="217"/>
      <c r="P284" s="217"/>
      <c r="Q284" s="217"/>
      <c r="R284" s="217"/>
      <c r="S284" s="217"/>
      <c r="T284" s="217"/>
      <c r="U284" s="218"/>
      <c r="V284" s="768"/>
      <c r="W284" s="768"/>
      <c r="X284" s="768"/>
      <c r="Y284" s="768"/>
      <c r="Z284" s="768"/>
      <c r="AA284" s="768"/>
      <c r="AB284" s="768"/>
      <c r="AC284" s="768"/>
      <c r="AD284" s="768"/>
      <c r="AE284" s="768"/>
    </row>
    <row r="285" spans="1:61" s="520" customFormat="1">
      <c r="A285" s="748"/>
      <c r="B285" s="307"/>
      <c r="C285" s="824">
        <f t="shared" ref="C285:C289" si="128">C284+1</f>
        <v>2</v>
      </c>
      <c r="D285" s="166"/>
      <c r="E285" s="780" t="str">
        <f>VLOOKUP($J285,TOV!$C$85:$G$217,TOV!$E$1,FALSE)</f>
        <v>Borrow Pit - native</v>
      </c>
      <c r="F285" s="831"/>
      <c r="G285" s="832"/>
      <c r="H285" s="327"/>
      <c r="I285" s="827" t="str">
        <f>VLOOKUP($J285,TOV!$C$85:$G$217,TOV!$G$1,FALSE)</f>
        <v>ha</v>
      </c>
      <c r="J285" s="828" t="str">
        <f>TOV!$C140</f>
        <v>#3.56</v>
      </c>
      <c r="K285" s="63">
        <f>VLOOKUP($J285,TOV!$C$85:$G$217,TOV!$F$1,FALSE)</f>
        <v>12109.952030039251</v>
      </c>
      <c r="L285" s="298"/>
      <c r="M285" s="104">
        <f t="shared" ref="M285:M286" si="129">IF(L285="",K285,L285)*H285</f>
        <v>0</v>
      </c>
      <c r="N285" s="215"/>
      <c r="O285" s="217"/>
      <c r="P285" s="217"/>
      <c r="Q285" s="217"/>
      <c r="R285" s="217"/>
      <c r="S285" s="217"/>
      <c r="T285" s="217"/>
      <c r="U285" s="218"/>
      <c r="V285" s="768"/>
      <c r="W285" s="768"/>
      <c r="X285" s="768"/>
      <c r="Y285" s="768"/>
      <c r="Z285" s="791"/>
      <c r="AA285" s="791"/>
      <c r="AB285" s="791"/>
      <c r="AC285" s="791"/>
      <c r="AD285" s="768"/>
      <c r="AE285" s="768"/>
      <c r="AF285" s="768"/>
      <c r="AG285" s="768"/>
      <c r="AH285" s="768"/>
      <c r="AI285" s="768"/>
      <c r="AJ285" s="768"/>
    </row>
    <row r="286" spans="1:61" s="520" customFormat="1">
      <c r="A286" s="748"/>
      <c r="B286" s="307"/>
      <c r="C286" s="824">
        <f t="shared" si="128"/>
        <v>3</v>
      </c>
      <c r="D286" s="166"/>
      <c r="E286" s="780" t="str">
        <f>VLOOKUP($J286,TOV!$C$85:$G$217,TOV!$E$1,FALSE)</f>
        <v>Borrow Pit - arid</v>
      </c>
      <c r="F286" s="831"/>
      <c r="G286" s="832"/>
      <c r="H286" s="327"/>
      <c r="I286" s="827" t="str">
        <f>VLOOKUP($J286,TOV!$C$85:$G$217,TOV!$G$1,FALSE)</f>
        <v>ha</v>
      </c>
      <c r="J286" s="828" t="str">
        <f>TOV!$C141</f>
        <v>#3.57</v>
      </c>
      <c r="K286" s="63">
        <f>VLOOKUP($J286,TOV!$C$85:$G$217,TOV!$F$1,FALSE)</f>
        <v>6443.4234532181335</v>
      </c>
      <c r="L286" s="298"/>
      <c r="M286" s="104">
        <f t="shared" si="129"/>
        <v>0</v>
      </c>
      <c r="N286" s="215"/>
      <c r="O286" s="217"/>
      <c r="P286" s="217"/>
      <c r="Q286" s="217"/>
      <c r="R286" s="217"/>
      <c r="S286" s="217"/>
      <c r="T286" s="217"/>
      <c r="U286" s="218"/>
      <c r="V286" s="768"/>
      <c r="W286" s="768"/>
      <c r="X286" s="768"/>
      <c r="Y286" s="768"/>
      <c r="Z286" s="791"/>
      <c r="AA286" s="791"/>
      <c r="AB286" s="791"/>
      <c r="AC286" s="791"/>
      <c r="AD286" s="768"/>
      <c r="AE286" s="768"/>
      <c r="AF286" s="768"/>
      <c r="AG286" s="768"/>
      <c r="AH286" s="768"/>
      <c r="AI286" s="768"/>
      <c r="AJ286" s="768"/>
    </row>
    <row r="287" spans="1:61" s="520" customFormat="1">
      <c r="A287" s="748"/>
      <c r="B287" s="307"/>
      <c r="C287" s="824">
        <f t="shared" si="128"/>
        <v>4</v>
      </c>
      <c r="D287" s="166"/>
      <c r="E287" s="65"/>
      <c r="F287" s="101"/>
      <c r="G287" s="102"/>
      <c r="H287" s="316"/>
      <c r="I287" s="914" t="s">
        <v>95</v>
      </c>
      <c r="K287" s="518" t="str">
        <f t="shared" ref="K287:K289" si="130">IF(AND(H287&gt;0,OR(L287="",L287=0)),"Enter Rate","No alert")</f>
        <v>No alert</v>
      </c>
      <c r="L287" s="298"/>
      <c r="M287" s="104">
        <f>L287*H287</f>
        <v>0</v>
      </c>
      <c r="N287" s="215"/>
      <c r="O287" s="217"/>
      <c r="P287" s="217"/>
      <c r="Q287" s="217"/>
      <c r="R287" s="217"/>
      <c r="S287" s="217"/>
      <c r="T287" s="217"/>
      <c r="U287" s="218"/>
      <c r="V287" s="768"/>
      <c r="W287" s="768"/>
      <c r="X287" s="768"/>
      <c r="Y287" s="768"/>
      <c r="Z287" s="791"/>
      <c r="AA287" s="791"/>
      <c r="AB287" s="791"/>
      <c r="AC287" s="791"/>
      <c r="AD287" s="768"/>
      <c r="AE287" s="768"/>
      <c r="AF287" s="768"/>
      <c r="AG287" s="768"/>
      <c r="AH287" s="768"/>
      <c r="AI287" s="768"/>
      <c r="AJ287" s="768"/>
    </row>
    <row r="288" spans="1:61" s="520" customFormat="1">
      <c r="A288" s="748"/>
      <c r="B288" s="307"/>
      <c r="C288" s="824">
        <f t="shared" si="128"/>
        <v>5</v>
      </c>
      <c r="D288" s="166"/>
      <c r="E288" s="65"/>
      <c r="F288" s="59"/>
      <c r="G288" s="60"/>
      <c r="H288" s="316"/>
      <c r="I288" s="914" t="s">
        <v>95</v>
      </c>
      <c r="K288" s="518" t="str">
        <f t="shared" si="130"/>
        <v>No alert</v>
      </c>
      <c r="L288" s="298"/>
      <c r="M288" s="104">
        <f t="shared" ref="M288:M289" si="131">L288*H288</f>
        <v>0</v>
      </c>
      <c r="N288" s="215"/>
      <c r="O288" s="217"/>
      <c r="P288" s="217"/>
      <c r="Q288" s="217"/>
      <c r="R288" s="217"/>
      <c r="S288" s="217"/>
      <c r="T288" s="217"/>
      <c r="U288" s="218"/>
      <c r="V288" s="768"/>
      <c r="W288" s="768"/>
      <c r="X288" s="768"/>
      <c r="Y288" s="768"/>
      <c r="Z288" s="791"/>
      <c r="AA288" s="791"/>
      <c r="AB288" s="791"/>
      <c r="AC288" s="791"/>
      <c r="AD288" s="768"/>
      <c r="AE288" s="768"/>
      <c r="AF288" s="768"/>
      <c r="AG288" s="768"/>
      <c r="AH288" s="768"/>
      <c r="AI288" s="768"/>
      <c r="AJ288" s="768"/>
    </row>
    <row r="289" spans="1:61" s="520" customFormat="1">
      <c r="A289" s="748"/>
      <c r="B289" s="307"/>
      <c r="C289" s="824">
        <f t="shared" si="128"/>
        <v>6</v>
      </c>
      <c r="D289" s="166"/>
      <c r="E289" s="65"/>
      <c r="F289" s="59"/>
      <c r="G289" s="60"/>
      <c r="H289" s="316"/>
      <c r="I289" s="914" t="s">
        <v>95</v>
      </c>
      <c r="K289" s="518" t="str">
        <f t="shared" si="130"/>
        <v>No alert</v>
      </c>
      <c r="L289" s="298"/>
      <c r="M289" s="104">
        <f t="shared" si="131"/>
        <v>0</v>
      </c>
      <c r="N289" s="215"/>
      <c r="O289" s="217"/>
      <c r="P289" s="217"/>
      <c r="Q289" s="217"/>
      <c r="R289" s="217"/>
      <c r="S289" s="217"/>
      <c r="T289" s="217"/>
      <c r="U289" s="218"/>
      <c r="V289" s="768"/>
      <c r="W289" s="768"/>
      <c r="X289" s="768"/>
      <c r="Y289" s="768"/>
      <c r="Z289" s="791"/>
      <c r="AA289" s="791"/>
      <c r="AB289" s="791"/>
      <c r="AC289" s="791"/>
      <c r="AD289" s="768"/>
      <c r="AE289" s="768"/>
      <c r="AF289" s="768"/>
      <c r="AG289" s="768"/>
      <c r="AH289" s="768"/>
      <c r="AI289" s="768"/>
      <c r="AJ289" s="768"/>
    </row>
    <row r="290" spans="1:61" s="520" customFormat="1" ht="18" customHeight="1">
      <c r="A290" s="748"/>
      <c r="F290" s="768"/>
      <c r="G290" s="768"/>
      <c r="H290" s="869"/>
      <c r="M290" s="872"/>
      <c r="N290" s="844"/>
      <c r="O290" s="843"/>
      <c r="AF290" s="768"/>
      <c r="AG290" s="768"/>
      <c r="AH290" s="768"/>
      <c r="AI290" s="768"/>
      <c r="AJ290" s="768"/>
    </row>
    <row r="291" spans="1:61" s="520" customFormat="1" ht="18" customHeight="1">
      <c r="A291" s="748"/>
      <c r="F291" s="768"/>
      <c r="G291" s="768"/>
      <c r="H291" s="372">
        <f>SUM(H284:H289)</f>
        <v>0</v>
      </c>
      <c r="I291" s="902" t="s">
        <v>95</v>
      </c>
      <c r="K291" s="789"/>
      <c r="L291" s="789" t="s">
        <v>75</v>
      </c>
      <c r="M291" s="106">
        <f>SUM(M282:M289)</f>
        <v>0</v>
      </c>
      <c r="N291" s="797">
        <f>IF(H291=0,0,M291/H291)</f>
        <v>0</v>
      </c>
      <c r="O291" s="520" t="str">
        <f>I291</f>
        <v>ha</v>
      </c>
      <c r="P291" s="734"/>
      <c r="Q291" s="734"/>
      <c r="R291" s="734"/>
      <c r="S291" s="734"/>
      <c r="T291" s="768"/>
      <c r="U291" s="768"/>
      <c r="V291" s="768"/>
      <c r="W291" s="768"/>
      <c r="X291" s="768"/>
      <c r="Y291" s="768"/>
      <c r="Z291" s="791"/>
      <c r="AA291" s="791"/>
      <c r="AB291" s="791"/>
      <c r="AC291" s="791"/>
      <c r="AD291" s="768"/>
      <c r="AE291" s="768"/>
      <c r="AF291" s="768"/>
      <c r="AG291" s="768"/>
      <c r="AH291" s="768"/>
      <c r="AI291" s="768"/>
      <c r="AJ291" s="768"/>
    </row>
    <row r="292" spans="1:61" s="495" customFormat="1" ht="15" customHeight="1">
      <c r="A292" s="748"/>
      <c r="B292" s="839"/>
      <c r="D292" s="915"/>
      <c r="E292" s="916"/>
      <c r="F292" s="917"/>
      <c r="G292" s="839"/>
      <c r="H292" s="846"/>
      <c r="I292" s="846"/>
      <c r="J292" s="844"/>
      <c r="K292" s="844"/>
      <c r="M292" s="843"/>
      <c r="N292" s="843"/>
      <c r="O292" s="843"/>
      <c r="P292" s="843"/>
      <c r="Q292" s="550"/>
      <c r="R292" s="550"/>
      <c r="S292" s="550"/>
      <c r="T292" s="905"/>
      <c r="U292" s="905"/>
      <c r="V292" s="905"/>
      <c r="W292" s="905"/>
      <c r="BH292" s="520"/>
      <c r="BI292" s="520"/>
    </row>
    <row r="293" spans="1:61" s="495" customFormat="1" ht="15" customHeight="1">
      <c r="A293" s="748"/>
      <c r="B293" s="839"/>
      <c r="D293" s="520"/>
      <c r="E293" s="844"/>
      <c r="F293" s="768"/>
      <c r="G293" s="768"/>
      <c r="H293" s="844"/>
      <c r="I293" s="844"/>
      <c r="J293" s="844"/>
      <c r="K293" s="844"/>
      <c r="L293" s="844"/>
      <c r="M293" s="844"/>
      <c r="N293" s="844"/>
      <c r="O293" s="843"/>
      <c r="P293" s="843"/>
      <c r="Q293" s="550"/>
      <c r="R293" s="550"/>
      <c r="S293" s="550"/>
      <c r="T293" s="905"/>
      <c r="U293" s="905"/>
      <c r="V293" s="905"/>
      <c r="W293" s="905"/>
      <c r="BH293" s="520"/>
      <c r="BI293" s="520"/>
    </row>
    <row r="294" spans="1:61" s="520" customFormat="1" ht="18" customHeight="1">
      <c r="A294" s="748"/>
      <c r="B294" s="287" t="s">
        <v>26</v>
      </c>
      <c r="C294" s="820" t="s">
        <v>1704</v>
      </c>
      <c r="D294" s="816"/>
      <c r="F294" s="793"/>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row>
    <row r="295" spans="1:61" s="495" customFormat="1" ht="31.9" customHeight="1">
      <c r="A295" s="748"/>
      <c r="B295" s="774" t="s">
        <v>1517</v>
      </c>
      <c r="C295" s="774" t="s">
        <v>27</v>
      </c>
      <c r="D295" s="821"/>
      <c r="E295" s="812" t="s">
        <v>1705</v>
      </c>
      <c r="F295" s="822"/>
      <c r="G295" s="823"/>
      <c r="H295" s="823" t="s">
        <v>1485</v>
      </c>
      <c r="I295" s="773" t="s">
        <v>2</v>
      </c>
      <c r="J295" s="773" t="s">
        <v>1585</v>
      </c>
      <c r="K295" s="773" t="s">
        <v>1549</v>
      </c>
      <c r="L295" s="773" t="s">
        <v>1586</v>
      </c>
      <c r="M295" s="775" t="s">
        <v>1587</v>
      </c>
      <c r="N295" s="776" t="s">
        <v>1526</v>
      </c>
      <c r="O295" s="777"/>
      <c r="P295" s="777"/>
      <c r="Q295" s="777"/>
      <c r="R295" s="777"/>
      <c r="S295" s="777"/>
      <c r="T295" s="777"/>
      <c r="U295" s="778"/>
      <c r="V295" s="793"/>
      <c r="W295" s="793"/>
      <c r="AI295" s="520"/>
      <c r="AJ295" s="520"/>
      <c r="BH295" s="520"/>
      <c r="BI295" s="520"/>
    </row>
    <row r="296" spans="1:61" s="520" customFormat="1" ht="18" customHeight="1">
      <c r="A296" s="748"/>
      <c r="B296" s="768"/>
      <c r="C296" s="768"/>
      <c r="D296" s="768"/>
      <c r="E296" s="768"/>
      <c r="F296" s="768"/>
      <c r="G296" s="768"/>
      <c r="H296" s="768"/>
      <c r="I296" s="768"/>
      <c r="J296" s="768"/>
      <c r="K296" s="768"/>
      <c r="L296" s="768"/>
      <c r="M296" s="768"/>
      <c r="N296" s="748"/>
      <c r="O296" s="474"/>
      <c r="P296" s="474"/>
      <c r="Q296" s="474"/>
      <c r="R296" s="474"/>
      <c r="S296" s="474"/>
      <c r="T296" s="474"/>
      <c r="U296" s="779"/>
      <c r="V296" s="768"/>
      <c r="W296" s="768"/>
      <c r="X296" s="768"/>
      <c r="Y296" s="768"/>
      <c r="Z296" s="768"/>
      <c r="AA296" s="768"/>
      <c r="AB296" s="768"/>
      <c r="AC296" s="768"/>
      <c r="AD296" s="768"/>
      <c r="AE296" s="768"/>
    </row>
    <row r="297" spans="1:61" s="520" customFormat="1">
      <c r="A297" s="748"/>
      <c r="B297" s="307"/>
      <c r="C297" s="824">
        <v>1</v>
      </c>
      <c r="D297" s="166"/>
      <c r="E297" s="780" t="str">
        <f>VLOOKUP($J297,TOV!$C$142:$G$149,TOV!$E$1,FALSE)</f>
        <v>Plastic Pipe 0 to &lt;= 0.15 m dia. Aboveground</v>
      </c>
      <c r="F297" s="831"/>
      <c r="G297" s="832"/>
      <c r="H297" s="316"/>
      <c r="I297" s="827" t="str">
        <f>VLOOKUP($J297,TOV!$C$142:$G$149,TOV!$G$1,FALSE)</f>
        <v>m</v>
      </c>
      <c r="J297" s="828" t="str">
        <f>TOV!C142</f>
        <v>#3.58</v>
      </c>
      <c r="K297" s="63">
        <f>VLOOKUP($J297,TOV!$C$142:$G$149,TOV!$F$1,FALSE)</f>
        <v>13.095941979156329</v>
      </c>
      <c r="L297" s="298"/>
      <c r="M297" s="104">
        <f>IF(L297="",K297,L297)*H297</f>
        <v>0</v>
      </c>
      <c r="N297" s="215"/>
      <c r="O297" s="217"/>
      <c r="P297" s="217"/>
      <c r="Q297" s="217"/>
      <c r="R297" s="217"/>
      <c r="S297" s="217"/>
      <c r="T297" s="217"/>
      <c r="U297" s="218"/>
      <c r="V297" s="768"/>
      <c r="W297" s="768"/>
      <c r="X297" s="768"/>
      <c r="Y297" s="768"/>
      <c r="Z297" s="791"/>
      <c r="AA297" s="791"/>
      <c r="AB297" s="791"/>
      <c r="AC297" s="791"/>
      <c r="AD297" s="768"/>
      <c r="AE297" s="768"/>
      <c r="AF297" s="768"/>
      <c r="AG297" s="768"/>
      <c r="AH297" s="768"/>
      <c r="AI297" s="768"/>
      <c r="AJ297" s="768"/>
    </row>
    <row r="298" spans="1:61" s="520" customFormat="1">
      <c r="A298" s="748"/>
      <c r="B298" s="307"/>
      <c r="C298" s="824">
        <f t="shared" ref="C298:C307" si="132">C297+1</f>
        <v>2</v>
      </c>
      <c r="D298" s="166"/>
      <c r="E298" s="780" t="str">
        <f>VLOOKUP($J298,TOV!$C$142:$G$149,TOV!$E$1,FALSE)</f>
        <v>Plastic Pipe &gt; 0.15 to &lt;= 0.25 m dia. Aboveground</v>
      </c>
      <c r="F298" s="831"/>
      <c r="G298" s="832"/>
      <c r="H298" s="316"/>
      <c r="I298" s="827" t="str">
        <f>VLOOKUP($J298,TOV!$C$142:$G$149,TOV!$G$1,FALSE)</f>
        <v>m</v>
      </c>
      <c r="J298" s="828" t="str">
        <f>TOV!C143</f>
        <v>#3.59</v>
      </c>
      <c r="K298" s="63">
        <f>VLOOKUP($J298,TOV!$C$142:$G$149,TOV!$F$1,FALSE)</f>
        <v>14.229147370575033</v>
      </c>
      <c r="L298" s="298"/>
      <c r="M298" s="104">
        <f t="shared" ref="M298:M304" si="133">IF(L298="",K298,L298)*H298</f>
        <v>0</v>
      </c>
      <c r="N298" s="215"/>
      <c r="O298" s="217"/>
      <c r="P298" s="217"/>
      <c r="Q298" s="217"/>
      <c r="R298" s="217"/>
      <c r="S298" s="217"/>
      <c r="T298" s="217"/>
      <c r="U298" s="218"/>
      <c r="V298" s="768"/>
      <c r="W298" s="768"/>
      <c r="X298" s="768"/>
      <c r="Y298" s="768"/>
      <c r="Z298" s="791"/>
      <c r="AA298" s="791"/>
      <c r="AB298" s="791"/>
      <c r="AC298" s="791"/>
      <c r="AD298" s="768"/>
      <c r="AE298" s="768"/>
      <c r="AF298" s="768"/>
      <c r="AG298" s="768"/>
      <c r="AH298" s="768"/>
      <c r="AI298" s="768"/>
      <c r="AJ298" s="768"/>
    </row>
    <row r="299" spans="1:61" s="520" customFormat="1">
      <c r="A299" s="748"/>
      <c r="B299" s="307"/>
      <c r="C299" s="824">
        <f t="shared" si="132"/>
        <v>3</v>
      </c>
      <c r="D299" s="166"/>
      <c r="E299" s="780" t="str">
        <f>VLOOKUP($J299,TOV!$C$142:$G$149,TOV!$E$1,FALSE)</f>
        <v>Plastic Pipe &gt; 0.25 to &lt;= 0.5 m dia. Aboveground</v>
      </c>
      <c r="F299" s="831"/>
      <c r="G299" s="832"/>
      <c r="H299" s="316"/>
      <c r="I299" s="827" t="str">
        <f>VLOOKUP($J299,TOV!$C$142:$G$149,TOV!$G$1,FALSE)</f>
        <v>m</v>
      </c>
      <c r="J299" s="828" t="str">
        <f>TOV!C144</f>
        <v>#3.60</v>
      </c>
      <c r="K299" s="63">
        <f>VLOOKUP($J299,TOV!$C$142:$G$149,TOV!$F$1,FALSE)</f>
        <v>15.78157451065594</v>
      </c>
      <c r="L299" s="298"/>
      <c r="M299" s="104">
        <f t="shared" si="133"/>
        <v>0</v>
      </c>
      <c r="N299" s="215"/>
      <c r="O299" s="217"/>
      <c r="P299" s="217"/>
      <c r="Q299" s="217"/>
      <c r="R299" s="217"/>
      <c r="S299" s="217"/>
      <c r="T299" s="217"/>
      <c r="U299" s="218"/>
      <c r="V299" s="768"/>
      <c r="W299" s="768"/>
      <c r="X299" s="768"/>
      <c r="Y299" s="768"/>
      <c r="Z299" s="791"/>
      <c r="AA299" s="791"/>
      <c r="AB299" s="791"/>
      <c r="AC299" s="791"/>
      <c r="AD299" s="768"/>
      <c r="AE299" s="768"/>
      <c r="AF299" s="768"/>
      <c r="AG299" s="768"/>
      <c r="AH299" s="768"/>
      <c r="AI299" s="768"/>
      <c r="AJ299" s="768"/>
    </row>
    <row r="300" spans="1:61" s="520" customFormat="1">
      <c r="A300" s="748"/>
      <c r="B300" s="307"/>
      <c r="C300" s="824">
        <f t="shared" si="132"/>
        <v>4</v>
      </c>
      <c r="D300" s="166"/>
      <c r="E300" s="780" t="str">
        <f>VLOOKUP($J300,TOV!$C$142:$G$149,TOV!$E$1,FALSE)</f>
        <v>Plastic Pipe &gt; 0.5 to &lt;=1 m dia. Aboveground</v>
      </c>
      <c r="F300" s="831"/>
      <c r="G300" s="832"/>
      <c r="H300" s="316"/>
      <c r="I300" s="827" t="str">
        <f>VLOOKUP($J300,TOV!$C$142:$G$149,TOV!$G$1,FALSE)</f>
        <v>m</v>
      </c>
      <c r="J300" s="828" t="str">
        <f>TOV!C145</f>
        <v>#3.61</v>
      </c>
      <c r="K300" s="63">
        <f>VLOOKUP($J300,TOV!$C$142:$G$149,TOV!$F$1,FALSE)</f>
        <v>18.900982582929032</v>
      </c>
      <c r="L300" s="298"/>
      <c r="M300" s="104">
        <f t="shared" si="133"/>
        <v>0</v>
      </c>
      <c r="N300" s="215"/>
      <c r="O300" s="217"/>
      <c r="P300" s="217"/>
      <c r="Q300" s="217"/>
      <c r="R300" s="217"/>
      <c r="S300" s="217"/>
      <c r="T300" s="217"/>
      <c r="U300" s="218"/>
      <c r="V300" s="768"/>
      <c r="W300" s="768"/>
      <c r="X300" s="768"/>
      <c r="Y300" s="768"/>
      <c r="Z300" s="791"/>
      <c r="AA300" s="791"/>
      <c r="AB300" s="791"/>
      <c r="AC300" s="791"/>
      <c r="AD300" s="768"/>
      <c r="AE300" s="768"/>
      <c r="AF300" s="768"/>
      <c r="AG300" s="768"/>
      <c r="AH300" s="768"/>
      <c r="AI300" s="768"/>
      <c r="AJ300" s="768"/>
    </row>
    <row r="301" spans="1:61" s="520" customFormat="1">
      <c r="A301" s="748"/>
      <c r="B301" s="307"/>
      <c r="C301" s="824">
        <f t="shared" si="132"/>
        <v>5</v>
      </c>
      <c r="D301" s="166"/>
      <c r="E301" s="780" t="str">
        <f>VLOOKUP($J301,TOV!$C$142:$G$149,TOV!$E$1,FALSE)</f>
        <v>Plastic Pipe 0 to &lt;= 0.15 m dia. Buried</v>
      </c>
      <c r="F301" s="831"/>
      <c r="G301" s="832"/>
      <c r="H301" s="316"/>
      <c r="I301" s="827" t="str">
        <f>VLOOKUP($J301,TOV!$C$142:$G$149,TOV!$G$1,FALSE)</f>
        <v>m</v>
      </c>
      <c r="J301" s="828" t="str">
        <f>TOV!C146</f>
        <v>#3.62</v>
      </c>
      <c r="K301" s="63">
        <f>VLOOKUP($J301,TOV!$C$142:$G$149,TOV!$F$1,FALSE)</f>
        <v>51.818007819355763</v>
      </c>
      <c r="L301" s="298"/>
      <c r="M301" s="104">
        <f t="shared" si="133"/>
        <v>0</v>
      </c>
      <c r="N301" s="215"/>
      <c r="O301" s="217"/>
      <c r="P301" s="217"/>
      <c r="Q301" s="217"/>
      <c r="R301" s="217"/>
      <c r="S301" s="217"/>
      <c r="T301" s="217"/>
      <c r="U301" s="218"/>
      <c r="V301" s="768"/>
      <c r="W301" s="768"/>
      <c r="X301" s="768"/>
      <c r="Y301" s="768"/>
      <c r="Z301" s="768"/>
      <c r="AA301" s="768"/>
      <c r="AB301" s="768"/>
      <c r="AC301" s="768"/>
      <c r="AD301" s="768"/>
      <c r="AE301" s="768"/>
    </row>
    <row r="302" spans="1:61" s="520" customFormat="1">
      <c r="A302" s="748"/>
      <c r="B302" s="307"/>
      <c r="C302" s="824">
        <f t="shared" si="132"/>
        <v>6</v>
      </c>
      <c r="D302" s="166"/>
      <c r="E302" s="780" t="str">
        <f>VLOOKUP($J302,TOV!$C$142:$G$149,TOV!$E$1,FALSE)</f>
        <v>Plastic Pipe &gt; 0.15 to &lt;= 0.25 m dia. Buried</v>
      </c>
      <c r="F302" s="831"/>
      <c r="G302" s="832"/>
      <c r="H302" s="316"/>
      <c r="I302" s="827" t="str">
        <f>VLOOKUP($J302,TOV!$C$142:$G$149,TOV!$G$1,FALSE)</f>
        <v>m</v>
      </c>
      <c r="J302" s="828" t="str">
        <f>TOV!C147</f>
        <v>#3.63</v>
      </c>
      <c r="K302" s="63">
        <f>VLOOKUP($J302,TOV!$C$142:$G$149,TOV!$F$1,FALSE)</f>
        <v>58.266098697333135</v>
      </c>
      <c r="L302" s="298"/>
      <c r="M302" s="104">
        <f t="shared" si="133"/>
        <v>0</v>
      </c>
      <c r="N302" s="215"/>
      <c r="O302" s="217"/>
      <c r="P302" s="217"/>
      <c r="Q302" s="217"/>
      <c r="R302" s="217"/>
      <c r="S302" s="217"/>
      <c r="T302" s="217"/>
      <c r="U302" s="218"/>
      <c r="V302" s="768"/>
      <c r="W302" s="768"/>
      <c r="X302" s="768"/>
      <c r="Y302" s="768"/>
      <c r="Z302" s="791"/>
      <c r="AA302" s="791"/>
      <c r="AB302" s="791"/>
      <c r="AC302" s="791"/>
      <c r="AD302" s="768"/>
      <c r="AE302" s="768"/>
      <c r="AF302" s="768"/>
      <c r="AG302" s="768"/>
      <c r="AH302" s="768"/>
      <c r="AI302" s="768"/>
      <c r="AJ302" s="768"/>
    </row>
    <row r="303" spans="1:61" s="520" customFormat="1">
      <c r="A303" s="748"/>
      <c r="B303" s="307"/>
      <c r="C303" s="824">
        <f t="shared" si="132"/>
        <v>7</v>
      </c>
      <c r="D303" s="166"/>
      <c r="E303" s="780" t="str">
        <f>VLOOKUP($J303,TOV!$C$142:$G$149,TOV!$E$1,FALSE)</f>
        <v>Plastic Pipe &gt; 0.25 to &lt;= 0.5 m dia. Buried</v>
      </c>
      <c r="F303" s="831"/>
      <c r="G303" s="832"/>
      <c r="H303" s="316"/>
      <c r="I303" s="827" t="str">
        <f>VLOOKUP($J303,TOV!$C$142:$G$149,TOV!$G$1,FALSE)</f>
        <v>m</v>
      </c>
      <c r="J303" s="828" t="str">
        <f>TOV!C148</f>
        <v>#3.64</v>
      </c>
      <c r="K303" s="63">
        <f>VLOOKUP($J303,TOV!$C$142:$G$149,TOV!$F$1,FALSE)</f>
        <v>70.916616810344522</v>
      </c>
      <c r="L303" s="298"/>
      <c r="M303" s="104">
        <f t="shared" si="133"/>
        <v>0</v>
      </c>
      <c r="N303" s="215"/>
      <c r="O303" s="217"/>
      <c r="P303" s="217"/>
      <c r="Q303" s="217"/>
      <c r="R303" s="217"/>
      <c r="S303" s="217"/>
      <c r="T303" s="217"/>
      <c r="U303" s="218"/>
      <c r="V303" s="768"/>
      <c r="W303" s="768"/>
      <c r="X303" s="768"/>
      <c r="Y303" s="768"/>
      <c r="Z303" s="791"/>
      <c r="AA303" s="791"/>
      <c r="AB303" s="791"/>
      <c r="AC303" s="791"/>
      <c r="AD303" s="768"/>
      <c r="AE303" s="768"/>
      <c r="AF303" s="768"/>
      <c r="AG303" s="768"/>
      <c r="AH303" s="768"/>
      <c r="AI303" s="768"/>
      <c r="AJ303" s="768"/>
    </row>
    <row r="304" spans="1:61" s="520" customFormat="1">
      <c r="A304" s="748"/>
      <c r="B304" s="307"/>
      <c r="C304" s="824">
        <f t="shared" si="132"/>
        <v>8</v>
      </c>
      <c r="D304" s="166"/>
      <c r="E304" s="780" t="str">
        <f>VLOOKUP($J304,TOV!$C$142:$G$149,TOV!$E$1,FALSE)</f>
        <v>Plastic Pipe &gt; 0.5 to &lt;= 1 m dia. Buried</v>
      </c>
      <c r="F304" s="831"/>
      <c r="G304" s="832"/>
      <c r="H304" s="316"/>
      <c r="I304" s="827" t="str">
        <f>VLOOKUP($J304,TOV!$C$142:$G$149,TOV!$G$1,FALSE)</f>
        <v>m</v>
      </c>
      <c r="J304" s="828" t="str">
        <f>TOV!C149</f>
        <v>#3.65</v>
      </c>
      <c r="K304" s="63">
        <f>VLOOKUP($J304,TOV!$C$142:$G$149,TOV!$F$1,FALSE)</f>
        <v>87.584115855548063</v>
      </c>
      <c r="L304" s="298"/>
      <c r="M304" s="104">
        <f t="shared" si="133"/>
        <v>0</v>
      </c>
      <c r="N304" s="215"/>
      <c r="O304" s="217"/>
      <c r="P304" s="217"/>
      <c r="Q304" s="217"/>
      <c r="R304" s="217"/>
      <c r="S304" s="217"/>
      <c r="T304" s="217"/>
      <c r="U304" s="218"/>
      <c r="V304" s="768"/>
      <c r="W304" s="768"/>
      <c r="X304" s="768"/>
      <c r="Y304" s="768"/>
      <c r="Z304" s="791"/>
      <c r="AA304" s="791"/>
      <c r="AB304" s="791"/>
      <c r="AC304" s="791"/>
      <c r="AD304" s="768"/>
      <c r="AE304" s="768"/>
      <c r="AF304" s="768"/>
      <c r="AG304" s="768"/>
      <c r="AH304" s="768"/>
      <c r="AI304" s="768"/>
      <c r="AJ304" s="768"/>
    </row>
    <row r="305" spans="1:38" s="520" customFormat="1">
      <c r="A305" s="748"/>
      <c r="B305" s="307"/>
      <c r="C305" s="824">
        <f t="shared" si="132"/>
        <v>9</v>
      </c>
      <c r="D305" s="166"/>
      <c r="E305" s="65"/>
      <c r="F305" s="59"/>
      <c r="G305" s="60"/>
      <c r="H305" s="316"/>
      <c r="I305" s="835" t="s">
        <v>11</v>
      </c>
      <c r="K305" s="518" t="str">
        <f t="shared" ref="K305:K307" si="134">IF(AND(H305&gt;0,OR(L305="",L305=0)),"Enter Rate","No alert")</f>
        <v>No alert</v>
      </c>
      <c r="L305" s="298"/>
      <c r="M305" s="104">
        <f>L305*H305</f>
        <v>0</v>
      </c>
      <c r="N305" s="215"/>
      <c r="O305" s="217"/>
      <c r="P305" s="217"/>
      <c r="Q305" s="217"/>
      <c r="R305" s="217"/>
      <c r="S305" s="217"/>
      <c r="T305" s="217"/>
      <c r="U305" s="218"/>
      <c r="V305" s="768"/>
      <c r="W305" s="768"/>
      <c r="X305" s="768"/>
      <c r="Y305" s="768"/>
      <c r="Z305" s="791"/>
      <c r="AA305" s="791"/>
      <c r="AB305" s="791"/>
      <c r="AC305" s="791"/>
      <c r="AD305" s="768"/>
      <c r="AE305" s="768"/>
      <c r="AF305" s="768"/>
      <c r="AG305" s="768"/>
      <c r="AH305" s="768"/>
      <c r="AI305" s="768"/>
      <c r="AJ305" s="768"/>
    </row>
    <row r="306" spans="1:38" s="520" customFormat="1">
      <c r="A306" s="748"/>
      <c r="B306" s="307"/>
      <c r="C306" s="824">
        <f t="shared" si="132"/>
        <v>10</v>
      </c>
      <c r="D306" s="166"/>
      <c r="E306" s="65"/>
      <c r="F306" s="59"/>
      <c r="G306" s="60"/>
      <c r="H306" s="316"/>
      <c r="I306" s="835" t="s">
        <v>11</v>
      </c>
      <c r="K306" s="518" t="str">
        <f t="shared" si="134"/>
        <v>No alert</v>
      </c>
      <c r="L306" s="298"/>
      <c r="M306" s="104">
        <f t="shared" ref="M306:M307" si="135">L306*H306</f>
        <v>0</v>
      </c>
      <c r="N306" s="215"/>
      <c r="O306" s="217"/>
      <c r="P306" s="217"/>
      <c r="Q306" s="217"/>
      <c r="R306" s="217"/>
      <c r="S306" s="217"/>
      <c r="T306" s="217"/>
      <c r="U306" s="218"/>
      <c r="V306" s="768"/>
      <c r="W306" s="768"/>
      <c r="X306" s="768"/>
      <c r="Y306" s="768"/>
      <c r="Z306" s="791"/>
      <c r="AA306" s="791"/>
      <c r="AB306" s="791"/>
      <c r="AC306" s="791"/>
      <c r="AD306" s="768"/>
      <c r="AE306" s="768"/>
      <c r="AF306" s="768"/>
      <c r="AG306" s="768"/>
      <c r="AH306" s="768"/>
      <c r="AI306" s="768"/>
      <c r="AJ306" s="768"/>
    </row>
    <row r="307" spans="1:38" s="520" customFormat="1">
      <c r="A307" s="748"/>
      <c r="B307" s="307"/>
      <c r="C307" s="824">
        <f t="shared" si="132"/>
        <v>11</v>
      </c>
      <c r="D307" s="166"/>
      <c r="E307" s="65"/>
      <c r="F307" s="59"/>
      <c r="G307" s="60"/>
      <c r="H307" s="316"/>
      <c r="I307" s="835" t="s">
        <v>11</v>
      </c>
      <c r="K307" s="518" t="str">
        <f t="shared" si="134"/>
        <v>No alert</v>
      </c>
      <c r="L307" s="298"/>
      <c r="M307" s="104">
        <f t="shared" si="135"/>
        <v>0</v>
      </c>
      <c r="N307" s="215"/>
      <c r="O307" s="217"/>
      <c r="P307" s="217"/>
      <c r="Q307" s="217"/>
      <c r="R307" s="217"/>
      <c r="S307" s="217"/>
      <c r="T307" s="217"/>
      <c r="U307" s="218"/>
      <c r="V307" s="768"/>
      <c r="W307" s="768"/>
      <c r="X307" s="768"/>
      <c r="Y307" s="768"/>
      <c r="Z307" s="791"/>
      <c r="AA307" s="791"/>
      <c r="AB307" s="791"/>
      <c r="AC307" s="791"/>
      <c r="AD307" s="768"/>
      <c r="AE307" s="768"/>
      <c r="AF307" s="768"/>
      <c r="AG307" s="768"/>
      <c r="AH307" s="768"/>
      <c r="AI307" s="768"/>
      <c r="AJ307" s="768"/>
    </row>
    <row r="308" spans="1:38" s="520" customFormat="1" ht="18" customHeight="1">
      <c r="A308" s="748"/>
      <c r="F308" s="768"/>
      <c r="G308" s="768"/>
      <c r="H308" s="869"/>
      <c r="M308" s="872"/>
      <c r="N308" s="844"/>
      <c r="O308" s="843"/>
      <c r="AF308" s="768"/>
      <c r="AG308" s="768"/>
      <c r="AH308" s="768"/>
      <c r="AI308" s="768"/>
      <c r="AJ308" s="768"/>
    </row>
    <row r="309" spans="1:38" s="520" customFormat="1" ht="18" customHeight="1">
      <c r="A309" s="748"/>
      <c r="F309" s="768"/>
      <c r="G309" s="768"/>
      <c r="H309" s="372">
        <f>SUM(H296:H308)</f>
        <v>0</v>
      </c>
      <c r="I309" s="902" t="s">
        <v>11</v>
      </c>
      <c r="K309" s="789"/>
      <c r="L309" s="789" t="s">
        <v>75</v>
      </c>
      <c r="M309" s="106">
        <f>SUM(M295:M307)</f>
        <v>0</v>
      </c>
      <c r="N309" s="797">
        <f>IF(H309=0,0,M309/H309)</f>
        <v>0</v>
      </c>
      <c r="O309" s="520" t="str">
        <f>I309</f>
        <v>m</v>
      </c>
      <c r="P309" s="734"/>
      <c r="Q309" s="734"/>
      <c r="R309" s="734"/>
      <c r="S309" s="734"/>
      <c r="T309" s="768"/>
      <c r="U309" s="768"/>
      <c r="V309" s="768"/>
      <c r="W309" s="768"/>
      <c r="X309" s="768"/>
      <c r="Y309" s="768"/>
      <c r="Z309" s="791"/>
      <c r="AA309" s="791"/>
      <c r="AB309" s="791"/>
      <c r="AC309" s="791"/>
      <c r="AD309" s="768"/>
      <c r="AE309" s="768"/>
      <c r="AF309" s="768"/>
      <c r="AG309" s="768"/>
      <c r="AH309" s="768"/>
      <c r="AI309" s="768"/>
      <c r="AJ309" s="768"/>
    </row>
    <row r="310" spans="1:38" s="520" customFormat="1" ht="18" customHeight="1">
      <c r="F310" s="768"/>
      <c r="G310" s="768"/>
      <c r="H310" s="768"/>
      <c r="I310" s="768"/>
      <c r="J310" s="768"/>
      <c r="K310" s="768"/>
      <c r="L310" s="768"/>
      <c r="M310" s="768"/>
      <c r="N310" s="768"/>
      <c r="O310" s="768"/>
      <c r="P310" s="768"/>
      <c r="Q310" s="918"/>
      <c r="R310" s="918"/>
      <c r="S310" s="918"/>
      <c r="T310" s="918"/>
      <c r="U310" s="918"/>
      <c r="AC310" s="768"/>
      <c r="AD310" s="789"/>
      <c r="AF310" s="768"/>
      <c r="AI310" s="918"/>
      <c r="AJ310" s="768"/>
      <c r="AK310" s="768"/>
    </row>
    <row r="311" spans="1:38" s="520" customFormat="1" ht="18" customHeight="1">
      <c r="F311" s="768"/>
      <c r="G311" s="768"/>
      <c r="H311" s="768"/>
      <c r="I311" s="768"/>
      <c r="J311" s="768"/>
      <c r="K311" s="768"/>
      <c r="L311" s="768"/>
      <c r="M311" s="768"/>
      <c r="N311" s="768"/>
      <c r="O311" s="768"/>
      <c r="P311" s="768"/>
      <c r="Q311" s="918"/>
      <c r="R311" s="918"/>
      <c r="S311" s="918"/>
      <c r="T311" s="918"/>
      <c r="U311" s="918"/>
      <c r="AD311" s="582" t="s">
        <v>1595</v>
      </c>
      <c r="AE311" s="768" t="s">
        <v>1662</v>
      </c>
      <c r="AF311" s="768" t="s">
        <v>1663</v>
      </c>
      <c r="AI311" s="918"/>
      <c r="AJ311" s="768"/>
      <c r="AK311" s="768"/>
    </row>
    <row r="312" spans="1:38" s="520" customFormat="1" ht="18" customHeight="1">
      <c r="F312" s="768"/>
      <c r="G312" s="768"/>
      <c r="H312" s="768"/>
      <c r="I312" s="768"/>
      <c r="J312" s="768"/>
      <c r="K312" s="768"/>
      <c r="L312" s="768"/>
      <c r="M312" s="768"/>
      <c r="N312" s="768"/>
      <c r="O312" s="768"/>
      <c r="P312" s="768"/>
      <c r="Q312" s="918"/>
      <c r="R312" s="918"/>
      <c r="S312" s="918"/>
      <c r="T312" s="918"/>
      <c r="U312" s="918"/>
      <c r="AC312" s="789" t="s">
        <v>93</v>
      </c>
      <c r="AD312" s="614" t="str">
        <f>TOV!$C$575</f>
        <v>#14.40</v>
      </c>
      <c r="AE312" s="63">
        <f>VLOOKUP(AD312,TOV!$C$575:$G$576,TOV!$F$1,FALSE)</f>
        <v>1655.5</v>
      </c>
      <c r="AF312" s="117"/>
      <c r="AG312" s="849" t="str">
        <f>IF(AF312="","No Alert","Enter justification")</f>
        <v>No Alert</v>
      </c>
      <c r="AI312" s="918"/>
      <c r="AJ312" s="768"/>
      <c r="AK312" s="768"/>
    </row>
    <row r="313" spans="1:38" s="520" customFormat="1" ht="18" customHeight="1">
      <c r="F313" s="768"/>
      <c r="G313" s="768"/>
      <c r="H313" s="768"/>
      <c r="I313" s="768"/>
      <c r="J313" s="768"/>
      <c r="K313" s="768"/>
      <c r="L313" s="768"/>
      <c r="M313" s="768"/>
      <c r="N313" s="768"/>
      <c r="O313" s="768"/>
      <c r="P313" s="768"/>
      <c r="Q313" s="918"/>
      <c r="R313" s="918"/>
      <c r="S313" s="918"/>
      <c r="T313" s="918"/>
      <c r="U313" s="918"/>
      <c r="AC313" s="789" t="s">
        <v>116</v>
      </c>
      <c r="AD313" s="614" t="str">
        <f>TOV!$C$576</f>
        <v>#14.41</v>
      </c>
      <c r="AE313" s="63">
        <f>VLOOKUP(AD313,TOV!$C$575:$G$576,TOV!$F$1,FALSE)</f>
        <v>4196.5</v>
      </c>
      <c r="AF313" s="117"/>
      <c r="AG313" s="849" t="str">
        <f>IF(AF313="","No Alert","Enter justification")</f>
        <v>No Alert</v>
      </c>
      <c r="AI313" s="918"/>
      <c r="AJ313" s="768"/>
      <c r="AK313" s="768"/>
    </row>
    <row r="314" spans="1:38" s="520" customFormat="1" ht="18" customHeight="1">
      <c r="F314" s="768"/>
      <c r="G314" s="789" t="s">
        <v>1</v>
      </c>
      <c r="H314" s="824">
        <v>2</v>
      </c>
      <c r="I314" s="768"/>
      <c r="J314" s="789" t="s">
        <v>1</v>
      </c>
      <c r="K314" s="824">
        <v>150</v>
      </c>
      <c r="M314" s="768"/>
      <c r="N314" s="789" t="s">
        <v>1706</v>
      </c>
      <c r="O314" s="828">
        <v>1</v>
      </c>
      <c r="P314" s="768"/>
      <c r="Q314" s="918"/>
      <c r="R314" s="918"/>
      <c r="S314" s="918"/>
      <c r="T314" s="918"/>
      <c r="U314" s="918"/>
      <c r="V314" s="848"/>
      <c r="W314" s="768"/>
      <c r="X314" s="768"/>
      <c r="Y314" s="768"/>
      <c r="AI314" s="918"/>
      <c r="AJ314" s="768"/>
      <c r="AK314" s="768"/>
    </row>
    <row r="315" spans="1:38" s="520" customFormat="1" ht="18" customHeight="1">
      <c r="B315" s="287" t="s">
        <v>26</v>
      </c>
      <c r="C315" s="820" t="s">
        <v>1707</v>
      </c>
      <c r="D315" s="919"/>
      <c r="E315" s="855" t="s">
        <v>1708</v>
      </c>
      <c r="F315" s="910"/>
      <c r="G315" s="920" t="s">
        <v>1709</v>
      </c>
      <c r="H315" s="921" t="s">
        <v>1710</v>
      </c>
      <c r="I315" s="920" t="s">
        <v>1711</v>
      </c>
      <c r="J315" s="855" t="s">
        <v>1605</v>
      </c>
      <c r="K315" s="859"/>
      <c r="L315" s="859"/>
      <c r="M315" s="859"/>
      <c r="N315" s="859"/>
      <c r="O315" s="859"/>
      <c r="P315" s="859"/>
      <c r="Q315" s="859"/>
      <c r="R315" s="859"/>
      <c r="S315" s="910"/>
      <c r="T315" s="855" t="s">
        <v>1606</v>
      </c>
      <c r="U315" s="859"/>
      <c r="V315" s="910"/>
      <c r="W315" s="855" t="s">
        <v>1607</v>
      </c>
      <c r="X315" s="859"/>
      <c r="Y315" s="859"/>
      <c r="Z315" s="910"/>
      <c r="AA315" s="878" t="s">
        <v>1608</v>
      </c>
      <c r="AB315" s="859"/>
      <c r="AC315" s="859"/>
      <c r="AD315" s="859"/>
      <c r="AE315" s="910"/>
      <c r="AI315" s="918"/>
      <c r="AJ315" s="768"/>
      <c r="AK315" s="768"/>
    </row>
    <row r="316" spans="1:38" s="520" customFormat="1" ht="36">
      <c r="A316" s="748"/>
      <c r="B316" s="774" t="s">
        <v>1517</v>
      </c>
      <c r="C316" s="774" t="s">
        <v>27</v>
      </c>
      <c r="D316" s="774" t="s">
        <v>1712</v>
      </c>
      <c r="E316" s="774" t="s">
        <v>133</v>
      </c>
      <c r="F316" s="774" t="s">
        <v>1713</v>
      </c>
      <c r="G316" s="774" t="s">
        <v>1714</v>
      </c>
      <c r="H316" s="774" t="s">
        <v>1715</v>
      </c>
      <c r="I316" s="774" t="s">
        <v>1716</v>
      </c>
      <c r="J316" s="774" t="s">
        <v>1717</v>
      </c>
      <c r="K316" s="774" t="s">
        <v>1623</v>
      </c>
      <c r="L316" s="774" t="s">
        <v>1697</v>
      </c>
      <c r="M316" s="774" t="s">
        <v>1625</v>
      </c>
      <c r="N316" s="774" t="s">
        <v>1718</v>
      </c>
      <c r="O316" s="774" t="s">
        <v>1626</v>
      </c>
      <c r="P316" s="774" t="s">
        <v>1627</v>
      </c>
      <c r="Q316" s="774" t="s">
        <v>1628</v>
      </c>
      <c r="R316" s="774" t="s">
        <v>1629</v>
      </c>
      <c r="S316" s="774" t="s">
        <v>1630</v>
      </c>
      <c r="T316" s="821" t="s">
        <v>1700</v>
      </c>
      <c r="U316" s="863"/>
      <c r="V316" s="774" t="s">
        <v>1701</v>
      </c>
      <c r="W316" s="774" t="s">
        <v>1719</v>
      </c>
      <c r="X316" s="774" t="s">
        <v>1720</v>
      </c>
      <c r="Y316" s="774" t="s">
        <v>1721</v>
      </c>
      <c r="Z316" s="774" t="s">
        <v>1722</v>
      </c>
      <c r="AA316" s="774" t="s">
        <v>1723</v>
      </c>
      <c r="AB316" s="774" t="s">
        <v>1724</v>
      </c>
      <c r="AC316" s="774" t="s">
        <v>1725</v>
      </c>
      <c r="AD316" s="774" t="s">
        <v>1703</v>
      </c>
      <c r="AE316" s="774" t="s">
        <v>1644</v>
      </c>
      <c r="AF316" s="864" t="s">
        <v>1587</v>
      </c>
      <c r="AI316" s="918"/>
      <c r="AJ316" s="768"/>
      <c r="AK316" s="768"/>
    </row>
    <row r="317" spans="1:38" s="520" customFormat="1" ht="18" customHeight="1">
      <c r="A317" s="748"/>
      <c r="B317" s="748"/>
      <c r="C317" s="748"/>
      <c r="D317" s="748"/>
      <c r="E317" s="880" t="s">
        <v>1646</v>
      </c>
      <c r="F317" s="748"/>
      <c r="G317" s="748"/>
      <c r="H317" s="748"/>
      <c r="I317" s="748"/>
      <c r="J317" s="748"/>
      <c r="K317" s="748"/>
      <c r="L317" s="748"/>
      <c r="M317" s="748"/>
      <c r="N317" s="748"/>
      <c r="O317" s="748"/>
      <c r="P317" s="748"/>
      <c r="Q317" s="748"/>
      <c r="R317" s="748"/>
      <c r="S317" s="748"/>
      <c r="T317" s="880" t="s">
        <v>1646</v>
      </c>
      <c r="U317" s="748"/>
      <c r="V317" s="880" t="s">
        <v>1646</v>
      </c>
      <c r="W317" s="748"/>
      <c r="X317" s="748"/>
      <c r="Y317" s="748"/>
      <c r="Z317" s="225" t="str">
        <f>Subrates_Table_1</f>
        <v>Subrates Table 1</v>
      </c>
      <c r="AA317" s="748"/>
      <c r="AB317" s="748"/>
      <c r="AC317" s="748"/>
      <c r="AD317" s="748"/>
      <c r="AE317" s="748"/>
      <c r="AF317" s="922"/>
      <c r="AI317" s="918"/>
      <c r="AJ317" s="768"/>
      <c r="AK317" s="748"/>
      <c r="AL317" s="748"/>
    </row>
    <row r="318" spans="1:38" s="520" customFormat="1" ht="15">
      <c r="B318" s="307"/>
      <c r="C318" s="824">
        <v>1</v>
      </c>
      <c r="D318" s="835" t="str">
        <f>TOV!E142</f>
        <v>Plastic Pipe 0 to &lt;= 0.15 m dia. Aboveground</v>
      </c>
      <c r="E318" s="30" t="s">
        <v>88</v>
      </c>
      <c r="F318" s="316"/>
      <c r="G318" s="77" t="s">
        <v>1726</v>
      </c>
      <c r="H318" s="78">
        <f>IF(F318="",0,'3. Infrastructure'!$H$314)</f>
        <v>0</v>
      </c>
      <c r="I318" s="77" t="s">
        <v>1726</v>
      </c>
      <c r="J318" s="316">
        <f>O318</f>
        <v>0</v>
      </c>
      <c r="K318" s="73"/>
      <c r="L318" s="42"/>
      <c r="M318" s="324">
        <f t="shared" ref="M318:M327" si="136">IF(L318="",J318*10000*IF(K318="",pipe_gm_defs,K318)/1000,L318)</f>
        <v>0</v>
      </c>
      <c r="N318" s="73">
        <v>10</v>
      </c>
      <c r="O318" s="419">
        <f>IF(N318="",'3. Infrastructure'!$O$314,N318)*F318/10000</f>
        <v>0</v>
      </c>
      <c r="P318" s="66">
        <v>1</v>
      </c>
      <c r="Q318" s="66"/>
      <c r="R318" s="67">
        <f>100%-P318-Q318</f>
        <v>0</v>
      </c>
      <c r="S318" s="16" t="str">
        <f>IF(R318&lt;0%,"Error","No Alert")</f>
        <v>No Alert</v>
      </c>
      <c r="T318" s="75" t="s">
        <v>125</v>
      </c>
      <c r="U318" s="76"/>
      <c r="V318" s="40" t="s">
        <v>348</v>
      </c>
      <c r="W318" s="63">
        <f>VLOOKUP($D318,Subrates!$B$163:$E$171,Subrates!$C$5,FALSE)</f>
        <v>2.2009393754337955E-2</v>
      </c>
      <c r="X318" s="63">
        <f>VLOOKUP($D318,Subrates!$B$163:$E$171,Subrates!$D$5,FALSE)</f>
        <v>360.70354069774862</v>
      </c>
      <c r="Y318" s="63">
        <f>VLOOKUP($D318,Subrates!$B$163:$E$171,Subrates!$E$5,FALSE)</f>
        <v>5.19</v>
      </c>
      <c r="Z318" s="63">
        <f t="shared" ref="Z318:Z327" si="137">INDEX(Load_and_Haul_Values,MATCH(T318,Load_and_Haul,0),MATCH(V318,Load_Haul_Fleet_size,0))</f>
        <v>4.8064250364478198</v>
      </c>
      <c r="AA318" s="351">
        <f>IF(G318=Yes,W318*F318,0)</f>
        <v>0</v>
      </c>
      <c r="AB318" s="351">
        <f>X318*H318</f>
        <v>0</v>
      </c>
      <c r="AC318" s="351">
        <f>IF(I318=Yes,Y318*F318,0)</f>
        <v>0</v>
      </c>
      <c r="AD318" s="351">
        <f>M318*Z318</f>
        <v>0</v>
      </c>
      <c r="AE318" s="351">
        <f>O318*(P318*IF($AF$312="",$AE$312,$AF$312)+Q318*IF($AF$313="",$AE$313,$AF$313))</f>
        <v>0</v>
      </c>
      <c r="AF318" s="122">
        <f t="shared" ref="AF318:AF327" si="138">SUM(AA318:AE318)</f>
        <v>0</v>
      </c>
      <c r="AI318" s="918"/>
      <c r="AJ318" s="768"/>
      <c r="AK318" s="768"/>
    </row>
    <row r="319" spans="1:38" s="520" customFormat="1" ht="15">
      <c r="B319" s="307"/>
      <c r="C319" s="824">
        <f>C318+1</f>
        <v>2</v>
      </c>
      <c r="D319" s="835" t="str">
        <f>TOV!E143</f>
        <v>Plastic Pipe &gt; 0.15 to &lt;= 0.25 m dia. Aboveground</v>
      </c>
      <c r="E319" s="30" t="s">
        <v>88</v>
      </c>
      <c r="F319" s="316"/>
      <c r="G319" s="77" t="s">
        <v>1726</v>
      </c>
      <c r="H319" s="78">
        <f>IF(F319="",0,'3. Infrastructure'!$H$314)</f>
        <v>0</v>
      </c>
      <c r="I319" s="77" t="s">
        <v>1726</v>
      </c>
      <c r="J319" s="316">
        <f>O319</f>
        <v>0</v>
      </c>
      <c r="K319" s="73"/>
      <c r="L319" s="42"/>
      <c r="M319" s="324">
        <f t="shared" si="136"/>
        <v>0</v>
      </c>
      <c r="N319" s="73">
        <v>10</v>
      </c>
      <c r="O319" s="419">
        <f>IF(N319="",'3. Infrastructure'!$O$314,N319)*F319/10000</f>
        <v>0</v>
      </c>
      <c r="P319" s="66">
        <v>1</v>
      </c>
      <c r="Q319" s="66"/>
      <c r="R319" s="67">
        <f>100%-P319-Q319</f>
        <v>0</v>
      </c>
      <c r="S319" s="16" t="str">
        <f t="shared" ref="S319:S327" si="139">IF(R319&lt;0%,"Error","No Alert")</f>
        <v>No Alert</v>
      </c>
      <c r="T319" s="75" t="s">
        <v>125</v>
      </c>
      <c r="U319" s="76"/>
      <c r="V319" s="40" t="s">
        <v>348</v>
      </c>
      <c r="W319" s="63">
        <f>VLOOKUP($D319,Subrates!$B$163:$E$171,Subrates!$C$5,FALSE)</f>
        <v>0.15651124447529216</v>
      </c>
      <c r="X319" s="63">
        <f>VLOOKUP($D319,Subrates!$B$163:$E$171,Subrates!$D$5,FALSE)</f>
        <v>377.63871773263605</v>
      </c>
      <c r="Y319" s="63">
        <f>VLOOKUP($D319,Subrates!$B$163:$E$171,Subrates!$E$5,FALSE)</f>
        <v>5.85</v>
      </c>
      <c r="Z319" s="63">
        <f t="shared" si="137"/>
        <v>4.8064250364478198</v>
      </c>
      <c r="AA319" s="351">
        <f>IF(G319=Yes,W319*F319,0)</f>
        <v>0</v>
      </c>
      <c r="AB319" s="351">
        <f>X319*H319</f>
        <v>0</v>
      </c>
      <c r="AC319" s="351">
        <f>IF(I319=Yes,Y319*F319,0)</f>
        <v>0</v>
      </c>
      <c r="AD319" s="351">
        <f>M319*Z319</f>
        <v>0</v>
      </c>
      <c r="AE319" s="351">
        <f t="shared" ref="AE319:AE327" si="140">O319*(P319*IF($AF$312="",$AE$312,$AF$312)+Q319*IF($AF$313="",$AE$313,$AF$313))</f>
        <v>0</v>
      </c>
      <c r="AF319" s="122">
        <f t="shared" si="138"/>
        <v>0</v>
      </c>
      <c r="AI319" s="918"/>
      <c r="AJ319" s="768"/>
      <c r="AK319" s="768"/>
    </row>
    <row r="320" spans="1:38" s="520" customFormat="1" ht="15">
      <c r="B320" s="307"/>
      <c r="C320" s="824">
        <f t="shared" ref="C320:C327" si="141">C319+1</f>
        <v>3</v>
      </c>
      <c r="D320" s="835" t="str">
        <f>TOV!E144</f>
        <v>Plastic Pipe &gt; 0.25 to &lt;= 0.5 m dia. Aboveground</v>
      </c>
      <c r="E320" s="30" t="s">
        <v>88</v>
      </c>
      <c r="F320" s="316"/>
      <c r="G320" s="77" t="s">
        <v>1726</v>
      </c>
      <c r="H320" s="78">
        <f>IF(F320="",0,'3. Infrastructure'!$H$314)</f>
        <v>0</v>
      </c>
      <c r="I320" s="77" t="s">
        <v>1726</v>
      </c>
      <c r="J320" s="316">
        <f>O320</f>
        <v>0</v>
      </c>
      <c r="K320" s="73"/>
      <c r="L320" s="42"/>
      <c r="M320" s="324">
        <f t="shared" si="136"/>
        <v>0</v>
      </c>
      <c r="N320" s="73">
        <v>10</v>
      </c>
      <c r="O320" s="419">
        <f>IF(N320="",'3. Infrastructure'!$O$314,N320)*F320/10000</f>
        <v>0</v>
      </c>
      <c r="P320" s="66">
        <v>1</v>
      </c>
      <c r="Q320" s="66"/>
      <c r="R320" s="67">
        <f>100%-P320-Q320</f>
        <v>0</v>
      </c>
      <c r="S320" s="16" t="str">
        <f t="shared" si="139"/>
        <v>No Alert</v>
      </c>
      <c r="T320" s="75" t="s">
        <v>125</v>
      </c>
      <c r="U320" s="76"/>
      <c r="V320" s="40" t="s">
        <v>348</v>
      </c>
      <c r="W320" s="63">
        <f>VLOOKUP($D320,Subrates!$B$163:$E$171,Subrates!$C$5,FALSE)</f>
        <v>0.55023484385844879</v>
      </c>
      <c r="X320" s="63">
        <f>VLOOKUP($D320,Subrates!$B$163:$E$171,Subrates!$D$5,FALSE)</f>
        <v>394.57389476752354</v>
      </c>
      <c r="Y320" s="63">
        <f>VLOOKUP($D320,Subrates!$B$163:$E$171,Subrates!$E$5,FALSE)</f>
        <v>6.67</v>
      </c>
      <c r="Z320" s="63">
        <f t="shared" si="137"/>
        <v>4.8064250364478198</v>
      </c>
      <c r="AA320" s="351">
        <f>IF(G320=Yes,W320*F320,0)</f>
        <v>0</v>
      </c>
      <c r="AB320" s="351">
        <f>X320*H320</f>
        <v>0</v>
      </c>
      <c r="AC320" s="351">
        <f>IF(I320=Yes,Y320*F320,0)</f>
        <v>0</v>
      </c>
      <c r="AD320" s="351">
        <f>M320*Z320</f>
        <v>0</v>
      </c>
      <c r="AE320" s="351">
        <f t="shared" si="140"/>
        <v>0</v>
      </c>
      <c r="AF320" s="122">
        <f t="shared" si="138"/>
        <v>0</v>
      </c>
      <c r="AI320" s="918"/>
      <c r="AJ320" s="768"/>
      <c r="AK320" s="768"/>
    </row>
    <row r="321" spans="1:102" s="520" customFormat="1" ht="15">
      <c r="B321" s="307"/>
      <c r="C321" s="824">
        <f t="shared" si="141"/>
        <v>4</v>
      </c>
      <c r="D321" s="835" t="str">
        <f>TOV!E145</f>
        <v>Plastic Pipe &gt; 0.5 to &lt;=1 m dia. Aboveground</v>
      </c>
      <c r="E321" s="30" t="s">
        <v>88</v>
      </c>
      <c r="F321" s="316"/>
      <c r="G321" s="77" t="s">
        <v>1726</v>
      </c>
      <c r="H321" s="78">
        <f>IF(F321="",0,'3. Infrastructure'!$H$314)</f>
        <v>0</v>
      </c>
      <c r="I321" s="77" t="s">
        <v>1726</v>
      </c>
      <c r="J321" s="316">
        <f>O321</f>
        <v>0</v>
      </c>
      <c r="K321" s="73"/>
      <c r="L321" s="42"/>
      <c r="M321" s="324">
        <f t="shared" si="136"/>
        <v>0</v>
      </c>
      <c r="N321" s="73">
        <v>10</v>
      </c>
      <c r="O321" s="419">
        <f>IF(N321="",'3. Infrastructure'!$O$314,N321)*F321/10000</f>
        <v>0</v>
      </c>
      <c r="P321" s="66">
        <v>1</v>
      </c>
      <c r="Q321" s="66"/>
      <c r="R321" s="67">
        <f>100%-P321-Q321</f>
        <v>0</v>
      </c>
      <c r="S321" s="16" t="str">
        <f t="shared" si="139"/>
        <v>No Alert</v>
      </c>
      <c r="T321" s="75" t="s">
        <v>125</v>
      </c>
      <c r="U321" s="76"/>
      <c r="V321" s="40" t="s">
        <v>348</v>
      </c>
      <c r="W321" s="63">
        <f>VLOOKUP($D321,Subrates!$B$163:$E$171,Subrates!$C$5,FALSE)</f>
        <v>2.2009393754337951</v>
      </c>
      <c r="X321" s="63">
        <f>VLOOKUP($D321,Subrates!$B$163:$E$171,Subrates!$D$5,FALSE)</f>
        <v>411.50907180241086</v>
      </c>
      <c r="Y321" s="63">
        <f>VLOOKUP($D321,Subrates!$B$163:$E$171,Subrates!$E$5,FALSE)</f>
        <v>7.8</v>
      </c>
      <c r="Z321" s="63">
        <f t="shared" si="137"/>
        <v>4.8064250364478198</v>
      </c>
      <c r="AA321" s="351">
        <f>IF(G321=Yes,W321*F321,0)</f>
        <v>0</v>
      </c>
      <c r="AB321" s="351">
        <f>X321*H321</f>
        <v>0</v>
      </c>
      <c r="AC321" s="351">
        <f>IF(I321=Yes,Y321*F321,0)</f>
        <v>0</v>
      </c>
      <c r="AD321" s="351">
        <f>M321*Z321</f>
        <v>0</v>
      </c>
      <c r="AE321" s="351">
        <f t="shared" si="140"/>
        <v>0</v>
      </c>
      <c r="AF321" s="122">
        <f t="shared" si="138"/>
        <v>0</v>
      </c>
      <c r="AI321" s="918"/>
      <c r="AJ321" s="768"/>
      <c r="AK321" s="768"/>
    </row>
    <row r="322" spans="1:102" s="520" customFormat="1" ht="15">
      <c r="B322" s="307"/>
      <c r="C322" s="824">
        <f t="shared" si="141"/>
        <v>5</v>
      </c>
      <c r="D322" s="835" t="str">
        <f>TOV!E146</f>
        <v>Plastic Pipe 0 to &lt;= 0.15 m dia. Buried</v>
      </c>
      <c r="E322" s="30" t="s">
        <v>88</v>
      </c>
      <c r="F322" s="316"/>
      <c r="G322" s="77" t="s">
        <v>1726</v>
      </c>
      <c r="H322" s="78">
        <f>IF(F322="",0,'3. Infrastructure'!$H$314)</f>
        <v>0</v>
      </c>
      <c r="I322" s="77" t="s">
        <v>1726</v>
      </c>
      <c r="J322" s="316">
        <f t="shared" ref="J322:J327" si="142">O322</f>
        <v>0</v>
      </c>
      <c r="K322" s="73"/>
      <c r="L322" s="42"/>
      <c r="M322" s="324">
        <f t="shared" si="136"/>
        <v>0</v>
      </c>
      <c r="N322" s="73">
        <v>10</v>
      </c>
      <c r="O322" s="419">
        <f>IF(N322="",'3. Infrastructure'!$O$314,N322)*F322/10000</f>
        <v>0</v>
      </c>
      <c r="P322" s="66">
        <v>1</v>
      </c>
      <c r="Q322" s="66"/>
      <c r="R322" s="67">
        <f t="shared" ref="R322:R327" si="143">100%-P322-Q322</f>
        <v>0</v>
      </c>
      <c r="S322" s="16" t="str">
        <f t="shared" si="139"/>
        <v>No Alert</v>
      </c>
      <c r="T322" s="75" t="s">
        <v>125</v>
      </c>
      <c r="U322" s="76"/>
      <c r="V322" s="40" t="s">
        <v>348</v>
      </c>
      <c r="W322" s="63">
        <f>VLOOKUP($D322,Subrates!$B$163:$E$171,Subrates!$C$5,FALSE)</f>
        <v>2.2009393754337955E-2</v>
      </c>
      <c r="X322" s="63">
        <f>VLOOKUP($D322,Subrates!$B$163:$E$171,Subrates!$D$5,FALSE)</f>
        <v>1214.3068327077199</v>
      </c>
      <c r="Y322" s="63">
        <f>VLOOKUP($D322,Subrates!$B$163:$E$171,Subrates!$E$5,FALSE)</f>
        <v>26.84</v>
      </c>
      <c r="Z322" s="63">
        <f t="shared" si="137"/>
        <v>4.8064250364478198</v>
      </c>
      <c r="AA322" s="351">
        <f t="shared" ref="AA322:AA327" si="144">IF(G322=Yes,W322*F322,0)</f>
        <v>0</v>
      </c>
      <c r="AB322" s="351">
        <f t="shared" ref="AB322:AB327" si="145">X322*H322</f>
        <v>0</v>
      </c>
      <c r="AC322" s="351">
        <f t="shared" ref="AC322:AC327" si="146">IF(I322=Yes,Y322*F322,0)</f>
        <v>0</v>
      </c>
      <c r="AD322" s="351">
        <f t="shared" ref="AD322:AD327" si="147">M322*Z322</f>
        <v>0</v>
      </c>
      <c r="AE322" s="351">
        <f t="shared" si="140"/>
        <v>0</v>
      </c>
      <c r="AF322" s="122">
        <f t="shared" si="138"/>
        <v>0</v>
      </c>
      <c r="AI322" s="918"/>
      <c r="AJ322" s="768"/>
      <c r="AK322" s="768"/>
    </row>
    <row r="323" spans="1:102" s="520" customFormat="1" ht="15">
      <c r="B323" s="307"/>
      <c r="C323" s="824">
        <f t="shared" si="141"/>
        <v>6</v>
      </c>
      <c r="D323" s="835" t="str">
        <f>TOV!E147</f>
        <v>Plastic Pipe &gt; 0.15 to &lt;= 0.25 m dia. Buried</v>
      </c>
      <c r="E323" s="30" t="s">
        <v>88</v>
      </c>
      <c r="F323" s="316"/>
      <c r="G323" s="77" t="s">
        <v>1726</v>
      </c>
      <c r="H323" s="78">
        <f>IF(F323="",0,'3. Infrastructure'!$H$314)</f>
        <v>0</v>
      </c>
      <c r="I323" s="77" t="s">
        <v>1726</v>
      </c>
      <c r="J323" s="316">
        <f t="shared" si="142"/>
        <v>0</v>
      </c>
      <c r="K323" s="73"/>
      <c r="L323" s="42"/>
      <c r="M323" s="324">
        <f t="shared" si="136"/>
        <v>0</v>
      </c>
      <c r="N323" s="73">
        <v>10</v>
      </c>
      <c r="O323" s="419">
        <f>IF(N323="",'3. Infrastructure'!$O$314,N323)*F323/10000</f>
        <v>0</v>
      </c>
      <c r="P323" s="66">
        <v>1</v>
      </c>
      <c r="Q323" s="66"/>
      <c r="R323" s="67">
        <f t="shared" si="143"/>
        <v>0</v>
      </c>
      <c r="S323" s="16" t="str">
        <f t="shared" si="139"/>
        <v>No Alert</v>
      </c>
      <c r="T323" s="75" t="s">
        <v>125</v>
      </c>
      <c r="U323" s="76"/>
      <c r="V323" s="40" t="s">
        <v>348</v>
      </c>
      <c r="W323" s="63">
        <f>VLOOKUP($D323,Subrates!$B$163:$E$171,Subrates!$C$5,FALSE)</f>
        <v>0.15651124447529216</v>
      </c>
      <c r="X323" s="63">
        <f>VLOOKUP($D323,Subrates!$B$163:$E$171,Subrates!$D$5,FALSE)</f>
        <v>1263.9862840705416</v>
      </c>
      <c r="Y323" s="63">
        <f>VLOOKUP($D323,Subrates!$B$163:$E$171,Subrates!$E$5,FALSE)</f>
        <v>32.159999999999997</v>
      </c>
      <c r="Z323" s="63">
        <f t="shared" si="137"/>
        <v>4.8064250364478198</v>
      </c>
      <c r="AA323" s="351">
        <f t="shared" si="144"/>
        <v>0</v>
      </c>
      <c r="AB323" s="351">
        <f t="shared" si="145"/>
        <v>0</v>
      </c>
      <c r="AC323" s="351">
        <f t="shared" si="146"/>
        <v>0</v>
      </c>
      <c r="AD323" s="351">
        <f t="shared" si="147"/>
        <v>0</v>
      </c>
      <c r="AE323" s="351">
        <f t="shared" si="140"/>
        <v>0</v>
      </c>
      <c r="AF323" s="122">
        <f t="shared" si="138"/>
        <v>0</v>
      </c>
      <c r="AI323" s="918"/>
      <c r="AJ323" s="768"/>
      <c r="AK323" s="768"/>
    </row>
    <row r="324" spans="1:102" s="520" customFormat="1" ht="15">
      <c r="B324" s="307"/>
      <c r="C324" s="824">
        <f t="shared" si="141"/>
        <v>7</v>
      </c>
      <c r="D324" s="835" t="str">
        <f>TOV!E148</f>
        <v>Plastic Pipe &gt; 0.25 to &lt;= 0.5 m dia. Buried</v>
      </c>
      <c r="E324" s="30" t="s">
        <v>88</v>
      </c>
      <c r="F324" s="316"/>
      <c r="G324" s="77" t="s">
        <v>1726</v>
      </c>
      <c r="H324" s="78">
        <f>IF(F324="",0,'3. Infrastructure'!$H$314)</f>
        <v>0</v>
      </c>
      <c r="I324" s="77" t="s">
        <v>1726</v>
      </c>
      <c r="J324" s="316">
        <f t="shared" si="142"/>
        <v>0</v>
      </c>
      <c r="K324" s="73"/>
      <c r="L324" s="42"/>
      <c r="M324" s="324">
        <f t="shared" si="136"/>
        <v>0</v>
      </c>
      <c r="N324" s="73">
        <v>10</v>
      </c>
      <c r="O324" s="419">
        <f>IF(N324="",'3. Infrastructure'!$O$314,N324)*F324/10000</f>
        <v>0</v>
      </c>
      <c r="P324" s="66">
        <v>1</v>
      </c>
      <c r="Q324" s="66"/>
      <c r="R324" s="67">
        <f t="shared" si="143"/>
        <v>0</v>
      </c>
      <c r="S324" s="16" t="str">
        <f t="shared" si="139"/>
        <v>No Alert</v>
      </c>
      <c r="T324" s="75" t="s">
        <v>125</v>
      </c>
      <c r="U324" s="76"/>
      <c r="V324" s="40" t="s">
        <v>348</v>
      </c>
      <c r="W324" s="63">
        <f>VLOOKUP($D324,Subrates!$B$163:$E$171,Subrates!$C$5,FALSE)</f>
        <v>0.55023484385844879</v>
      </c>
      <c r="X324" s="63">
        <f>VLOOKUP($D324,Subrates!$B$163:$E$171,Subrates!$D$5,FALSE)</f>
        <v>1288.8260097519524</v>
      </c>
      <c r="Y324" s="63">
        <f>VLOOKUP($D324,Subrates!$B$163:$E$171,Subrates!$E$5,FALSE)</f>
        <v>43.92</v>
      </c>
      <c r="Z324" s="63">
        <f t="shared" si="137"/>
        <v>4.8064250364478198</v>
      </c>
      <c r="AA324" s="351">
        <f t="shared" si="144"/>
        <v>0</v>
      </c>
      <c r="AB324" s="351">
        <f t="shared" si="145"/>
        <v>0</v>
      </c>
      <c r="AC324" s="351">
        <f t="shared" si="146"/>
        <v>0</v>
      </c>
      <c r="AD324" s="351">
        <f t="shared" si="147"/>
        <v>0</v>
      </c>
      <c r="AE324" s="351">
        <f t="shared" si="140"/>
        <v>0</v>
      </c>
      <c r="AF324" s="122">
        <f t="shared" si="138"/>
        <v>0</v>
      </c>
      <c r="AI324" s="918"/>
      <c r="AJ324" s="768"/>
      <c r="AK324" s="768"/>
    </row>
    <row r="325" spans="1:102" s="520" customFormat="1" ht="15">
      <c r="B325" s="307"/>
      <c r="C325" s="824">
        <f t="shared" si="141"/>
        <v>8</v>
      </c>
      <c r="D325" s="835" t="str">
        <f>TOV!E149</f>
        <v>Plastic Pipe &gt; 0.5 to &lt;= 1 m dia. Buried</v>
      </c>
      <c r="E325" s="30" t="s">
        <v>88</v>
      </c>
      <c r="F325" s="316"/>
      <c r="G325" s="77" t="s">
        <v>1726</v>
      </c>
      <c r="H325" s="78">
        <f>IF(F325="",0,'3. Infrastructure'!$H$314)</f>
        <v>0</v>
      </c>
      <c r="I325" s="77" t="s">
        <v>1726</v>
      </c>
      <c r="J325" s="316">
        <f t="shared" si="142"/>
        <v>0</v>
      </c>
      <c r="K325" s="73"/>
      <c r="L325" s="42"/>
      <c r="M325" s="324">
        <f t="shared" si="136"/>
        <v>0</v>
      </c>
      <c r="N325" s="73">
        <v>10</v>
      </c>
      <c r="O325" s="419">
        <f>IF(N325="",'3. Infrastructure'!$O$314,N325)*F325/10000</f>
        <v>0</v>
      </c>
      <c r="P325" s="66">
        <v>1</v>
      </c>
      <c r="Q325" s="66"/>
      <c r="R325" s="67">
        <f t="shared" si="143"/>
        <v>0</v>
      </c>
      <c r="S325" s="16" t="str">
        <f t="shared" si="139"/>
        <v>No Alert</v>
      </c>
      <c r="T325" s="75" t="s">
        <v>125</v>
      </c>
      <c r="U325" s="76"/>
      <c r="V325" s="40" t="s">
        <v>348</v>
      </c>
      <c r="W325" s="63">
        <f>VLOOKUP($D325,Subrates!$B$163:$E$171,Subrates!$C$5,FALSE)</f>
        <v>2.2009393754337951</v>
      </c>
      <c r="X325" s="63">
        <f>VLOOKUP($D325,Subrates!$B$163:$E$171,Subrates!$D$5,FALSE)</f>
        <v>1313.6657354333634</v>
      </c>
      <c r="Y325" s="63">
        <f>VLOOKUP($D325,Subrates!$B$163:$E$171,Subrates!$E$5,FALSE)</f>
        <v>58.44</v>
      </c>
      <c r="Z325" s="63">
        <f t="shared" si="137"/>
        <v>4.8064250364478198</v>
      </c>
      <c r="AA325" s="351">
        <f t="shared" si="144"/>
        <v>0</v>
      </c>
      <c r="AB325" s="351">
        <f t="shared" si="145"/>
        <v>0</v>
      </c>
      <c r="AC325" s="351">
        <f t="shared" si="146"/>
        <v>0</v>
      </c>
      <c r="AD325" s="351">
        <f t="shared" si="147"/>
        <v>0</v>
      </c>
      <c r="AE325" s="351">
        <f t="shared" si="140"/>
        <v>0</v>
      </c>
      <c r="AF325" s="122">
        <f t="shared" si="138"/>
        <v>0</v>
      </c>
      <c r="AI325" s="918"/>
      <c r="AJ325" s="768"/>
      <c r="AK325" s="768"/>
    </row>
    <row r="326" spans="1:102" s="520" customFormat="1" ht="15">
      <c r="B326" s="307"/>
      <c r="C326" s="824">
        <f t="shared" si="141"/>
        <v>9</v>
      </c>
      <c r="D326" s="168"/>
      <c r="E326" s="47"/>
      <c r="F326" s="316"/>
      <c r="G326" s="77" t="s">
        <v>1726</v>
      </c>
      <c r="H326" s="78">
        <f>IF(F326="",0,'3. Infrastructure'!$H$314)</f>
        <v>0</v>
      </c>
      <c r="I326" s="77" t="s">
        <v>1726</v>
      </c>
      <c r="J326" s="316">
        <f t="shared" si="142"/>
        <v>0</v>
      </c>
      <c r="K326" s="73"/>
      <c r="L326" s="42"/>
      <c r="M326" s="324">
        <f t="shared" si="136"/>
        <v>0</v>
      </c>
      <c r="N326" s="73">
        <v>10</v>
      </c>
      <c r="O326" s="419">
        <f>IF(N326="",'3. Infrastructure'!$O$314,N326)*F326/10000</f>
        <v>0</v>
      </c>
      <c r="P326" s="66">
        <v>1</v>
      </c>
      <c r="Q326" s="66"/>
      <c r="R326" s="67">
        <f t="shared" si="143"/>
        <v>0</v>
      </c>
      <c r="S326" s="16" t="str">
        <f t="shared" si="139"/>
        <v>No Alert</v>
      </c>
      <c r="T326" s="75" t="s">
        <v>125</v>
      </c>
      <c r="U326" s="76"/>
      <c r="V326" s="40" t="s">
        <v>348</v>
      </c>
      <c r="W326" s="407"/>
      <c r="X326" s="407"/>
      <c r="Y326" s="407"/>
      <c r="Z326" s="63">
        <f t="shared" si="137"/>
        <v>4.8064250364478198</v>
      </c>
      <c r="AA326" s="351">
        <f t="shared" si="144"/>
        <v>0</v>
      </c>
      <c r="AB326" s="351">
        <f t="shared" si="145"/>
        <v>0</v>
      </c>
      <c r="AC326" s="351">
        <f t="shared" si="146"/>
        <v>0</v>
      </c>
      <c r="AD326" s="351">
        <f t="shared" si="147"/>
        <v>0</v>
      </c>
      <c r="AE326" s="351">
        <f t="shared" si="140"/>
        <v>0</v>
      </c>
      <c r="AF326" s="122">
        <f t="shared" si="138"/>
        <v>0</v>
      </c>
      <c r="AI326" s="918"/>
      <c r="AJ326" s="768"/>
      <c r="AK326" s="768"/>
      <c r="AR326" s="768"/>
      <c r="AS326" s="768"/>
      <c r="AT326" s="768"/>
    </row>
    <row r="327" spans="1:102" s="520" customFormat="1" ht="15">
      <c r="B327" s="307"/>
      <c r="C327" s="824">
        <f t="shared" si="141"/>
        <v>10</v>
      </c>
      <c r="D327" s="169"/>
      <c r="E327" s="47"/>
      <c r="F327" s="316"/>
      <c r="G327" s="77" t="s">
        <v>1726</v>
      </c>
      <c r="H327" s="78">
        <f>IF(F327="",0,'3. Infrastructure'!$H$314)</f>
        <v>0</v>
      </c>
      <c r="I327" s="77" t="s">
        <v>1726</v>
      </c>
      <c r="J327" s="316">
        <f t="shared" si="142"/>
        <v>0</v>
      </c>
      <c r="K327" s="73"/>
      <c r="L327" s="42"/>
      <c r="M327" s="324">
        <f t="shared" si="136"/>
        <v>0</v>
      </c>
      <c r="N327" s="73">
        <v>10</v>
      </c>
      <c r="O327" s="419">
        <f>IF(N327="",'3. Infrastructure'!$O$314,N327)*F327/10000</f>
        <v>0</v>
      </c>
      <c r="P327" s="66">
        <v>1</v>
      </c>
      <c r="Q327" s="66"/>
      <c r="R327" s="67">
        <f t="shared" si="143"/>
        <v>0</v>
      </c>
      <c r="S327" s="16" t="str">
        <f t="shared" si="139"/>
        <v>No Alert</v>
      </c>
      <c r="T327" s="75" t="s">
        <v>125</v>
      </c>
      <c r="U327" s="76"/>
      <c r="V327" s="40" t="s">
        <v>348</v>
      </c>
      <c r="W327" s="407"/>
      <c r="X327" s="407"/>
      <c r="Y327" s="407"/>
      <c r="Z327" s="63">
        <f t="shared" si="137"/>
        <v>4.8064250364478198</v>
      </c>
      <c r="AA327" s="351">
        <f t="shared" si="144"/>
        <v>0</v>
      </c>
      <c r="AB327" s="351">
        <f t="shared" si="145"/>
        <v>0</v>
      </c>
      <c r="AC327" s="351">
        <f t="shared" si="146"/>
        <v>0</v>
      </c>
      <c r="AD327" s="351">
        <f t="shared" si="147"/>
        <v>0</v>
      </c>
      <c r="AE327" s="351">
        <f t="shared" si="140"/>
        <v>0</v>
      </c>
      <c r="AF327" s="122">
        <f t="shared" si="138"/>
        <v>0</v>
      </c>
      <c r="AI327" s="918"/>
      <c r="AJ327" s="768"/>
      <c r="AK327" s="768"/>
      <c r="AR327" s="768"/>
      <c r="AS327" s="768"/>
      <c r="AT327" s="768"/>
    </row>
    <row r="328" spans="1:102" s="520" customFormat="1" ht="18" customHeight="1">
      <c r="A328" s="768"/>
      <c r="B328" s="768"/>
      <c r="C328" s="768"/>
      <c r="D328" s="768"/>
      <c r="E328" s="768"/>
      <c r="F328" s="868"/>
      <c r="G328" s="768"/>
      <c r="H328" s="768"/>
      <c r="I328" s="768"/>
      <c r="J328" s="868"/>
      <c r="K328" s="768"/>
      <c r="L328" s="923"/>
      <c r="M328" s="868"/>
      <c r="N328" s="898"/>
      <c r="O328" s="868"/>
      <c r="P328" s="768"/>
      <c r="Q328" s="768"/>
      <c r="R328" s="768"/>
      <c r="S328" s="768"/>
      <c r="T328" s="768"/>
      <c r="W328" s="768"/>
      <c r="X328" s="768"/>
      <c r="Y328" s="768"/>
      <c r="AA328" s="768"/>
      <c r="AB328" s="768"/>
      <c r="AC328" s="768"/>
      <c r="AD328" s="768"/>
      <c r="AE328" s="768"/>
      <c r="AF328" s="797"/>
      <c r="AK328" s="768"/>
      <c r="AR328" s="768"/>
      <c r="AS328" s="768"/>
      <c r="AT328" s="768"/>
    </row>
    <row r="329" spans="1:102" s="520" customFormat="1" ht="18" customHeight="1">
      <c r="A329" s="793"/>
      <c r="E329" s="734"/>
      <c r="F329" s="372">
        <f>SUM(F317:F327)</f>
        <v>0</v>
      </c>
      <c r="G329" s="283" t="s">
        <v>11</v>
      </c>
      <c r="H329" s="373">
        <f>SUM(H317:H327)</f>
        <v>0</v>
      </c>
      <c r="I329" s="768"/>
      <c r="J329" s="372">
        <f>SUM(J317:J327)</f>
        <v>0</v>
      </c>
      <c r="K329" s="768"/>
      <c r="L329" s="806">
        <f>SUM(L317:L327)</f>
        <v>0</v>
      </c>
      <c r="M329" s="372">
        <f>SUM(M317:M327)</f>
        <v>0</v>
      </c>
      <c r="N329" s="898"/>
      <c r="O329" s="372">
        <f>SUM(O317:O327)</f>
        <v>0</v>
      </c>
      <c r="P329" s="61"/>
      <c r="Q329" s="61"/>
      <c r="R329" s="768"/>
      <c r="S329" s="61"/>
      <c r="T329" s="61"/>
      <c r="W329" s="61"/>
      <c r="X329" s="62"/>
      <c r="Y329" s="768"/>
      <c r="AA329" s="351">
        <f>SUM(AA317:AA327)</f>
        <v>0</v>
      </c>
      <c r="AB329" s="351">
        <f t="shared" ref="AB329:AE329" si="148">SUM(AB317:AB327)</f>
        <v>0</v>
      </c>
      <c r="AC329" s="351">
        <f t="shared" si="148"/>
        <v>0</v>
      </c>
      <c r="AD329" s="351">
        <f t="shared" si="148"/>
        <v>0</v>
      </c>
      <c r="AE329" s="351">
        <f t="shared" si="148"/>
        <v>0</v>
      </c>
      <c r="AF329" s="122">
        <f>SUM(AF317:AF328)</f>
        <v>0</v>
      </c>
      <c r="AG329" s="797">
        <f>IF(F329=0,0,AF329/F329)</f>
        <v>0</v>
      </c>
      <c r="AH329" s="520" t="s">
        <v>1727</v>
      </c>
      <c r="AK329" s="768"/>
      <c r="CX329" s="475"/>
    </row>
    <row r="331" spans="1:102" s="520" customFormat="1" ht="15" customHeight="1">
      <c r="A331" s="748"/>
      <c r="E331" s="734"/>
      <c r="F331" s="793"/>
      <c r="G331" s="768"/>
      <c r="H331" s="768"/>
      <c r="I331" s="768"/>
      <c r="J331" s="768"/>
      <c r="K331" s="768"/>
      <c r="L331" s="768"/>
      <c r="M331" s="768"/>
      <c r="N331" s="768"/>
      <c r="O331" s="768"/>
      <c r="P331" s="768"/>
      <c r="Q331" s="768"/>
      <c r="R331" s="768"/>
      <c r="S331" s="768"/>
      <c r="T331" s="768"/>
      <c r="U331" s="768"/>
      <c r="V331" s="768"/>
      <c r="W331" s="768"/>
      <c r="X331" s="768"/>
      <c r="Y331" s="768"/>
      <c r="AB331" s="768"/>
      <c r="AC331" s="768"/>
      <c r="AE331" s="768"/>
      <c r="AF331" s="768"/>
      <c r="AH331" s="768"/>
      <c r="AI331" s="768"/>
      <c r="AJ331" s="768"/>
      <c r="AK331" s="768"/>
    </row>
    <row r="332" spans="1:102" s="520" customFormat="1" ht="18" customHeight="1">
      <c r="A332" s="748"/>
      <c r="B332" s="287" t="s">
        <v>26</v>
      </c>
      <c r="C332" s="820" t="s">
        <v>1728</v>
      </c>
      <c r="D332" s="816"/>
      <c r="F332" s="793"/>
      <c r="G332" s="768"/>
      <c r="I332" s="768"/>
      <c r="J332" s="768"/>
      <c r="K332" s="768"/>
      <c r="L332" s="768"/>
      <c r="M332" s="768"/>
      <c r="N332" s="768"/>
      <c r="O332" s="768"/>
      <c r="P332" s="768"/>
      <c r="Q332" s="768"/>
      <c r="R332" s="768"/>
      <c r="S332" s="768"/>
      <c r="T332" s="768"/>
      <c r="U332" s="768"/>
      <c r="V332" s="768"/>
      <c r="W332" s="768"/>
      <c r="X332" s="768"/>
      <c r="Y332" s="768"/>
      <c r="Z332" s="768"/>
      <c r="AA332" s="768"/>
      <c r="AB332" s="768"/>
      <c r="AC332" s="768"/>
      <c r="AD332" s="768"/>
      <c r="AE332" s="768"/>
    </row>
    <row r="333" spans="1:102" s="495" customFormat="1" ht="31.9" customHeight="1">
      <c r="A333" s="748"/>
      <c r="B333" s="774" t="s">
        <v>1517</v>
      </c>
      <c r="C333" s="774" t="s">
        <v>27</v>
      </c>
      <c r="D333" s="821" t="s">
        <v>1729</v>
      </c>
      <c r="E333" s="812" t="s">
        <v>134</v>
      </c>
      <c r="F333" s="822"/>
      <c r="G333" s="823"/>
      <c r="H333" s="823" t="s">
        <v>244</v>
      </c>
      <c r="I333" s="773" t="s">
        <v>2</v>
      </c>
      <c r="J333" s="773" t="s">
        <v>1585</v>
      </c>
      <c r="K333" s="773" t="s">
        <v>1549</v>
      </c>
      <c r="L333" s="773" t="s">
        <v>1586</v>
      </c>
      <c r="M333" s="775" t="s">
        <v>1587</v>
      </c>
      <c r="N333" s="776" t="s">
        <v>1526</v>
      </c>
      <c r="O333" s="777"/>
      <c r="P333" s="777"/>
      <c r="Q333" s="777"/>
      <c r="R333" s="777"/>
      <c r="S333" s="777"/>
      <c r="T333" s="777"/>
      <c r="U333" s="778"/>
      <c r="V333" s="793"/>
      <c r="W333" s="793"/>
      <c r="AI333" s="520"/>
      <c r="AJ333" s="520"/>
      <c r="BH333" s="520"/>
      <c r="BI333" s="520"/>
    </row>
    <row r="334" spans="1:102" s="520" customFormat="1" ht="18" customHeight="1">
      <c r="A334" s="748"/>
      <c r="B334" s="768"/>
      <c r="C334" s="768"/>
      <c r="D334" s="768"/>
      <c r="E334" s="768"/>
      <c r="F334" s="768"/>
      <c r="G334" s="768"/>
      <c r="H334" s="771" t="s">
        <v>1563</v>
      </c>
      <c r="I334" s="768"/>
      <c r="J334" s="768"/>
      <c r="K334" s="768"/>
      <c r="L334" s="768"/>
      <c r="M334" s="768"/>
      <c r="N334" s="748"/>
      <c r="O334" s="474"/>
      <c r="P334" s="474"/>
      <c r="Q334" s="474"/>
      <c r="R334" s="474"/>
      <c r="S334" s="474"/>
      <c r="T334" s="474"/>
      <c r="U334" s="779"/>
      <c r="V334" s="768"/>
      <c r="W334" s="768"/>
      <c r="X334" s="768"/>
      <c r="Y334" s="768"/>
      <c r="Z334" s="768"/>
      <c r="AA334" s="768"/>
      <c r="AB334" s="768"/>
      <c r="AC334" s="768"/>
      <c r="AD334" s="768"/>
      <c r="AE334" s="768"/>
    </row>
    <row r="335" spans="1:102" s="520" customFormat="1">
      <c r="A335" s="748"/>
      <c r="B335" s="307"/>
      <c r="C335" s="824">
        <v>1</v>
      </c>
      <c r="D335" s="166"/>
      <c r="E335" s="780" t="str">
        <f>VLOOKUP($J335,TOV!$C$85:$G$217,TOV!$E$1,FALSE)</f>
        <v>Temporary camp - &lt;= 20 persons</v>
      </c>
      <c r="F335" s="833"/>
      <c r="G335" s="834"/>
      <c r="H335" s="78"/>
      <c r="I335" s="827" t="str">
        <f>VLOOKUP($J335,TOV!$C$85:$G$217,TOV!$G$1,FALSE)</f>
        <v>camp</v>
      </c>
      <c r="J335" s="828" t="str">
        <f>TOV!C156</f>
        <v>#3.72</v>
      </c>
      <c r="K335" s="63">
        <f>VLOOKUP($J335,TOV!$C$85:$G$217,TOV!$F$1,FALSE)</f>
        <v>47392.200162606387</v>
      </c>
      <c r="L335" s="298"/>
      <c r="M335" s="104">
        <f>IF(L335="",K335,L335)*H335</f>
        <v>0</v>
      </c>
      <c r="N335" s="215"/>
      <c r="O335" s="217"/>
      <c r="P335" s="217"/>
      <c r="Q335" s="217"/>
      <c r="R335" s="217"/>
      <c r="S335" s="217"/>
      <c r="T335" s="217"/>
      <c r="U335" s="218"/>
      <c r="V335" s="768"/>
      <c r="W335" s="768"/>
      <c r="X335" s="768"/>
      <c r="Y335" s="768"/>
      <c r="Z335" s="768"/>
      <c r="AA335" s="768"/>
      <c r="AB335" s="768"/>
      <c r="AC335" s="768"/>
      <c r="AD335" s="768"/>
      <c r="AE335" s="768"/>
    </row>
    <row r="336" spans="1:102" s="520" customFormat="1">
      <c r="A336" s="748"/>
      <c r="B336" s="307"/>
      <c r="C336" s="824">
        <f t="shared" ref="C336:C364" si="149">C335+1</f>
        <v>2</v>
      </c>
      <c r="D336" s="166"/>
      <c r="E336" s="780" t="str">
        <f>VLOOKUP($J336,TOV!$C$85:$G$217,TOV!$E$1,FALSE)</f>
        <v>Temporary camp - &gt; 20 and &lt;= 50 persons</v>
      </c>
      <c r="F336" s="833"/>
      <c r="G336" s="834"/>
      <c r="H336" s="78"/>
      <c r="I336" s="827" t="str">
        <f>VLOOKUP($J336,TOV!$C$85:$G$217,TOV!$G$1,FALSE)</f>
        <v>camp</v>
      </c>
      <c r="J336" s="828" t="str">
        <f>TOV!C157</f>
        <v>#3.73</v>
      </c>
      <c r="K336" s="63">
        <f>VLOOKUP($J336,TOV!$C$85:$G$217,TOV!$F$1,FALSE)</f>
        <v>65859.181813206218</v>
      </c>
      <c r="L336" s="298"/>
      <c r="M336" s="104">
        <f t="shared" ref="M336:M364" si="150">IF(L336="",K336,L336)*H336</f>
        <v>0</v>
      </c>
      <c r="N336" s="215"/>
      <c r="O336" s="217"/>
      <c r="P336" s="217"/>
      <c r="Q336" s="217"/>
      <c r="R336" s="217"/>
      <c r="S336" s="217"/>
      <c r="T336" s="217"/>
      <c r="U336" s="218"/>
      <c r="V336" s="768"/>
      <c r="W336" s="768"/>
      <c r="X336" s="768"/>
      <c r="Y336" s="768"/>
      <c r="Z336" s="768"/>
      <c r="AA336" s="768"/>
      <c r="AB336" s="768"/>
      <c r="AC336" s="768"/>
      <c r="AD336" s="768"/>
      <c r="AE336" s="768"/>
    </row>
    <row r="337" spans="1:31" s="520" customFormat="1">
      <c r="A337" s="748"/>
      <c r="B337" s="307"/>
      <c r="C337" s="824">
        <f t="shared" si="149"/>
        <v>3</v>
      </c>
      <c r="D337" s="166"/>
      <c r="E337" s="780" t="str">
        <f>VLOOKUP($J337,TOV!$C$85:$G$217,TOV!$E$1,FALSE)</f>
        <v>Temporary camp - &gt; 50 and &lt;= 100 persons</v>
      </c>
      <c r="F337" s="833"/>
      <c r="G337" s="834"/>
      <c r="H337" s="78"/>
      <c r="I337" s="827" t="str">
        <f>VLOOKUP($J337,TOV!$C$85:$G$217,TOV!$G$1,FALSE)</f>
        <v>camp</v>
      </c>
      <c r="J337" s="828" t="str">
        <f>TOV!C158</f>
        <v>#3.74</v>
      </c>
      <c r="K337" s="63">
        <f>VLOOKUP($J337,TOV!$C$85:$G$217,TOV!$F$1,FALSE)</f>
        <v>94167.695799226451</v>
      </c>
      <c r="L337" s="298"/>
      <c r="M337" s="104">
        <f t="shared" si="150"/>
        <v>0</v>
      </c>
      <c r="N337" s="215"/>
      <c r="O337" s="217"/>
      <c r="P337" s="217"/>
      <c r="Q337" s="217"/>
      <c r="R337" s="217"/>
      <c r="S337" s="217"/>
      <c r="T337" s="217"/>
      <c r="U337" s="218"/>
      <c r="V337" s="768"/>
      <c r="W337" s="768"/>
      <c r="X337" s="768"/>
      <c r="Y337" s="768"/>
      <c r="Z337" s="768"/>
      <c r="AA337" s="768"/>
      <c r="AB337" s="768"/>
      <c r="AC337" s="768"/>
      <c r="AD337" s="768"/>
      <c r="AE337" s="768"/>
    </row>
    <row r="338" spans="1:31" s="520" customFormat="1">
      <c r="A338" s="748"/>
      <c r="B338" s="307"/>
      <c r="C338" s="824">
        <f t="shared" si="149"/>
        <v>4</v>
      </c>
      <c r="D338" s="166"/>
      <c r="E338" s="780" t="str">
        <f>VLOOKUP($J338,TOV!$C$85:$G$217,TOV!$E$1,FALSE)</f>
        <v>Temporary camp - &gt; 100 and &lt;= 150 persons</v>
      </c>
      <c r="F338" s="833"/>
      <c r="G338" s="834"/>
      <c r="H338" s="78"/>
      <c r="I338" s="827" t="str">
        <f>VLOOKUP($J338,TOV!$C$85:$G$217,TOV!$G$1,FALSE)</f>
        <v>camp</v>
      </c>
      <c r="J338" s="828" t="str">
        <f>TOV!C159</f>
        <v>#3.75</v>
      </c>
      <c r="K338" s="63">
        <f>VLOOKUP($J338,TOV!$C$85:$G$217,TOV!$F$1,FALSE)</f>
        <v>136991.91041728808</v>
      </c>
      <c r="L338" s="298"/>
      <c r="M338" s="104">
        <f t="shared" si="150"/>
        <v>0</v>
      </c>
      <c r="N338" s="215"/>
      <c r="O338" s="217"/>
      <c r="P338" s="217"/>
      <c r="Q338" s="217"/>
      <c r="R338" s="217"/>
      <c r="S338" s="217"/>
      <c r="T338" s="217"/>
      <c r="U338" s="218"/>
      <c r="V338" s="768"/>
      <c r="W338" s="768"/>
      <c r="X338" s="768"/>
      <c r="Y338" s="768"/>
      <c r="Z338" s="768"/>
      <c r="AA338" s="768"/>
      <c r="AB338" s="768"/>
      <c r="AC338" s="768"/>
      <c r="AD338" s="768"/>
      <c r="AE338" s="768"/>
    </row>
    <row r="339" spans="1:31" s="520" customFormat="1">
      <c r="A339" s="748"/>
      <c r="B339" s="307"/>
      <c r="C339" s="824">
        <f t="shared" si="149"/>
        <v>5</v>
      </c>
      <c r="D339" s="166"/>
      <c r="E339" s="780" t="str">
        <f>VLOOKUP($J339,TOV!$C$85:$G$217,TOV!$E$1,FALSE)</f>
        <v>Temporary camp - &gt; 150 and &lt;= 200 persons</v>
      </c>
      <c r="F339" s="833"/>
      <c r="G339" s="834"/>
      <c r="H339" s="78"/>
      <c r="I339" s="827" t="str">
        <f>VLOOKUP($J339,TOV!$C$85:$G$217,TOV!$G$1,FALSE)</f>
        <v>camp</v>
      </c>
      <c r="J339" s="828" t="str">
        <f>TOV!C160</f>
        <v>#3.76</v>
      </c>
      <c r="K339" s="63">
        <f>VLOOKUP($J339,TOV!$C$85:$G$217,TOV!$F$1,FALSE)</f>
        <v>165956.43582087776</v>
      </c>
      <c r="L339" s="298"/>
      <c r="M339" s="104">
        <f t="shared" si="150"/>
        <v>0</v>
      </c>
      <c r="N339" s="215"/>
      <c r="O339" s="217"/>
      <c r="P339" s="217"/>
      <c r="Q339" s="217"/>
      <c r="R339" s="217"/>
      <c r="S339" s="217"/>
      <c r="T339" s="217"/>
      <c r="U339" s="218"/>
      <c r="V339" s="768"/>
      <c r="W339" s="768"/>
      <c r="X339" s="768"/>
      <c r="Y339" s="768"/>
      <c r="Z339" s="768"/>
      <c r="AA339" s="768"/>
      <c r="AB339" s="768"/>
      <c r="AC339" s="768"/>
      <c r="AD339" s="768"/>
      <c r="AE339" s="768"/>
    </row>
    <row r="340" spans="1:31" s="520" customFormat="1">
      <c r="A340" s="748"/>
      <c r="B340" s="307"/>
      <c r="C340" s="824">
        <f t="shared" si="149"/>
        <v>6</v>
      </c>
      <c r="D340" s="166"/>
      <c r="E340" s="780" t="str">
        <f>VLOOKUP($J340,TOV!$C$85:$G$217,TOV!$E$1,FALSE)</f>
        <v>Temporary camp - &gt; 200 and &lt;= 250 persons</v>
      </c>
      <c r="F340" s="833"/>
      <c r="G340" s="834"/>
      <c r="H340" s="78"/>
      <c r="I340" s="827" t="str">
        <f>VLOOKUP($J340,TOV!$C$85:$G$217,TOV!$G$1,FALSE)</f>
        <v>camp</v>
      </c>
      <c r="J340" s="828" t="str">
        <f>TOV!C161</f>
        <v>#3.77</v>
      </c>
      <c r="K340" s="63">
        <f>VLOOKUP($J340,TOV!$C$85:$G$217,TOV!$F$1,FALSE)</f>
        <v>231159.60621651457</v>
      </c>
      <c r="L340" s="298"/>
      <c r="M340" s="104">
        <f t="shared" si="150"/>
        <v>0</v>
      </c>
      <c r="N340" s="215"/>
      <c r="O340" s="217"/>
      <c r="P340" s="217"/>
      <c r="Q340" s="217"/>
      <c r="R340" s="217"/>
      <c r="S340" s="217"/>
      <c r="T340" s="217"/>
      <c r="U340" s="218"/>
      <c r="V340" s="768"/>
      <c r="W340" s="768"/>
      <c r="X340" s="768"/>
      <c r="Y340" s="768"/>
      <c r="Z340" s="768"/>
      <c r="AA340" s="768"/>
      <c r="AB340" s="768"/>
      <c r="AC340" s="768"/>
      <c r="AD340" s="768"/>
      <c r="AE340" s="768"/>
    </row>
    <row r="341" spans="1:31" s="520" customFormat="1">
      <c r="A341" s="748"/>
      <c r="B341" s="307"/>
      <c r="C341" s="824">
        <f t="shared" si="149"/>
        <v>7</v>
      </c>
      <c r="D341" s="166"/>
      <c r="E341" s="780" t="str">
        <f>VLOOKUP($J341,TOV!$C$85:$G$217,TOV!$E$1,FALSE)</f>
        <v>Temporary camp - &gt; 250 and &lt;= 300 persons</v>
      </c>
      <c r="F341" s="833"/>
      <c r="G341" s="834"/>
      <c r="H341" s="78"/>
      <c r="I341" s="827" t="str">
        <f>VLOOKUP($J341,TOV!$C$85:$G$217,TOV!$G$1,FALSE)</f>
        <v>camp</v>
      </c>
      <c r="J341" s="828" t="str">
        <f>TOV!C162</f>
        <v>#3.78</v>
      </c>
      <c r="K341" s="63">
        <f>VLOOKUP($J341,TOV!$C$85:$G$217,TOV!$F$1,FALSE)</f>
        <v>259035.19464732899</v>
      </c>
      <c r="L341" s="298"/>
      <c r="M341" s="104">
        <f t="shared" si="150"/>
        <v>0</v>
      </c>
      <c r="N341" s="215"/>
      <c r="O341" s="217"/>
      <c r="P341" s="217"/>
      <c r="Q341" s="217"/>
      <c r="R341" s="217"/>
      <c r="S341" s="217"/>
      <c r="T341" s="217"/>
      <c r="U341" s="218"/>
      <c r="V341" s="768"/>
      <c r="W341" s="768"/>
      <c r="X341" s="768"/>
      <c r="Y341" s="768"/>
      <c r="Z341" s="768"/>
      <c r="AA341" s="768"/>
      <c r="AB341" s="768"/>
      <c r="AC341" s="768"/>
      <c r="AD341" s="768"/>
      <c r="AE341" s="768"/>
    </row>
    <row r="342" spans="1:31" s="520" customFormat="1">
      <c r="A342" s="748"/>
      <c r="B342" s="307"/>
      <c r="C342" s="824">
        <f t="shared" si="149"/>
        <v>8</v>
      </c>
      <c r="D342" s="166"/>
      <c r="E342" s="780" t="str">
        <f>VLOOKUP($J342,TOV!$C$85:$G$217,TOV!$E$1,FALSE)</f>
        <v>Temporary camp - &gt; 300 and &lt;= 400 persons</v>
      </c>
      <c r="F342" s="833"/>
      <c r="G342" s="834"/>
      <c r="H342" s="78"/>
      <c r="I342" s="827" t="str">
        <f>VLOOKUP($J342,TOV!$C$85:$G$217,TOV!$G$1,FALSE)</f>
        <v>camp</v>
      </c>
      <c r="J342" s="828" t="str">
        <f>TOV!C163</f>
        <v>#3.79</v>
      </c>
      <c r="K342" s="63">
        <f>VLOOKUP($J342,TOV!$C$85:$G$217,TOV!$F$1,FALSE)</f>
        <v>317460.88853045466</v>
      </c>
      <c r="L342" s="298"/>
      <c r="M342" s="104">
        <f t="shared" si="150"/>
        <v>0</v>
      </c>
      <c r="N342" s="215"/>
      <c r="O342" s="217"/>
      <c r="P342" s="217"/>
      <c r="Q342" s="217"/>
      <c r="R342" s="217"/>
      <c r="S342" s="217"/>
      <c r="T342" s="217"/>
      <c r="U342" s="218"/>
      <c r="V342" s="768"/>
      <c r="W342" s="768"/>
      <c r="X342" s="768"/>
      <c r="Y342" s="768"/>
      <c r="Z342" s="768"/>
      <c r="AA342" s="768"/>
      <c r="AB342" s="768"/>
      <c r="AC342" s="768"/>
      <c r="AD342" s="768"/>
      <c r="AE342" s="768"/>
    </row>
    <row r="343" spans="1:31" s="520" customFormat="1">
      <c r="A343" s="748"/>
      <c r="B343" s="307"/>
      <c r="C343" s="824">
        <f t="shared" si="149"/>
        <v>9</v>
      </c>
      <c r="D343" s="166"/>
      <c r="E343" s="780" t="str">
        <f>VLOOKUP($J343,TOV!$C$85:$G$217,TOV!$E$1,FALSE)</f>
        <v>Temporary camp - &gt; 400 and &lt;= 500 persons</v>
      </c>
      <c r="F343" s="833"/>
      <c r="G343" s="834"/>
      <c r="H343" s="78"/>
      <c r="I343" s="827" t="str">
        <f>VLOOKUP($J343,TOV!$C$85:$G$217,TOV!$G$1,FALSE)</f>
        <v>camp</v>
      </c>
      <c r="J343" s="828" t="str">
        <f>TOV!C164</f>
        <v>#3.80</v>
      </c>
      <c r="K343" s="63">
        <f>VLOOKUP($J343,TOV!$C$85:$G$217,TOV!$F$1,FALSE)</f>
        <v>410539.64735690586</v>
      </c>
      <c r="L343" s="298"/>
      <c r="M343" s="104">
        <f t="shared" si="150"/>
        <v>0</v>
      </c>
      <c r="N343" s="215"/>
      <c r="O343" s="217"/>
      <c r="P343" s="217"/>
      <c r="Q343" s="217"/>
      <c r="R343" s="217"/>
      <c r="S343" s="217"/>
      <c r="T343" s="217"/>
      <c r="U343" s="218"/>
      <c r="V343" s="768"/>
      <c r="W343" s="768"/>
      <c r="X343" s="768"/>
      <c r="Y343" s="768"/>
      <c r="Z343" s="768"/>
      <c r="AA343" s="768"/>
      <c r="AB343" s="768"/>
      <c r="AC343" s="768"/>
      <c r="AD343" s="768"/>
      <c r="AE343" s="768"/>
    </row>
    <row r="344" spans="1:31" s="520" customFormat="1">
      <c r="A344" s="748"/>
      <c r="B344" s="307"/>
      <c r="C344" s="824">
        <f t="shared" si="149"/>
        <v>10</v>
      </c>
      <c r="D344" s="166"/>
      <c r="E344" s="780" t="str">
        <f>VLOOKUP($J344,TOV!$C$85:$G$217,TOV!$E$1,FALSE)</f>
        <v>Temporary camp - &gt; 500 and &lt;= 750 persons</v>
      </c>
      <c r="F344" s="833"/>
      <c r="G344" s="834"/>
      <c r="H344" s="78"/>
      <c r="I344" s="827" t="str">
        <f>VLOOKUP($J344,TOV!$C$85:$G$217,TOV!$G$1,FALSE)</f>
        <v>camp</v>
      </c>
      <c r="J344" s="828" t="str">
        <f>TOV!C165</f>
        <v>#3.81</v>
      </c>
      <c r="K344" s="63">
        <f>VLOOKUP($J344,TOV!$C$85:$G$217,TOV!$F$1,FALSE)</f>
        <v>592242.65419986495</v>
      </c>
      <c r="L344" s="298"/>
      <c r="M344" s="104">
        <f t="shared" si="150"/>
        <v>0</v>
      </c>
      <c r="N344" s="215"/>
      <c r="O344" s="217"/>
      <c r="P344" s="217"/>
      <c r="Q344" s="217"/>
      <c r="R344" s="217"/>
      <c r="S344" s="217"/>
      <c r="T344" s="217"/>
      <c r="U344" s="218"/>
      <c r="V344" s="768"/>
      <c r="W344" s="768"/>
      <c r="X344" s="768"/>
      <c r="Y344" s="768"/>
      <c r="Z344" s="768"/>
      <c r="AA344" s="768"/>
      <c r="AB344" s="768"/>
      <c r="AC344" s="768"/>
      <c r="AD344" s="768"/>
      <c r="AE344" s="768"/>
    </row>
    <row r="345" spans="1:31" s="520" customFormat="1">
      <c r="A345" s="748"/>
      <c r="B345" s="307"/>
      <c r="C345" s="824">
        <f t="shared" si="149"/>
        <v>11</v>
      </c>
      <c r="D345" s="166"/>
      <c r="E345" s="780" t="str">
        <f>VLOOKUP($J345,TOV!$C$85:$G$217,TOV!$E$1,FALSE)</f>
        <v>Temporary camp - &gt; 750 and &lt;= 1000 persons</v>
      </c>
      <c r="F345" s="833"/>
      <c r="G345" s="834"/>
      <c r="H345" s="78"/>
      <c r="I345" s="827" t="str">
        <f>VLOOKUP($J345,TOV!$C$85:$G$217,TOV!$G$1,FALSE)</f>
        <v>camp</v>
      </c>
      <c r="J345" s="828" t="str">
        <f>TOV!C166</f>
        <v>#3.82</v>
      </c>
      <c r="K345" s="63">
        <f>VLOOKUP($J345,TOV!$C$85:$G$217,TOV!$F$1,FALSE)</f>
        <v>771974.24665918527</v>
      </c>
      <c r="L345" s="298"/>
      <c r="M345" s="104">
        <f t="shared" si="150"/>
        <v>0</v>
      </c>
      <c r="N345" s="215"/>
      <c r="O345" s="217"/>
      <c r="P345" s="217"/>
      <c r="Q345" s="217"/>
      <c r="R345" s="217"/>
      <c r="S345" s="217"/>
      <c r="T345" s="217"/>
      <c r="U345" s="218"/>
      <c r="V345" s="768"/>
      <c r="W345" s="768"/>
      <c r="X345" s="768"/>
      <c r="Y345" s="768"/>
      <c r="Z345" s="768"/>
      <c r="AA345" s="768"/>
      <c r="AB345" s="768"/>
      <c r="AC345" s="768"/>
      <c r="AD345" s="768"/>
      <c r="AE345" s="768"/>
    </row>
    <row r="346" spans="1:31" s="520" customFormat="1">
      <c r="A346" s="748"/>
      <c r="B346" s="307"/>
      <c r="C346" s="824">
        <f t="shared" si="149"/>
        <v>12</v>
      </c>
      <c r="D346" s="166"/>
      <c r="E346" s="780" t="str">
        <f>VLOOKUP($J346,TOV!$C$85:$G$217,TOV!$E$1,FALSE)</f>
        <v>Temporary camp - &gt; 1000 and &lt;= 2000 persons</v>
      </c>
      <c r="F346" s="833"/>
      <c r="G346" s="834"/>
      <c r="H346" s="78"/>
      <c r="I346" s="827" t="str">
        <f>VLOOKUP($J346,TOV!$C$85:$G$217,TOV!$G$1,FALSE)</f>
        <v>camp</v>
      </c>
      <c r="J346" s="828" t="str">
        <f>TOV!C167</f>
        <v>#3.83</v>
      </c>
      <c r="K346" s="63">
        <f>VLOOKUP($J346,TOV!$C$85:$G$217,TOV!$F$1,FALSE)</f>
        <v>1530233.8958609162</v>
      </c>
      <c r="L346" s="298"/>
      <c r="M346" s="104">
        <f t="shared" si="150"/>
        <v>0</v>
      </c>
      <c r="N346" s="215"/>
      <c r="O346" s="217"/>
      <c r="P346" s="217"/>
      <c r="Q346" s="217"/>
      <c r="R346" s="217"/>
      <c r="S346" s="217"/>
      <c r="T346" s="217"/>
      <c r="U346" s="218"/>
      <c r="V346" s="768"/>
      <c r="W346" s="768"/>
      <c r="X346" s="768"/>
      <c r="Y346" s="768"/>
      <c r="Z346" s="768"/>
      <c r="AA346" s="768"/>
      <c r="AB346" s="768"/>
      <c r="AC346" s="768"/>
      <c r="AD346" s="768"/>
      <c r="AE346" s="768"/>
    </row>
    <row r="347" spans="1:31" s="520" customFormat="1">
      <c r="A347" s="748"/>
      <c r="B347" s="307"/>
      <c r="C347" s="824">
        <f t="shared" si="149"/>
        <v>13</v>
      </c>
      <c r="D347" s="166"/>
      <c r="E347" s="780" t="str">
        <f>VLOOKUP($J347,TOV!$C$85:$G$217,TOV!$E$1,FALSE)</f>
        <v>Temporary camp - &gt; 2000 and &lt;= 3000 persons</v>
      </c>
      <c r="F347" s="833"/>
      <c r="G347" s="834"/>
      <c r="H347" s="78"/>
      <c r="I347" s="827" t="str">
        <f>VLOOKUP($J347,TOV!$C$85:$G$217,TOV!$G$1,FALSE)</f>
        <v>camp</v>
      </c>
      <c r="J347" s="828" t="str">
        <f>TOV!C168</f>
        <v>#3.84</v>
      </c>
      <c r="K347" s="63">
        <f>VLOOKUP($J347,TOV!$C$85:$G$217,TOV!$F$1,FALSE)</f>
        <v>2287756.1594088003</v>
      </c>
      <c r="L347" s="298"/>
      <c r="M347" s="104">
        <f t="shared" si="150"/>
        <v>0</v>
      </c>
      <c r="N347" s="215"/>
      <c r="O347" s="217"/>
      <c r="P347" s="217"/>
      <c r="Q347" s="217"/>
      <c r="R347" s="217"/>
      <c r="S347" s="217"/>
      <c r="T347" s="217"/>
      <c r="U347" s="218"/>
      <c r="V347" s="768"/>
      <c r="W347" s="768"/>
      <c r="X347" s="768"/>
      <c r="Y347" s="768"/>
      <c r="Z347" s="768"/>
      <c r="AA347" s="768"/>
      <c r="AB347" s="768"/>
      <c r="AC347" s="768"/>
      <c r="AD347" s="768"/>
      <c r="AE347" s="768"/>
    </row>
    <row r="348" spans="1:31" s="520" customFormat="1">
      <c r="A348" s="748"/>
      <c r="B348" s="307"/>
      <c r="C348" s="824">
        <f t="shared" si="149"/>
        <v>14</v>
      </c>
      <c r="D348" s="166"/>
      <c r="E348" s="780" t="str">
        <f>VLOOKUP($J348,TOV!$C$85:$G$217,TOV!$E$1,FALSE)</f>
        <v>Temporary camp - &gt; 3000 and &lt;= 4000 persons</v>
      </c>
      <c r="F348" s="833"/>
      <c r="G348" s="834"/>
      <c r="H348" s="78"/>
      <c r="I348" s="827" t="str">
        <f>VLOOKUP($J348,TOV!$C$85:$G$217,TOV!$G$1,FALSE)</f>
        <v>camp</v>
      </c>
      <c r="J348" s="828" t="str">
        <f>TOV!C169</f>
        <v>#3.85</v>
      </c>
      <c r="K348" s="63">
        <f>VLOOKUP($J348,TOV!$C$85:$G$217,TOV!$F$1,FALSE)</f>
        <v>3046015.808610531</v>
      </c>
      <c r="L348" s="298"/>
      <c r="M348" s="104">
        <f t="shared" si="150"/>
        <v>0</v>
      </c>
      <c r="N348" s="215"/>
      <c r="O348" s="217"/>
      <c r="P348" s="217"/>
      <c r="Q348" s="217"/>
      <c r="R348" s="217"/>
      <c r="S348" s="217"/>
      <c r="T348" s="217"/>
      <c r="U348" s="218"/>
      <c r="V348" s="768"/>
      <c r="W348" s="768"/>
      <c r="X348" s="768"/>
      <c r="Y348" s="768"/>
      <c r="Z348" s="768"/>
      <c r="AA348" s="768"/>
      <c r="AB348" s="768"/>
      <c r="AC348" s="768"/>
      <c r="AD348" s="768"/>
      <c r="AE348" s="768"/>
    </row>
    <row r="349" spans="1:31" s="520" customFormat="1">
      <c r="A349" s="748"/>
      <c r="B349" s="307"/>
      <c r="C349" s="824">
        <f t="shared" si="149"/>
        <v>15</v>
      </c>
      <c r="D349" s="166"/>
      <c r="E349" s="780" t="str">
        <f>VLOOKUP($J349,TOV!$C$85:$G$217,TOV!$E$1,FALSE)</f>
        <v>Temporary camp - &gt; 4000 and &lt;= 5000 persons</v>
      </c>
      <c r="F349" s="833"/>
      <c r="G349" s="834"/>
      <c r="H349" s="78"/>
      <c r="I349" s="827" t="str">
        <f>VLOOKUP($J349,TOV!$C$85:$G$217,TOV!$G$1,FALSE)</f>
        <v>camp</v>
      </c>
      <c r="J349" s="828" t="str">
        <f>TOV!C170</f>
        <v>#3.86</v>
      </c>
      <c r="K349" s="63">
        <f>VLOOKUP($J349,TOV!$C$85:$G$217,TOV!$F$1,FALSE)</f>
        <v>3803889.6234773444</v>
      </c>
      <c r="L349" s="298"/>
      <c r="M349" s="104">
        <f t="shared" si="150"/>
        <v>0</v>
      </c>
      <c r="N349" s="215"/>
      <c r="O349" s="217"/>
      <c r="P349" s="217"/>
      <c r="Q349" s="217"/>
      <c r="R349" s="217"/>
      <c r="S349" s="217"/>
      <c r="T349" s="217"/>
      <c r="U349" s="218"/>
      <c r="V349" s="768"/>
      <c r="W349" s="768"/>
      <c r="X349" s="768"/>
      <c r="Y349" s="768"/>
      <c r="Z349" s="768"/>
      <c r="AA349" s="768"/>
      <c r="AB349" s="768"/>
      <c r="AC349" s="768"/>
      <c r="AD349" s="768"/>
      <c r="AE349" s="768"/>
    </row>
    <row r="350" spans="1:31" s="520" customFormat="1">
      <c r="A350" s="748"/>
      <c r="B350" s="307"/>
      <c r="C350" s="824">
        <f t="shared" si="149"/>
        <v>16</v>
      </c>
      <c r="D350" s="166"/>
      <c r="E350" s="780" t="str">
        <f>VLOOKUP($J350,TOV!$C$85:$G$217,TOV!$E$1,FALSE)</f>
        <v>Permanent camp - &gt; 0 and &lt;= 20 persons</v>
      </c>
      <c r="F350" s="833"/>
      <c r="G350" s="834"/>
      <c r="H350" s="78"/>
      <c r="I350" s="827" t="str">
        <f>VLOOKUP($J350,TOV!$C$85:$G$217,TOV!$G$1,FALSE)</f>
        <v>camp</v>
      </c>
      <c r="J350" s="828" t="str">
        <f>TOV!C171</f>
        <v>#3.87</v>
      </c>
      <c r="K350" s="63">
        <f>VLOOKUP($J350,TOV!$C$85:$G$217,TOV!$F$1,FALSE)</f>
        <v>65961.998860905558</v>
      </c>
      <c r="L350" s="298"/>
      <c r="M350" s="104">
        <f t="shared" si="150"/>
        <v>0</v>
      </c>
      <c r="N350" s="215"/>
      <c r="O350" s="217"/>
      <c r="P350" s="217"/>
      <c r="Q350" s="217"/>
      <c r="R350" s="217"/>
      <c r="S350" s="217"/>
      <c r="T350" s="217"/>
      <c r="U350" s="218"/>
      <c r="V350" s="768"/>
      <c r="W350" s="768"/>
      <c r="X350" s="768"/>
      <c r="Y350" s="768"/>
      <c r="Z350" s="768"/>
      <c r="AA350" s="768"/>
      <c r="AB350" s="768"/>
      <c r="AC350" s="768"/>
      <c r="AD350" s="768"/>
      <c r="AE350" s="768"/>
    </row>
    <row r="351" spans="1:31" s="520" customFormat="1">
      <c r="A351" s="748"/>
      <c r="B351" s="307"/>
      <c r="C351" s="824">
        <f t="shared" si="149"/>
        <v>17</v>
      </c>
      <c r="D351" s="166"/>
      <c r="E351" s="780" t="str">
        <f>VLOOKUP($J351,TOV!$C$85:$G$217,TOV!$E$1,FALSE)</f>
        <v>Permanent camp - &gt; 20 and &lt;= 50 persons</v>
      </c>
      <c r="F351" s="833"/>
      <c r="G351" s="834"/>
      <c r="H351" s="78"/>
      <c r="I351" s="827" t="str">
        <f>VLOOKUP($J351,TOV!$C$85:$G$217,TOV!$G$1,FALSE)</f>
        <v>camp</v>
      </c>
      <c r="J351" s="828" t="str">
        <f>TOV!C172</f>
        <v>#3.88</v>
      </c>
      <c r="K351" s="63">
        <f>VLOOKUP($J351,TOV!$C$85:$G$217,TOV!$F$1,FALSE)</f>
        <v>106755.63127087669</v>
      </c>
      <c r="L351" s="298"/>
      <c r="M351" s="104">
        <f t="shared" si="150"/>
        <v>0</v>
      </c>
      <c r="N351" s="215"/>
      <c r="O351" s="217"/>
      <c r="P351" s="217"/>
      <c r="Q351" s="217"/>
      <c r="R351" s="217"/>
      <c r="S351" s="217"/>
      <c r="T351" s="217"/>
      <c r="U351" s="218"/>
      <c r="V351" s="768"/>
      <c r="W351" s="768"/>
      <c r="X351" s="768"/>
      <c r="Y351" s="768"/>
      <c r="Z351" s="768"/>
      <c r="AA351" s="768"/>
      <c r="AB351" s="768"/>
      <c r="AC351" s="768"/>
      <c r="AD351" s="768"/>
      <c r="AE351" s="768"/>
    </row>
    <row r="352" spans="1:31" s="520" customFormat="1">
      <c r="A352" s="748"/>
      <c r="B352" s="307"/>
      <c r="C352" s="824">
        <f t="shared" si="149"/>
        <v>18</v>
      </c>
      <c r="D352" s="166"/>
      <c r="E352" s="780" t="str">
        <f>VLOOKUP($J352,TOV!$C$85:$G$217,TOV!$E$1,FALSE)</f>
        <v>Permanent camp - &gt; 50 and &lt;= 100 persons</v>
      </c>
      <c r="F352" s="833"/>
      <c r="G352" s="834"/>
      <c r="H352" s="78"/>
      <c r="I352" s="827" t="str">
        <f>VLOOKUP($J352,TOV!$C$85:$G$217,TOV!$G$1,FALSE)</f>
        <v>camp</v>
      </c>
      <c r="J352" s="828" t="str">
        <f>TOV!C173</f>
        <v>#3.89</v>
      </c>
      <c r="K352" s="63">
        <f>VLOOKUP($J352,TOV!$C$85:$G$217,TOV!$F$1,FALSE)</f>
        <v>176338.29378065755</v>
      </c>
      <c r="L352" s="298"/>
      <c r="M352" s="104">
        <f t="shared" si="150"/>
        <v>0</v>
      </c>
      <c r="N352" s="215"/>
      <c r="O352" s="217"/>
      <c r="P352" s="217"/>
      <c r="Q352" s="217"/>
      <c r="R352" s="217"/>
      <c r="S352" s="217"/>
      <c r="T352" s="217"/>
      <c r="U352" s="218"/>
      <c r="V352" s="768"/>
      <c r="W352" s="768"/>
      <c r="X352" s="768"/>
      <c r="Y352" s="768"/>
      <c r="Z352" s="768"/>
      <c r="AA352" s="768"/>
      <c r="AB352" s="768"/>
      <c r="AC352" s="768"/>
      <c r="AD352" s="768"/>
      <c r="AE352" s="768"/>
    </row>
    <row r="353" spans="1:37" s="520" customFormat="1">
      <c r="A353" s="748"/>
      <c r="B353" s="307"/>
      <c r="C353" s="824">
        <f t="shared" si="149"/>
        <v>19</v>
      </c>
      <c r="D353" s="166"/>
      <c r="E353" s="780" t="str">
        <f>VLOOKUP($J353,TOV!$C$85:$G$217,TOV!$E$1,FALSE)</f>
        <v>Permanent camp - &gt; 100 and &lt;= 150 persons</v>
      </c>
      <c r="F353" s="833"/>
      <c r="G353" s="834"/>
      <c r="H353" s="78"/>
      <c r="I353" s="827" t="str">
        <f>VLOOKUP($J353,TOV!$C$85:$G$217,TOV!$G$1,FALSE)</f>
        <v>camp</v>
      </c>
      <c r="J353" s="828" t="str">
        <f>TOV!C174</f>
        <v>#3.90</v>
      </c>
      <c r="K353" s="63">
        <f>VLOOKUP($J353,TOV!$C$85:$G$217,TOV!$F$1,FALSE)</f>
        <v>243154.37176619083</v>
      </c>
      <c r="L353" s="298"/>
      <c r="M353" s="104">
        <f t="shared" si="150"/>
        <v>0</v>
      </c>
      <c r="N353" s="215"/>
      <c r="O353" s="217"/>
      <c r="P353" s="217"/>
      <c r="Q353" s="217"/>
      <c r="R353" s="217"/>
      <c r="S353" s="217"/>
      <c r="T353" s="217"/>
      <c r="U353" s="218"/>
      <c r="V353" s="768"/>
      <c r="W353" s="768"/>
      <c r="X353" s="768"/>
      <c r="Y353" s="768"/>
      <c r="Z353" s="768"/>
      <c r="AA353" s="768"/>
      <c r="AB353" s="768"/>
      <c r="AC353" s="768"/>
      <c r="AD353" s="768"/>
      <c r="AE353" s="768"/>
    </row>
    <row r="354" spans="1:37" s="520" customFormat="1">
      <c r="A354" s="748"/>
      <c r="B354" s="307"/>
      <c r="C354" s="824">
        <f t="shared" si="149"/>
        <v>20</v>
      </c>
      <c r="D354" s="166"/>
      <c r="E354" s="780" t="str">
        <f>VLOOKUP($J354,TOV!$C$85:$G$217,TOV!$E$1,FALSE)</f>
        <v>Permanent camp - &gt; 150 and &lt;= 200 persons</v>
      </c>
      <c r="F354" s="833"/>
      <c r="G354" s="834"/>
      <c r="H354" s="78"/>
      <c r="I354" s="827" t="str">
        <f>VLOOKUP($J354,TOV!$C$85:$G$217,TOV!$G$1,FALSE)</f>
        <v>camp</v>
      </c>
      <c r="J354" s="828" t="str">
        <f>TOV!C175</f>
        <v>#3.91</v>
      </c>
      <c r="K354" s="63">
        <f>VLOOKUP($J354,TOV!$C$85:$G$217,TOV!$F$1,FALSE)</f>
        <v>312027.15850794496</v>
      </c>
      <c r="L354" s="298"/>
      <c r="M354" s="104">
        <f t="shared" si="150"/>
        <v>0</v>
      </c>
      <c r="N354" s="215"/>
      <c r="O354" s="217"/>
      <c r="P354" s="217"/>
      <c r="Q354" s="217"/>
      <c r="R354" s="217"/>
      <c r="S354" s="217"/>
      <c r="T354" s="217"/>
      <c r="U354" s="218"/>
      <c r="V354" s="768"/>
      <c r="W354" s="768"/>
      <c r="X354" s="768"/>
      <c r="Y354" s="768"/>
      <c r="Z354" s="768"/>
      <c r="AA354" s="768"/>
      <c r="AB354" s="768"/>
      <c r="AC354" s="768"/>
      <c r="AD354" s="768"/>
      <c r="AE354" s="768"/>
    </row>
    <row r="355" spans="1:37" s="520" customFormat="1">
      <c r="A355" s="748"/>
      <c r="B355" s="307"/>
      <c r="C355" s="824">
        <f t="shared" si="149"/>
        <v>21</v>
      </c>
      <c r="D355" s="166"/>
      <c r="E355" s="780" t="str">
        <f>VLOOKUP($J355,TOV!$C$85:$G$217,TOV!$E$1,FALSE)</f>
        <v>Permanent camp - &gt; 200 and &lt;= 250 persons</v>
      </c>
      <c r="F355" s="833"/>
      <c r="G355" s="834"/>
      <c r="H355" s="78"/>
      <c r="I355" s="827" t="str">
        <f>VLOOKUP($J355,TOV!$C$85:$G$217,TOV!$G$1,FALSE)</f>
        <v>camp</v>
      </c>
      <c r="J355" s="828" t="str">
        <f>TOV!C176</f>
        <v>#3.92</v>
      </c>
      <c r="K355" s="63">
        <f>VLOOKUP($J355,TOV!$C$85:$G$217,TOV!$F$1,FALSE)</f>
        <v>393060.26566673891</v>
      </c>
      <c r="L355" s="298"/>
      <c r="M355" s="104">
        <f t="shared" si="150"/>
        <v>0</v>
      </c>
      <c r="N355" s="215"/>
      <c r="O355" s="217"/>
      <c r="P355" s="217"/>
      <c r="Q355" s="217"/>
      <c r="R355" s="217"/>
      <c r="S355" s="217"/>
      <c r="T355" s="217"/>
      <c r="U355" s="218"/>
      <c r="V355" s="768"/>
      <c r="W355" s="768"/>
      <c r="X355" s="768"/>
      <c r="Y355" s="768"/>
      <c r="Z355" s="768"/>
      <c r="AA355" s="768"/>
      <c r="AB355" s="768"/>
      <c r="AC355" s="768"/>
      <c r="AD355" s="768"/>
      <c r="AE355" s="768"/>
    </row>
    <row r="356" spans="1:37" s="520" customFormat="1">
      <c r="A356" s="748"/>
      <c r="B356" s="307"/>
      <c r="C356" s="824">
        <f t="shared" si="149"/>
        <v>22</v>
      </c>
      <c r="D356" s="166"/>
      <c r="E356" s="780" t="str">
        <f>VLOOKUP($J356,TOV!$C$85:$G$217,TOV!$E$1,FALSE)</f>
        <v>Permanent camp - &gt; 250 and &lt;= 300 persons</v>
      </c>
      <c r="F356" s="833"/>
      <c r="G356" s="834"/>
      <c r="H356" s="78"/>
      <c r="I356" s="827" t="str">
        <f>VLOOKUP($J356,TOV!$C$85:$G$217,TOV!$G$1,FALSE)</f>
        <v>camp</v>
      </c>
      <c r="J356" s="828" t="str">
        <f>TOV!C177</f>
        <v>#3.93</v>
      </c>
      <c r="K356" s="63">
        <f>VLOOKUP($J356,TOV!$C$85:$G$217,TOV!$F$1,FALSE)</f>
        <v>453160.03718082147</v>
      </c>
      <c r="L356" s="298"/>
      <c r="M356" s="104">
        <f t="shared" si="150"/>
        <v>0</v>
      </c>
      <c r="N356" s="215"/>
      <c r="O356" s="217"/>
      <c r="P356" s="217"/>
      <c r="Q356" s="217"/>
      <c r="R356" s="217"/>
      <c r="S356" s="217"/>
      <c r="T356" s="217"/>
      <c r="U356" s="218"/>
      <c r="V356" s="768"/>
      <c r="W356" s="768"/>
      <c r="X356" s="768"/>
      <c r="Y356" s="768"/>
      <c r="Z356" s="768"/>
      <c r="AA356" s="768"/>
      <c r="AB356" s="768"/>
      <c r="AC356" s="768"/>
      <c r="AD356" s="768"/>
      <c r="AE356" s="768"/>
    </row>
    <row r="357" spans="1:37" s="520" customFormat="1">
      <c r="A357" s="748"/>
      <c r="B357" s="307"/>
      <c r="C357" s="824">
        <f t="shared" si="149"/>
        <v>23</v>
      </c>
      <c r="D357" s="166"/>
      <c r="E357" s="780" t="str">
        <f>VLOOKUP($J357,TOV!$C$85:$G$217,TOV!$E$1,FALSE)</f>
        <v>Permanent camp - &gt; 300 and &lt;= 400 persons</v>
      </c>
      <c r="F357" s="833"/>
      <c r="G357" s="834"/>
      <c r="H357" s="78"/>
      <c r="I357" s="827" t="str">
        <f>VLOOKUP($J357,TOV!$C$85:$G$217,TOV!$G$1,FALSE)</f>
        <v>camp</v>
      </c>
      <c r="J357" s="828" t="str">
        <f>TOV!C178</f>
        <v>#3.94</v>
      </c>
      <c r="K357" s="63">
        <f>VLOOKUP($J357,TOV!$C$85:$G$217,TOV!$F$1,FALSE)</f>
        <v>575041.13325657649</v>
      </c>
      <c r="L357" s="298"/>
      <c r="M357" s="104">
        <f t="shared" si="150"/>
        <v>0</v>
      </c>
      <c r="N357" s="215"/>
      <c r="O357" s="217"/>
      <c r="P357" s="217"/>
      <c r="Q357" s="217"/>
      <c r="R357" s="217"/>
      <c r="S357" s="217"/>
      <c r="T357" s="217"/>
      <c r="U357" s="218"/>
      <c r="V357" s="768"/>
      <c r="W357" s="768"/>
      <c r="X357" s="768"/>
      <c r="Y357" s="768"/>
      <c r="Z357" s="768"/>
      <c r="AA357" s="768"/>
      <c r="AB357" s="768"/>
      <c r="AC357" s="768"/>
      <c r="AD357" s="768"/>
      <c r="AE357" s="768"/>
    </row>
    <row r="358" spans="1:37" s="520" customFormat="1">
      <c r="A358" s="748"/>
      <c r="B358" s="307"/>
      <c r="C358" s="824">
        <f t="shared" si="149"/>
        <v>24</v>
      </c>
      <c r="D358" s="166"/>
      <c r="E358" s="780" t="str">
        <f>VLOOKUP($J358,TOV!$C$85:$G$217,TOV!$E$1,FALSE)</f>
        <v>Permanent camp - &gt; 400 and &lt;= 500 persons</v>
      </c>
      <c r="F358" s="833"/>
      <c r="G358" s="834"/>
      <c r="H358" s="78"/>
      <c r="I358" s="827" t="str">
        <f>VLOOKUP($J358,TOV!$C$85:$G$217,TOV!$G$1,FALSE)</f>
        <v>camp</v>
      </c>
      <c r="J358" s="828" t="str">
        <f>TOV!C179</f>
        <v>#3.95</v>
      </c>
      <c r="K358" s="63">
        <f>VLOOKUP($J358,TOV!$C$85:$G$217,TOV!$F$1,FALSE)</f>
        <v>721125.78867609019</v>
      </c>
      <c r="L358" s="298"/>
      <c r="M358" s="104">
        <f t="shared" si="150"/>
        <v>0</v>
      </c>
      <c r="N358" s="215"/>
      <c r="O358" s="217"/>
      <c r="P358" s="217"/>
      <c r="Q358" s="217"/>
      <c r="R358" s="217"/>
      <c r="S358" s="217"/>
      <c r="T358" s="217"/>
      <c r="U358" s="218"/>
      <c r="V358" s="768"/>
      <c r="W358" s="768"/>
      <c r="X358" s="768"/>
      <c r="Y358" s="768"/>
      <c r="Z358" s="768"/>
      <c r="AA358" s="768"/>
      <c r="AB358" s="768"/>
      <c r="AC358" s="768"/>
      <c r="AD358" s="768"/>
      <c r="AE358" s="768"/>
    </row>
    <row r="359" spans="1:37" s="520" customFormat="1">
      <c r="A359" s="748"/>
      <c r="B359" s="307"/>
      <c r="C359" s="824">
        <f t="shared" si="149"/>
        <v>25</v>
      </c>
      <c r="D359" s="166"/>
      <c r="E359" s="780" t="str">
        <f>VLOOKUP($J359,TOV!$C$85:$G$217,TOV!$E$1,FALSE)</f>
        <v>Permanent camp - &gt; 500 and &lt;= 750 persons</v>
      </c>
      <c r="F359" s="833"/>
      <c r="G359" s="834"/>
      <c r="H359" s="78"/>
      <c r="I359" s="827" t="str">
        <f>VLOOKUP($J359,TOV!$C$85:$G$217,TOV!$G$1,FALSE)</f>
        <v>camp</v>
      </c>
      <c r="J359" s="828" t="str">
        <f>TOV!C180</f>
        <v>#3.96</v>
      </c>
      <c r="K359" s="63">
        <f>VLOOKUP($J359,TOV!$C$85:$G$217,TOV!$F$1,FALSE)</f>
        <v>903898.72910265415</v>
      </c>
      <c r="L359" s="298"/>
      <c r="M359" s="104">
        <f t="shared" si="150"/>
        <v>0</v>
      </c>
      <c r="N359" s="215"/>
      <c r="O359" s="217"/>
      <c r="P359" s="217"/>
      <c r="Q359" s="217"/>
      <c r="R359" s="217"/>
      <c r="S359" s="217"/>
      <c r="T359" s="217"/>
      <c r="U359" s="218"/>
      <c r="V359" s="768"/>
      <c r="W359" s="768"/>
      <c r="X359" s="768"/>
      <c r="Y359" s="768"/>
      <c r="Z359" s="768"/>
      <c r="AA359" s="768"/>
      <c r="AB359" s="768"/>
      <c r="AC359" s="768"/>
      <c r="AD359" s="768"/>
      <c r="AE359" s="768"/>
    </row>
    <row r="360" spans="1:37" s="520" customFormat="1">
      <c r="A360" s="748"/>
      <c r="B360" s="307"/>
      <c r="C360" s="824">
        <f t="shared" si="149"/>
        <v>26</v>
      </c>
      <c r="D360" s="166"/>
      <c r="E360" s="780" t="str">
        <f>VLOOKUP($J360,TOV!$C$85:$G$217,TOV!$E$1,FALSE)</f>
        <v>Permanent camp - &gt; 750 and &lt;= 1000 persons</v>
      </c>
      <c r="F360" s="833"/>
      <c r="G360" s="834"/>
      <c r="H360" s="78"/>
      <c r="I360" s="827" t="str">
        <f>VLOOKUP($J360,TOV!$C$85:$G$217,TOV!$G$1,FALSE)</f>
        <v>camp</v>
      </c>
      <c r="J360" s="828" t="str">
        <f>TOV!C181</f>
        <v>#3.97</v>
      </c>
      <c r="K360" s="63">
        <f>VLOOKUP($J360,TOV!$C$85:$G$217,TOV!$F$1,FALSE)</f>
        <v>1186839.17838204</v>
      </c>
      <c r="L360" s="298"/>
      <c r="M360" s="104">
        <f t="shared" si="150"/>
        <v>0</v>
      </c>
      <c r="N360" s="215"/>
      <c r="O360" s="217"/>
      <c r="P360" s="217"/>
      <c r="Q360" s="217"/>
      <c r="R360" s="217"/>
      <c r="S360" s="217"/>
      <c r="T360" s="217"/>
      <c r="U360" s="218"/>
      <c r="V360" s="768"/>
      <c r="W360" s="768"/>
      <c r="X360" s="768"/>
      <c r="Y360" s="768"/>
      <c r="Z360" s="768"/>
      <c r="AA360" s="768"/>
      <c r="AB360" s="768"/>
      <c r="AC360" s="768"/>
      <c r="AD360" s="768"/>
      <c r="AE360" s="768"/>
    </row>
    <row r="361" spans="1:37" s="520" customFormat="1">
      <c r="A361" s="748"/>
      <c r="B361" s="307"/>
      <c r="C361" s="824">
        <f t="shared" si="149"/>
        <v>27</v>
      </c>
      <c r="D361" s="166"/>
      <c r="E361" s="780" t="str">
        <f>VLOOKUP($J361,TOV!$C$85:$G$217,TOV!$E$1,FALSE)</f>
        <v>Permanent camp - &gt; 1000 and &lt;= 2000 persons</v>
      </c>
      <c r="F361" s="833"/>
      <c r="G361" s="834"/>
      <c r="H361" s="78"/>
      <c r="I361" s="827" t="str">
        <f>VLOOKUP($J361,TOV!$C$85:$G$217,TOV!$G$1,FALSE)</f>
        <v>camp</v>
      </c>
      <c r="J361" s="828" t="str">
        <f>TOV!C182</f>
        <v>#3.98</v>
      </c>
      <c r="K361" s="63">
        <f>VLOOKUP($J361,TOV!$C$85:$G$217,TOV!$F$1,FALSE)</f>
        <v>2331960.1804206567</v>
      </c>
      <c r="L361" s="298"/>
      <c r="M361" s="104">
        <f t="shared" si="150"/>
        <v>0</v>
      </c>
      <c r="N361" s="215"/>
      <c r="O361" s="217"/>
      <c r="P361" s="217"/>
      <c r="Q361" s="217"/>
      <c r="R361" s="217"/>
      <c r="S361" s="217"/>
      <c r="T361" s="217"/>
      <c r="U361" s="218"/>
      <c r="V361" s="768"/>
      <c r="W361" s="768"/>
      <c r="X361" s="768"/>
      <c r="Y361" s="768"/>
      <c r="Z361" s="768"/>
      <c r="AA361" s="768"/>
      <c r="AB361" s="768"/>
      <c r="AC361" s="768"/>
      <c r="AD361" s="768"/>
      <c r="AE361" s="768"/>
    </row>
    <row r="362" spans="1:37" s="520" customFormat="1">
      <c r="A362" s="748"/>
      <c r="B362" s="307"/>
      <c r="C362" s="824">
        <f t="shared" si="149"/>
        <v>28</v>
      </c>
      <c r="D362" s="166"/>
      <c r="E362" s="780" t="str">
        <f>VLOOKUP($J362,TOV!$C$85:$G$217,TOV!$E$1,FALSE)</f>
        <v>Permanent camp - &gt; 2000 and &lt;= 3000 persons</v>
      </c>
      <c r="F362" s="833"/>
      <c r="G362" s="834"/>
      <c r="H362" s="78"/>
      <c r="I362" s="827" t="str">
        <f>VLOOKUP($J362,TOV!$C$85:$G$217,TOV!$G$1,FALSE)</f>
        <v>camp</v>
      </c>
      <c r="J362" s="828" t="str">
        <f>TOV!C183</f>
        <v>#3.99</v>
      </c>
      <c r="K362" s="63">
        <f>VLOOKUP($J362,TOV!$C$85:$G$217,TOV!$F$1,FALSE)</f>
        <v>3453914.8754953775</v>
      </c>
      <c r="L362" s="298"/>
      <c r="M362" s="104">
        <f t="shared" si="150"/>
        <v>0</v>
      </c>
      <c r="N362" s="215"/>
      <c r="O362" s="217"/>
      <c r="P362" s="217"/>
      <c r="Q362" s="217"/>
      <c r="R362" s="217"/>
      <c r="S362" s="217"/>
      <c r="T362" s="217"/>
      <c r="U362" s="218"/>
      <c r="V362" s="768"/>
      <c r="W362" s="768"/>
      <c r="X362" s="768"/>
      <c r="Y362" s="768"/>
      <c r="Z362" s="768"/>
      <c r="AA362" s="768"/>
      <c r="AB362" s="768"/>
      <c r="AC362" s="768"/>
      <c r="AD362" s="768"/>
      <c r="AE362" s="768"/>
    </row>
    <row r="363" spans="1:37" s="520" customFormat="1">
      <c r="A363" s="748"/>
      <c r="B363" s="307"/>
      <c r="C363" s="824">
        <f t="shared" si="149"/>
        <v>29</v>
      </c>
      <c r="D363" s="166"/>
      <c r="E363" s="780" t="str">
        <f>VLOOKUP($J363,TOV!$C$85:$G$217,TOV!$E$1,FALSE)</f>
        <v>Permanent camp - &gt; 3000 and &lt;= 4000 persons</v>
      </c>
      <c r="F363" s="833"/>
      <c r="G363" s="834"/>
      <c r="H363" s="78"/>
      <c r="I363" s="827" t="str">
        <f>VLOOKUP($J363,TOV!$C$85:$G$217,TOV!$G$1,FALSE)</f>
        <v>camp</v>
      </c>
      <c r="J363" s="828" t="str">
        <f>TOV!C184</f>
        <v>#3.100</v>
      </c>
      <c r="K363" s="63">
        <f>VLOOKUP($J363,TOV!$C$85:$G$217,TOV!$F$1,FALSE)</f>
        <v>4591595.4831378581</v>
      </c>
      <c r="L363" s="298"/>
      <c r="M363" s="104">
        <f t="shared" si="150"/>
        <v>0</v>
      </c>
      <c r="N363" s="215"/>
      <c r="O363" s="217"/>
      <c r="P363" s="217"/>
      <c r="Q363" s="217"/>
      <c r="R363" s="217"/>
      <c r="S363" s="217"/>
      <c r="T363" s="217"/>
      <c r="U363" s="218"/>
      <c r="V363" s="768"/>
      <c r="W363" s="768"/>
      <c r="X363" s="768"/>
      <c r="Y363" s="768"/>
      <c r="Z363" s="768"/>
      <c r="AA363" s="768"/>
      <c r="AB363" s="768"/>
      <c r="AC363" s="768"/>
      <c r="AD363" s="768"/>
      <c r="AE363" s="768"/>
    </row>
    <row r="364" spans="1:37" s="520" customFormat="1">
      <c r="A364" s="748"/>
      <c r="B364" s="307"/>
      <c r="C364" s="824">
        <f t="shared" si="149"/>
        <v>30</v>
      </c>
      <c r="D364" s="166"/>
      <c r="E364" s="780" t="str">
        <f>VLOOKUP($J364,TOV!$C$85:$G$217,TOV!$E$1,FALSE)</f>
        <v>Permanent camp - &gt; 4000 and &lt;= 5000 persons</v>
      </c>
      <c r="F364" s="833"/>
      <c r="G364" s="834"/>
      <c r="H364" s="78"/>
      <c r="I364" s="827" t="str">
        <f>VLOOKUP($J364,TOV!$C$85:$G$217,TOV!$G$1,FALSE)</f>
        <v>camp</v>
      </c>
      <c r="J364" s="828" t="str">
        <f>TOV!C185</f>
        <v>#3.101</v>
      </c>
      <c r="K364" s="63">
        <f>VLOOKUP($J364,TOV!$C$85:$G$217,TOV!$F$1,FALSE)</f>
        <v>5726506.8871532148</v>
      </c>
      <c r="L364" s="298"/>
      <c r="M364" s="104">
        <f t="shared" si="150"/>
        <v>0</v>
      </c>
      <c r="N364" s="215"/>
      <c r="O364" s="217"/>
      <c r="P364" s="217"/>
      <c r="Q364" s="217"/>
      <c r="R364" s="217"/>
      <c r="S364" s="217"/>
      <c r="T364" s="217"/>
      <c r="U364" s="218"/>
      <c r="V364" s="768"/>
      <c r="W364" s="768"/>
      <c r="X364" s="768"/>
      <c r="Y364" s="768"/>
      <c r="Z364" s="768"/>
      <c r="AA364" s="768"/>
      <c r="AB364" s="768"/>
      <c r="AC364" s="768"/>
      <c r="AD364" s="768"/>
      <c r="AE364" s="768"/>
    </row>
    <row r="365" spans="1:37" s="520" customFormat="1" ht="18" customHeight="1">
      <c r="A365" s="748"/>
      <c r="F365" s="768"/>
      <c r="G365" s="768"/>
      <c r="H365" s="924"/>
      <c r="I365" s="768"/>
      <c r="J365" s="768"/>
      <c r="K365" s="768"/>
      <c r="L365" s="768"/>
      <c r="M365" s="791"/>
      <c r="N365" s="768"/>
      <c r="O365" s="768"/>
      <c r="P365" s="768"/>
      <c r="Q365" s="768"/>
      <c r="R365" s="768"/>
      <c r="S365" s="768"/>
      <c r="T365" s="768"/>
      <c r="U365" s="768"/>
      <c r="V365" s="768"/>
      <c r="W365" s="768"/>
      <c r="X365" s="768"/>
      <c r="Y365" s="768"/>
      <c r="Z365" s="768"/>
      <c r="AA365" s="791"/>
      <c r="AB365" s="791"/>
      <c r="AC365" s="791"/>
      <c r="AD365" s="791"/>
      <c r="AE365" s="768"/>
      <c r="AF365" s="768"/>
      <c r="AG365" s="768"/>
      <c r="AH365" s="768"/>
      <c r="AI365" s="768"/>
      <c r="AJ365" s="768"/>
      <c r="AK365" s="768"/>
    </row>
    <row r="366" spans="1:37" s="520" customFormat="1" ht="18" customHeight="1">
      <c r="A366" s="748"/>
      <c r="F366" s="768"/>
      <c r="G366" s="768"/>
      <c r="H366" s="806">
        <f>SUM(H333:H365)</f>
        <v>0</v>
      </c>
      <c r="I366" s="902" t="s">
        <v>785</v>
      </c>
      <c r="K366" s="789"/>
      <c r="L366" s="789" t="s">
        <v>75</v>
      </c>
      <c r="M366" s="107">
        <f>SUM(M333:M365)</f>
        <v>0</v>
      </c>
      <c r="N366" s="797">
        <f>IF(H366=0,0,M366/H366)</f>
        <v>0</v>
      </c>
      <c r="O366" s="520" t="str">
        <f>I366</f>
        <v>camp</v>
      </c>
      <c r="P366" s="768"/>
      <c r="Q366" s="768"/>
      <c r="R366" s="734"/>
      <c r="S366" s="734"/>
      <c r="T366" s="734"/>
      <c r="U366" s="768"/>
      <c r="V366" s="768"/>
      <c r="W366" s="768"/>
      <c r="X366" s="768"/>
      <c r="Y366" s="768"/>
      <c r="Z366" s="768"/>
      <c r="AA366" s="791"/>
      <c r="AB366" s="791"/>
      <c r="AC366" s="791"/>
      <c r="AD366" s="791"/>
      <c r="AE366" s="768"/>
      <c r="AF366" s="768"/>
      <c r="AG366" s="768"/>
      <c r="AH366" s="768"/>
      <c r="AI366" s="768"/>
      <c r="AJ366" s="768"/>
      <c r="AK366" s="768"/>
    </row>
    <row r="367" spans="1:37" s="520" customFormat="1" ht="15" customHeight="1">
      <c r="A367" s="748"/>
      <c r="E367" s="734"/>
      <c r="F367" s="793"/>
      <c r="G367" s="768"/>
      <c r="H367" s="768"/>
      <c r="I367" s="768"/>
      <c r="J367" s="768"/>
      <c r="K367" s="768"/>
      <c r="L367" s="768"/>
      <c r="M367" s="768"/>
      <c r="N367" s="768"/>
      <c r="O367" s="768"/>
      <c r="P367" s="768"/>
      <c r="Q367" s="768"/>
      <c r="R367" s="768"/>
      <c r="S367" s="768"/>
      <c r="T367" s="768"/>
      <c r="U367" s="768"/>
      <c r="V367" s="768"/>
      <c r="W367" s="768"/>
      <c r="X367" s="768"/>
      <c r="Y367" s="768"/>
      <c r="AB367" s="768"/>
      <c r="AC367" s="768"/>
      <c r="AE367" s="768"/>
      <c r="AF367" s="768"/>
      <c r="AH367" s="768"/>
      <c r="AI367" s="768"/>
      <c r="AJ367" s="768"/>
      <c r="AK367" s="768"/>
    </row>
    <row r="368" spans="1:37" s="520" customFormat="1" ht="18" customHeight="1">
      <c r="A368" s="748"/>
      <c r="B368" s="287" t="s">
        <v>26</v>
      </c>
      <c r="C368" s="820" t="s">
        <v>1730</v>
      </c>
      <c r="D368" s="816"/>
      <c r="F368" s="793"/>
      <c r="G368" s="768"/>
      <c r="H368" s="768"/>
      <c r="I368" s="768" t="s">
        <v>1731</v>
      </c>
      <c r="J368" s="768"/>
      <c r="K368" s="768"/>
      <c r="L368" s="768"/>
      <c r="M368" s="768"/>
      <c r="N368" s="768"/>
      <c r="O368" s="768"/>
      <c r="P368" s="768"/>
      <c r="Q368" s="768"/>
      <c r="R368" s="768"/>
      <c r="S368" s="768"/>
      <c r="T368" s="768"/>
      <c r="U368" s="768"/>
      <c r="V368" s="768"/>
      <c r="W368" s="768"/>
      <c r="X368" s="768"/>
      <c r="Y368" s="768"/>
      <c r="Z368" s="768"/>
      <c r="AA368" s="768"/>
      <c r="AB368" s="768"/>
      <c r="AC368" s="768"/>
      <c r="AD368" s="768"/>
      <c r="AE368" s="768"/>
    </row>
    <row r="369" spans="1:64" s="495" customFormat="1" ht="31.9" customHeight="1">
      <c r="A369" s="748"/>
      <c r="B369" s="774" t="s">
        <v>1517</v>
      </c>
      <c r="C369" s="774" t="s">
        <v>27</v>
      </c>
      <c r="D369" s="821" t="s">
        <v>1729</v>
      </c>
      <c r="E369" s="812" t="s">
        <v>134</v>
      </c>
      <c r="F369" s="822"/>
      <c r="G369" s="823"/>
      <c r="H369" s="823" t="s">
        <v>244</v>
      </c>
      <c r="I369" s="773" t="s">
        <v>2</v>
      </c>
      <c r="J369" s="773" t="s">
        <v>1585</v>
      </c>
      <c r="K369" s="773" t="s">
        <v>1549</v>
      </c>
      <c r="L369" s="773" t="s">
        <v>1586</v>
      </c>
      <c r="M369" s="775" t="s">
        <v>1587</v>
      </c>
      <c r="N369" s="776" t="s">
        <v>1526</v>
      </c>
      <c r="O369" s="777"/>
      <c r="P369" s="777"/>
      <c r="Q369" s="777"/>
      <c r="R369" s="777"/>
      <c r="S369" s="777"/>
      <c r="T369" s="777"/>
      <c r="U369" s="778"/>
      <c r="V369" s="793"/>
      <c r="W369" s="793"/>
      <c r="AI369" s="520"/>
      <c r="AJ369" s="520"/>
      <c r="BH369" s="520"/>
      <c r="BI369" s="520"/>
    </row>
    <row r="370" spans="1:64" s="520" customFormat="1" ht="18" customHeight="1">
      <c r="A370" s="748"/>
      <c r="B370" s="768"/>
      <c r="C370" s="768"/>
      <c r="D370" s="768"/>
      <c r="E370" s="768"/>
      <c r="F370" s="768"/>
      <c r="G370" s="768"/>
      <c r="H370" s="768"/>
      <c r="I370" s="768"/>
      <c r="J370" s="768"/>
      <c r="K370" s="768"/>
      <c r="L370" s="768"/>
      <c r="M370" s="768"/>
      <c r="N370" s="748"/>
      <c r="O370" s="474"/>
      <c r="P370" s="474"/>
      <c r="Q370" s="474"/>
      <c r="R370" s="474"/>
      <c r="S370" s="474"/>
      <c r="T370" s="474"/>
      <c r="U370" s="779"/>
      <c r="V370" s="768"/>
      <c r="W370" s="768"/>
      <c r="X370" s="768"/>
      <c r="Y370" s="768"/>
      <c r="Z370" s="768"/>
      <c r="AA370" s="768"/>
      <c r="AB370" s="768"/>
      <c r="AC370" s="768"/>
      <c r="AD370" s="768"/>
      <c r="AE370" s="768"/>
    </row>
    <row r="371" spans="1:64" s="520" customFormat="1">
      <c r="A371" s="748"/>
      <c r="B371" s="307"/>
      <c r="C371" s="824">
        <v>1</v>
      </c>
      <c r="D371" s="166"/>
      <c r="E371" s="780" t="str">
        <f>VLOOKUP($J371,TOV!$C$85:$G$217,TOV!$E$1,FALSE)</f>
        <v>Small temporary camp (&lt;= 50 persons) (footprint)</v>
      </c>
      <c r="F371" s="833"/>
      <c r="G371" s="834"/>
      <c r="H371" s="316"/>
      <c r="I371" s="827" t="str">
        <f>VLOOKUP($J371,TOV!$C$85:$G$217,TOV!$G$1,FALSE)</f>
        <v>m2</v>
      </c>
      <c r="J371" s="828" t="str">
        <f>TOV!C186</f>
        <v>#3.102</v>
      </c>
      <c r="K371" s="63">
        <f>VLOOKUP($J371,TOV!$C$85:$G$217,TOV!$F$1,FALSE)</f>
        <v>41.735840301771688</v>
      </c>
      <c r="L371" s="298"/>
      <c r="M371" s="104">
        <f>IF(L371="",K371,L371)*H371</f>
        <v>0</v>
      </c>
      <c r="N371" s="215"/>
      <c r="O371" s="217"/>
      <c r="P371" s="217"/>
      <c r="Q371" s="217"/>
      <c r="R371" s="217"/>
      <c r="S371" s="217"/>
      <c r="T371" s="217"/>
      <c r="U371" s="218"/>
      <c r="V371" s="768"/>
      <c r="W371" s="768"/>
      <c r="X371" s="768"/>
      <c r="Y371" s="768"/>
      <c r="Z371" s="768"/>
      <c r="AA371" s="768"/>
      <c r="AB371" s="768"/>
      <c r="AC371" s="768"/>
      <c r="AD371" s="768"/>
      <c r="AE371" s="768"/>
    </row>
    <row r="372" spans="1:64" s="520" customFormat="1">
      <c r="A372" s="748"/>
      <c r="B372" s="307"/>
      <c r="C372" s="824">
        <f t="shared" ref="C372:C377" si="151">C371+1</f>
        <v>2</v>
      </c>
      <c r="D372" s="166"/>
      <c r="E372" s="780" t="str">
        <f>VLOOKUP($J372,TOV!$C$85:$G$217,TOV!$E$1,FALSE)</f>
        <v>Larger temporary camp (&gt; 50 persons) (footprint)</v>
      </c>
      <c r="F372" s="833"/>
      <c r="G372" s="834"/>
      <c r="H372" s="316"/>
      <c r="I372" s="827" t="str">
        <f>VLOOKUP($J372,TOV!$C$85:$G$217,TOV!$G$1,FALSE)</f>
        <v>m2</v>
      </c>
      <c r="J372" s="828" t="str">
        <f>TOV!C187</f>
        <v>#3.103</v>
      </c>
      <c r="K372" s="63">
        <f>VLOOKUP($J372,TOV!$C$85:$G$217,TOV!$F$1,FALSE)</f>
        <v>42.229803177010716</v>
      </c>
      <c r="L372" s="298"/>
      <c r="M372" s="104">
        <f t="shared" ref="M372:M374" si="152">IF(L372="",K372,L372)*H372</f>
        <v>0</v>
      </c>
      <c r="N372" s="215"/>
      <c r="O372" s="217"/>
      <c r="P372" s="217"/>
      <c r="Q372" s="217"/>
      <c r="R372" s="217"/>
      <c r="S372" s="217"/>
      <c r="T372" s="217"/>
      <c r="U372" s="218"/>
      <c r="V372" s="768"/>
      <c r="W372" s="768"/>
      <c r="X372" s="768"/>
      <c r="Y372" s="768"/>
      <c r="Z372" s="768"/>
      <c r="AA372" s="768"/>
      <c r="AB372" s="768"/>
      <c r="AC372" s="768"/>
      <c r="AD372" s="768"/>
      <c r="AE372" s="768"/>
    </row>
    <row r="373" spans="1:64" s="520" customFormat="1">
      <c r="A373" s="748"/>
      <c r="B373" s="307"/>
      <c r="C373" s="824">
        <f t="shared" si="151"/>
        <v>3</v>
      </c>
      <c r="D373" s="166"/>
      <c r="E373" s="780" t="str">
        <f>VLOOKUP($J373,TOV!$C$85:$G$217,TOV!$E$1,FALSE)</f>
        <v>Small permanent camp (&lt;= 50 persons)  (footprint)</v>
      </c>
      <c r="F373" s="833"/>
      <c r="G373" s="834"/>
      <c r="H373" s="316"/>
      <c r="I373" s="827" t="str">
        <f>VLOOKUP($J373,TOV!$C$85:$G$217,TOV!$G$1,FALSE)</f>
        <v>m2</v>
      </c>
      <c r="J373" s="828" t="str">
        <f>TOV!C188</f>
        <v>#3.104</v>
      </c>
      <c r="K373" s="63">
        <f>VLOOKUP($J373,TOV!$C$85:$G$217,TOV!$F$1,FALSE)</f>
        <v>37.614179653485699</v>
      </c>
      <c r="L373" s="298"/>
      <c r="M373" s="104">
        <f t="shared" si="152"/>
        <v>0</v>
      </c>
      <c r="N373" s="215"/>
      <c r="O373" s="217"/>
      <c r="P373" s="217"/>
      <c r="Q373" s="217"/>
      <c r="R373" s="217"/>
      <c r="S373" s="217"/>
      <c r="T373" s="217"/>
      <c r="U373" s="218"/>
      <c r="V373" s="768"/>
      <c r="W373" s="768"/>
      <c r="X373" s="768"/>
      <c r="Y373" s="768"/>
      <c r="Z373" s="768"/>
      <c r="AA373" s="768"/>
      <c r="AB373" s="768"/>
      <c r="AC373" s="768"/>
      <c r="AD373" s="768"/>
      <c r="AE373" s="768"/>
    </row>
    <row r="374" spans="1:64" s="520" customFormat="1">
      <c r="A374" s="748"/>
      <c r="B374" s="307"/>
      <c r="C374" s="824">
        <f t="shared" si="151"/>
        <v>4</v>
      </c>
      <c r="D374" s="166"/>
      <c r="E374" s="780" t="str">
        <f>VLOOKUP($J374,TOV!$C$85:$G$217,TOV!$E$1,FALSE)</f>
        <v>Larger permanent camp (&gt; 50 persons)  (footprint)</v>
      </c>
      <c r="F374" s="833"/>
      <c r="G374" s="834"/>
      <c r="H374" s="316"/>
      <c r="I374" s="827" t="str">
        <f>VLOOKUP($J374,TOV!$C$85:$G$217,TOV!$G$1,FALSE)</f>
        <v>m2</v>
      </c>
      <c r="J374" s="828" t="str">
        <f>TOV!C189</f>
        <v>#3.105</v>
      </c>
      <c r="K374" s="63">
        <f>VLOOKUP($J374,TOV!$C$85:$G$217,TOV!$F$1,FALSE)</f>
        <v>40.152487718749271</v>
      </c>
      <c r="L374" s="298"/>
      <c r="M374" s="104">
        <f t="shared" si="152"/>
        <v>0</v>
      </c>
      <c r="N374" s="215"/>
      <c r="O374" s="217"/>
      <c r="P374" s="217"/>
      <c r="Q374" s="217"/>
      <c r="R374" s="217"/>
      <c r="S374" s="217"/>
      <c r="T374" s="217"/>
      <c r="U374" s="218"/>
      <c r="V374" s="768"/>
      <c r="W374" s="768"/>
      <c r="X374" s="768"/>
      <c r="Y374" s="768"/>
      <c r="Z374" s="768"/>
      <c r="AA374" s="768"/>
      <c r="AB374" s="768"/>
      <c r="AC374" s="768"/>
      <c r="AD374" s="768"/>
      <c r="AE374" s="768"/>
    </row>
    <row r="375" spans="1:64" s="495" customFormat="1" ht="12.75">
      <c r="A375" s="748"/>
      <c r="B375" s="307"/>
      <c r="C375" s="824">
        <f t="shared" si="151"/>
        <v>5</v>
      </c>
      <c r="D375" s="166"/>
      <c r="E375" s="65"/>
      <c r="F375" s="938"/>
      <c r="G375" s="939"/>
      <c r="H375" s="321"/>
      <c r="I375" s="835" t="s">
        <v>36</v>
      </c>
      <c r="J375" s="768"/>
      <c r="K375" s="518" t="str">
        <f t="shared" ref="K375:K377" si="153">IF(AND(H375&gt;0,OR(L375="",L375=0)),"Enter Rate","No alert")</f>
        <v>No alert</v>
      </c>
      <c r="L375" s="298"/>
      <c r="M375" s="104">
        <f>L375*H375</f>
        <v>0</v>
      </c>
      <c r="N375" s="215"/>
      <c r="O375" s="217"/>
      <c r="P375" s="217"/>
      <c r="Q375" s="217"/>
      <c r="R375" s="217"/>
      <c r="S375" s="217"/>
      <c r="T375" s="217"/>
      <c r="U375" s="218"/>
      <c r="V375" s="829"/>
      <c r="W375" s="829"/>
      <c r="X375" s="829"/>
      <c r="Y375" s="829"/>
      <c r="Z375" s="829"/>
      <c r="AA375" s="829"/>
      <c r="AB375" s="829"/>
      <c r="AC375" s="829"/>
      <c r="AH375" s="520"/>
      <c r="BK375" s="520"/>
      <c r="BL375" s="520"/>
    </row>
    <row r="376" spans="1:64" s="495" customFormat="1" ht="12.75">
      <c r="A376" s="748"/>
      <c r="B376" s="307"/>
      <c r="C376" s="824">
        <f t="shared" si="151"/>
        <v>6</v>
      </c>
      <c r="D376" s="166"/>
      <c r="E376" s="65"/>
      <c r="F376" s="938"/>
      <c r="G376" s="939"/>
      <c r="H376" s="321"/>
      <c r="I376" s="835" t="s">
        <v>36</v>
      </c>
      <c r="J376" s="768"/>
      <c r="K376" s="518" t="str">
        <f t="shared" si="153"/>
        <v>No alert</v>
      </c>
      <c r="L376" s="298"/>
      <c r="M376" s="104">
        <f t="shared" ref="M376:M377" si="154">L376*H376</f>
        <v>0</v>
      </c>
      <c r="N376" s="215"/>
      <c r="O376" s="217"/>
      <c r="P376" s="217"/>
      <c r="Q376" s="217"/>
      <c r="R376" s="217"/>
      <c r="S376" s="217"/>
      <c r="T376" s="217"/>
      <c r="U376" s="218"/>
      <c r="V376" s="829"/>
      <c r="W376" s="829"/>
      <c r="X376" s="829"/>
      <c r="Y376" s="829"/>
      <c r="Z376" s="829"/>
      <c r="AA376" s="829"/>
      <c r="AB376" s="829"/>
      <c r="AC376" s="829"/>
      <c r="AH376" s="520"/>
      <c r="BK376" s="520"/>
      <c r="BL376" s="520"/>
    </row>
    <row r="377" spans="1:64" s="495" customFormat="1" ht="12.75">
      <c r="A377" s="748"/>
      <c r="B377" s="307"/>
      <c r="C377" s="824">
        <f t="shared" si="151"/>
        <v>7</v>
      </c>
      <c r="D377" s="166"/>
      <c r="E377" s="65"/>
      <c r="F377" s="938"/>
      <c r="G377" s="939"/>
      <c r="H377" s="321"/>
      <c r="I377" s="835" t="s">
        <v>36</v>
      </c>
      <c r="J377" s="768"/>
      <c r="K377" s="518" t="str">
        <f t="shared" si="153"/>
        <v>No alert</v>
      </c>
      <c r="L377" s="298"/>
      <c r="M377" s="104">
        <f t="shared" si="154"/>
        <v>0</v>
      </c>
      <c r="N377" s="215"/>
      <c r="O377" s="217"/>
      <c r="P377" s="217"/>
      <c r="Q377" s="217"/>
      <c r="R377" s="217"/>
      <c r="S377" s="217"/>
      <c r="T377" s="217"/>
      <c r="U377" s="218"/>
      <c r="V377" s="829"/>
      <c r="W377" s="829"/>
      <c r="X377" s="829"/>
      <c r="Y377" s="829"/>
      <c r="Z377" s="829"/>
      <c r="AA377" s="829"/>
      <c r="AB377" s="829"/>
      <c r="AC377" s="829"/>
      <c r="AH377" s="520"/>
      <c r="BK377" s="520"/>
      <c r="BL377" s="520"/>
    </row>
    <row r="378" spans="1:64" s="520" customFormat="1" ht="18" customHeight="1">
      <c r="A378" s="748"/>
      <c r="F378" s="768"/>
      <c r="G378" s="768"/>
      <c r="H378" s="868"/>
      <c r="I378" s="768"/>
      <c r="J378" s="768"/>
      <c r="K378" s="768"/>
      <c r="L378" s="768"/>
      <c r="M378" s="791"/>
      <c r="N378" s="768"/>
      <c r="O378" s="768"/>
      <c r="P378" s="768"/>
      <c r="Q378" s="768"/>
      <c r="R378" s="768"/>
      <c r="S378" s="768"/>
      <c r="T378" s="768"/>
      <c r="U378" s="768"/>
      <c r="V378" s="768"/>
      <c r="W378" s="768"/>
      <c r="X378" s="768"/>
      <c r="Y378" s="768"/>
      <c r="Z378" s="768"/>
      <c r="AA378" s="791"/>
      <c r="AB378" s="791"/>
      <c r="AC378" s="791"/>
      <c r="AD378" s="791"/>
      <c r="AE378" s="768"/>
      <c r="AF378" s="768"/>
      <c r="AG378" s="768"/>
      <c r="AH378" s="768"/>
      <c r="AI378" s="768"/>
      <c r="AJ378" s="768"/>
      <c r="AK378" s="768"/>
    </row>
    <row r="379" spans="1:64" s="520" customFormat="1" ht="18" customHeight="1">
      <c r="A379" s="748"/>
      <c r="F379" s="768"/>
      <c r="G379" s="768"/>
      <c r="H379" s="372">
        <f>SUM(H370:H378)</f>
        <v>0</v>
      </c>
      <c r="I379" s="902" t="s">
        <v>36</v>
      </c>
      <c r="K379" s="789"/>
      <c r="L379" s="789" t="s">
        <v>75</v>
      </c>
      <c r="M379" s="107">
        <f>SUM(M369:M378)</f>
        <v>0</v>
      </c>
      <c r="N379" s="797">
        <f>IF(H379=0,0,M379/H379)</f>
        <v>0</v>
      </c>
      <c r="O379" s="520" t="str">
        <f>I379</f>
        <v>m2</v>
      </c>
      <c r="P379" s="768"/>
      <c r="Q379" s="768"/>
      <c r="R379" s="734"/>
      <c r="S379" s="734"/>
      <c r="T379" s="734"/>
      <c r="U379" s="768"/>
      <c r="V379" s="768"/>
      <c r="W379" s="768"/>
      <c r="X379" s="768"/>
      <c r="Y379" s="768"/>
      <c r="Z379" s="768"/>
      <c r="AA379" s="791"/>
      <c r="AB379" s="791"/>
      <c r="AC379" s="791"/>
      <c r="AD379" s="791"/>
      <c r="AE379" s="768"/>
      <c r="AF379" s="768"/>
      <c r="AG379" s="768"/>
      <c r="AH379" s="768"/>
      <c r="AI379" s="768"/>
      <c r="AJ379" s="768"/>
      <c r="AK379" s="768"/>
    </row>
    <row r="380" spans="1:64" s="520" customFormat="1" ht="15" customHeight="1">
      <c r="A380" s="748"/>
      <c r="G380" s="768"/>
      <c r="H380" s="768"/>
      <c r="I380" s="768"/>
      <c r="J380" s="768"/>
      <c r="K380" s="768"/>
      <c r="L380" s="768"/>
      <c r="M380" s="768"/>
      <c r="N380" s="768"/>
      <c r="O380" s="768"/>
      <c r="P380" s="768"/>
      <c r="Q380" s="768"/>
      <c r="R380" s="768"/>
      <c r="S380" s="768"/>
      <c r="T380" s="768"/>
      <c r="U380" s="918"/>
      <c r="V380" s="918"/>
      <c r="W380" s="918"/>
      <c r="X380" s="918"/>
      <c r="Y380" s="918"/>
      <c r="Z380" s="918"/>
      <c r="AA380" s="918"/>
      <c r="AB380" s="918"/>
      <c r="AC380" s="918"/>
      <c r="AD380" s="918"/>
      <c r="AE380" s="918"/>
      <c r="AF380" s="918"/>
      <c r="AG380" s="918"/>
      <c r="AH380" s="918"/>
      <c r="AI380" s="918"/>
      <c r="AJ380" s="918"/>
      <c r="AK380" s="768"/>
    </row>
    <row r="381" spans="1:64" s="520" customFormat="1" ht="18" customHeight="1">
      <c r="A381" s="748"/>
      <c r="B381" s="287" t="s">
        <v>26</v>
      </c>
      <c r="C381" s="820" t="s">
        <v>1732</v>
      </c>
      <c r="D381" s="816"/>
      <c r="F381" s="793"/>
      <c r="G381" s="768"/>
      <c r="H381" s="768"/>
      <c r="I381" s="768"/>
      <c r="J381" s="768"/>
      <c r="K381" s="768"/>
      <c r="L381" s="768"/>
      <c r="M381" s="768"/>
      <c r="N381" s="768"/>
      <c r="O381" s="768"/>
      <c r="P381" s="768"/>
      <c r="Q381" s="768"/>
      <c r="R381" s="768"/>
      <c r="S381" s="768"/>
      <c r="T381" s="768"/>
      <c r="U381" s="768"/>
      <c r="V381" s="768"/>
      <c r="W381" s="768"/>
      <c r="X381" s="768"/>
      <c r="Y381" s="768"/>
      <c r="Z381" s="768"/>
      <c r="AA381" s="768"/>
      <c r="AB381" s="768"/>
      <c r="AC381" s="768"/>
      <c r="AD381" s="768"/>
      <c r="AE381" s="768"/>
    </row>
    <row r="382" spans="1:64" s="495" customFormat="1" ht="31.9" customHeight="1">
      <c r="A382" s="748"/>
      <c r="B382" s="774" t="s">
        <v>1517</v>
      </c>
      <c r="C382" s="774" t="s">
        <v>27</v>
      </c>
      <c r="D382" s="821" t="s">
        <v>1733</v>
      </c>
      <c r="E382" s="812" t="s">
        <v>111</v>
      </c>
      <c r="F382" s="822"/>
      <c r="G382" s="822"/>
      <c r="H382" s="823" t="s">
        <v>1734</v>
      </c>
      <c r="I382" s="773" t="s">
        <v>2</v>
      </c>
      <c r="J382" s="773" t="s">
        <v>1585</v>
      </c>
      <c r="K382" s="773" t="s">
        <v>1549</v>
      </c>
      <c r="L382" s="773" t="s">
        <v>1586</v>
      </c>
      <c r="M382" s="775" t="s">
        <v>1587</v>
      </c>
      <c r="N382" s="776" t="s">
        <v>1526</v>
      </c>
      <c r="O382" s="777"/>
      <c r="P382" s="777"/>
      <c r="Q382" s="777"/>
      <c r="R382" s="777"/>
      <c r="S382" s="777"/>
      <c r="T382" s="777"/>
      <c r="U382" s="778"/>
      <c r="V382" s="793"/>
      <c r="W382" s="793"/>
      <c r="AI382" s="520"/>
      <c r="AJ382" s="520"/>
      <c r="BH382" s="520"/>
      <c r="BI382" s="520"/>
    </row>
    <row r="383" spans="1:64" s="520" customFormat="1" ht="18" customHeight="1">
      <c r="A383" s="748"/>
      <c r="B383" s="768"/>
      <c r="C383" s="768"/>
      <c r="D383" s="768"/>
      <c r="E383" s="768"/>
      <c r="F383" s="768"/>
      <c r="G383" s="768"/>
      <c r="H383" s="868"/>
      <c r="I383" s="768"/>
      <c r="J383" s="768"/>
      <c r="K383" s="768"/>
      <c r="L383" s="768"/>
      <c r="M383" s="768"/>
      <c r="N383" s="748"/>
      <c r="O383" s="474"/>
      <c r="P383" s="474"/>
      <c r="Q383" s="474"/>
      <c r="R383" s="474"/>
      <c r="S383" s="474"/>
      <c r="T383" s="474"/>
      <c r="U383" s="779"/>
      <c r="V383" s="768"/>
      <c r="W383" s="768"/>
      <c r="X383" s="768"/>
      <c r="Y383" s="768"/>
      <c r="Z383" s="768"/>
      <c r="AA383" s="768"/>
      <c r="AB383" s="768"/>
      <c r="AC383" s="768"/>
      <c r="AD383" s="768"/>
      <c r="AE383" s="768"/>
    </row>
    <row r="384" spans="1:64" s="520" customFormat="1">
      <c r="A384" s="748"/>
      <c r="B384" s="307"/>
      <c r="C384" s="824">
        <v>1</v>
      </c>
      <c r="D384" s="166"/>
      <c r="E384" s="780" t="str">
        <f>VLOOKUP($J384,TOV!$C$85:$G$217,TOV!$E$1,FALSE)</f>
        <v>Small, Brick wall, Steel roof, Concrete floor, 1 floors</v>
      </c>
      <c r="F384" s="833"/>
      <c r="G384" s="834"/>
      <c r="H384" s="316"/>
      <c r="I384" s="827" t="str">
        <f>VLOOKUP($J384,TOV!$C$85:$G$217,TOV!$G$1,FALSE)</f>
        <v>m2</v>
      </c>
      <c r="J384" s="828" t="str">
        <f>TOV!C151</f>
        <v>#3.67</v>
      </c>
      <c r="K384" s="63">
        <f>VLOOKUP($J384,TOV!$C$85:$G$217,TOV!$F$1,FALSE)</f>
        <v>121.23121089594002</v>
      </c>
      <c r="L384" s="420"/>
      <c r="M384" s="104">
        <f>IF(L384="",K384,L384)*H384</f>
        <v>0</v>
      </c>
      <c r="N384" s="215"/>
      <c r="O384" s="217"/>
      <c r="P384" s="217"/>
      <c r="Q384" s="217"/>
      <c r="R384" s="217"/>
      <c r="S384" s="217"/>
      <c r="T384" s="217"/>
      <c r="U384" s="218"/>
      <c r="V384" s="768"/>
      <c r="W384" s="768"/>
      <c r="X384" s="768"/>
      <c r="Y384" s="768"/>
      <c r="Z384" s="768"/>
      <c r="AA384" s="768"/>
      <c r="AB384" s="768"/>
      <c r="AC384" s="768"/>
      <c r="AD384" s="768"/>
      <c r="AE384" s="768"/>
    </row>
    <row r="385" spans="1:64" s="520" customFormat="1">
      <c r="A385" s="748"/>
      <c r="B385" s="307"/>
      <c r="C385" s="824">
        <f t="shared" ref="C385:C391" si="155">C384+1</f>
        <v>2</v>
      </c>
      <c r="D385" s="166"/>
      <c r="E385" s="780" t="str">
        <f>VLOOKUP($J385,TOV!$C$85:$G$217,TOV!$E$1,FALSE)</f>
        <v>Large, Brick wall, Steel roof, Concrete floor, 1 floors</v>
      </c>
      <c r="F385" s="833"/>
      <c r="G385" s="834"/>
      <c r="H385" s="316"/>
      <c r="I385" s="827" t="str">
        <f>VLOOKUP($J385,TOV!$C$85:$G$217,TOV!$G$1,FALSE)</f>
        <v>m2</v>
      </c>
      <c r="J385" s="828" t="str">
        <f>TOV!C152</f>
        <v>#3.68</v>
      </c>
      <c r="K385" s="63">
        <f>VLOOKUP($J385,TOV!$C$85:$G$217,TOV!$F$1,FALSE)</f>
        <v>72.832105464525398</v>
      </c>
      <c r="L385" s="420"/>
      <c r="M385" s="104">
        <f t="shared" ref="M385:M388" si="156">IF(L385="",K385,L385)*H385</f>
        <v>0</v>
      </c>
      <c r="N385" s="215"/>
      <c r="O385" s="217"/>
      <c r="P385" s="217"/>
      <c r="Q385" s="217"/>
      <c r="R385" s="217"/>
      <c r="S385" s="217"/>
      <c r="T385" s="217"/>
      <c r="U385" s="218"/>
      <c r="V385" s="768"/>
      <c r="W385" s="768"/>
      <c r="X385" s="768"/>
      <c r="Y385" s="768"/>
      <c r="Z385" s="768"/>
      <c r="AA385" s="768"/>
      <c r="AB385" s="768"/>
      <c r="AC385" s="768"/>
      <c r="AD385" s="768"/>
      <c r="AE385" s="768"/>
    </row>
    <row r="386" spans="1:64" s="520" customFormat="1">
      <c r="A386" s="748"/>
      <c r="B386" s="307"/>
      <c r="C386" s="824">
        <f t="shared" si="155"/>
        <v>3</v>
      </c>
      <c r="D386" s="166"/>
      <c r="E386" s="780" t="str">
        <f>VLOOKUP($J386,TOV!$C$85:$G$217,TOV!$E$1,FALSE)</f>
        <v>Large, Steel wall, Steel roof, Concrete floor, 1 floors</v>
      </c>
      <c r="F386" s="833"/>
      <c r="G386" s="834"/>
      <c r="H386" s="316"/>
      <c r="I386" s="827" t="str">
        <f>VLOOKUP($J386,TOV!$C$85:$G$217,TOV!$G$1,FALSE)</f>
        <v>m2</v>
      </c>
      <c r="J386" s="828" t="str">
        <f>TOV!C153</f>
        <v>#3.69</v>
      </c>
      <c r="K386" s="63">
        <f>VLOOKUP($J386,TOV!$C$85:$G$217,TOV!$F$1,FALSE)</f>
        <v>87.175165675294593</v>
      </c>
      <c r="L386" s="420"/>
      <c r="M386" s="104">
        <f t="shared" si="156"/>
        <v>0</v>
      </c>
      <c r="N386" s="215"/>
      <c r="O386" s="217"/>
      <c r="P386" s="217"/>
      <c r="Q386" s="217"/>
      <c r="R386" s="217"/>
      <c r="S386" s="217"/>
      <c r="T386" s="217"/>
      <c r="U386" s="218"/>
      <c r="V386" s="768"/>
      <c r="W386" s="768"/>
      <c r="X386" s="768"/>
      <c r="Y386" s="768"/>
      <c r="Z386" s="768"/>
      <c r="AA386" s="768"/>
      <c r="AB386" s="768"/>
      <c r="AC386" s="768"/>
      <c r="AD386" s="768"/>
      <c r="AE386" s="768"/>
    </row>
    <row r="387" spans="1:64" s="520" customFormat="1">
      <c r="A387" s="748"/>
      <c r="B387" s="307"/>
      <c r="C387" s="824">
        <f t="shared" si="155"/>
        <v>4</v>
      </c>
      <c r="D387" s="166"/>
      <c r="E387" s="780" t="str">
        <f>VLOOKUP($J387,TOV!$C$85:$G$217,TOV!$E$1,FALSE)</f>
        <v>Small, Steel wall, Steel roof, Concrete floor, 1 floors</v>
      </c>
      <c r="F387" s="833"/>
      <c r="G387" s="834"/>
      <c r="H387" s="316"/>
      <c r="I387" s="827" t="str">
        <f>VLOOKUP($J387,TOV!$C$85:$G$217,TOV!$G$1,FALSE)</f>
        <v>m2</v>
      </c>
      <c r="J387" s="828" t="str">
        <f>TOV!C154</f>
        <v>#3.70</v>
      </c>
      <c r="K387" s="63">
        <f>VLOOKUP($J387,TOV!$C$85:$G$217,TOV!$F$1,FALSE)</f>
        <v>129.68674164884723</v>
      </c>
      <c r="L387" s="420"/>
      <c r="M387" s="104">
        <f t="shared" si="156"/>
        <v>0</v>
      </c>
      <c r="N387" s="215"/>
      <c r="O387" s="217"/>
      <c r="P387" s="217"/>
      <c r="Q387" s="217"/>
      <c r="R387" s="217"/>
      <c r="S387" s="217"/>
      <c r="T387" s="217"/>
      <c r="U387" s="218"/>
      <c r="V387" s="768"/>
      <c r="W387" s="768"/>
      <c r="X387" s="768"/>
      <c r="Y387" s="768"/>
      <c r="Z387" s="768"/>
      <c r="AA387" s="768"/>
      <c r="AB387" s="768"/>
      <c r="AC387" s="768"/>
      <c r="AD387" s="768"/>
      <c r="AE387" s="768"/>
    </row>
    <row r="388" spans="1:64" s="520" customFormat="1">
      <c r="A388" s="748"/>
      <c r="B388" s="307"/>
      <c r="C388" s="824">
        <f t="shared" si="155"/>
        <v>5</v>
      </c>
      <c r="D388" s="166"/>
      <c r="E388" s="780" t="str">
        <f>VLOOKUP($J388,TOV!$C$85:$G$217,TOV!$E$1,FALSE)</f>
        <v>Large, Steel wall, Steel roof, Concrete floor, 2 floors</v>
      </c>
      <c r="F388" s="833"/>
      <c r="G388" s="834"/>
      <c r="H388" s="316"/>
      <c r="I388" s="827" t="str">
        <f>VLOOKUP($J388,TOV!$C$85:$G$217,TOV!$G$1,FALSE)</f>
        <v>m2</v>
      </c>
      <c r="J388" s="828" t="str">
        <f>TOV!C155</f>
        <v>#3.71</v>
      </c>
      <c r="K388" s="63">
        <f>VLOOKUP($J388,TOV!$C$85:$G$217,TOV!$F$1,FALSE)</f>
        <v>138.9720843131789</v>
      </c>
      <c r="L388" s="420"/>
      <c r="M388" s="104">
        <f t="shared" si="156"/>
        <v>0</v>
      </c>
      <c r="N388" s="215"/>
      <c r="O388" s="217"/>
      <c r="P388" s="217"/>
      <c r="Q388" s="217"/>
      <c r="R388" s="217"/>
      <c r="S388" s="217"/>
      <c r="T388" s="217"/>
      <c r="U388" s="218"/>
      <c r="V388" s="768"/>
      <c r="W388" s="768"/>
      <c r="X388" s="768"/>
      <c r="Y388" s="768"/>
      <c r="Z388" s="768"/>
      <c r="AA388" s="768"/>
      <c r="AB388" s="768"/>
      <c r="AC388" s="768"/>
      <c r="AD388" s="768"/>
      <c r="AE388" s="768"/>
    </row>
    <row r="389" spans="1:64" s="495" customFormat="1" ht="12.75">
      <c r="A389" s="748"/>
      <c r="B389" s="307"/>
      <c r="C389" s="824">
        <f t="shared" si="155"/>
        <v>6</v>
      </c>
      <c r="D389" s="166"/>
      <c r="E389" s="65"/>
      <c r="F389" s="938"/>
      <c r="G389" s="939"/>
      <c r="H389" s="321"/>
      <c r="I389" s="33" t="s">
        <v>36</v>
      </c>
      <c r="J389" s="768"/>
      <c r="K389" s="518" t="str">
        <f t="shared" ref="K389:K391" si="157">IF(AND(H389&gt;0,OR(L389="",L389=0)),"Enter Rate","No alert")</f>
        <v>No alert</v>
      </c>
      <c r="L389" s="420"/>
      <c r="M389" s="104">
        <f>L389*H389</f>
        <v>0</v>
      </c>
      <c r="N389" s="215"/>
      <c r="O389" s="217"/>
      <c r="P389" s="217"/>
      <c r="Q389" s="217"/>
      <c r="R389" s="217"/>
      <c r="S389" s="217"/>
      <c r="T389" s="217"/>
      <c r="U389" s="218"/>
      <c r="V389" s="829"/>
      <c r="W389" s="829"/>
      <c r="X389" s="829"/>
      <c r="Y389" s="829"/>
      <c r="Z389" s="829"/>
      <c r="AA389" s="829"/>
      <c r="AB389" s="829"/>
      <c r="AC389" s="829"/>
      <c r="AH389" s="520"/>
      <c r="BK389" s="520"/>
      <c r="BL389" s="520"/>
    </row>
    <row r="390" spans="1:64" s="495" customFormat="1" ht="12.75">
      <c r="A390" s="748"/>
      <c r="B390" s="307"/>
      <c r="C390" s="824">
        <f t="shared" si="155"/>
        <v>7</v>
      </c>
      <c r="D390" s="166"/>
      <c r="E390" s="65"/>
      <c r="F390" s="938"/>
      <c r="G390" s="939"/>
      <c r="H390" s="321"/>
      <c r="I390" s="33"/>
      <c r="J390" s="768"/>
      <c r="K390" s="518" t="str">
        <f t="shared" si="157"/>
        <v>No alert</v>
      </c>
      <c r="L390" s="420"/>
      <c r="M390" s="104">
        <f t="shared" ref="M390:M391" si="158">L390*H390</f>
        <v>0</v>
      </c>
      <c r="N390" s="215"/>
      <c r="O390" s="217"/>
      <c r="P390" s="217"/>
      <c r="Q390" s="217"/>
      <c r="R390" s="217"/>
      <c r="S390" s="217"/>
      <c r="T390" s="217"/>
      <c r="U390" s="218"/>
      <c r="V390" s="829"/>
      <c r="W390" s="829"/>
      <c r="X390" s="829"/>
      <c r="Y390" s="829"/>
      <c r="Z390" s="829"/>
      <c r="AA390" s="829"/>
      <c r="AB390" s="829"/>
      <c r="AC390" s="829"/>
      <c r="AH390" s="520"/>
      <c r="BK390" s="520"/>
      <c r="BL390" s="520"/>
    </row>
    <row r="391" spans="1:64" s="495" customFormat="1" ht="12.75">
      <c r="A391" s="748"/>
      <c r="B391" s="307"/>
      <c r="C391" s="824">
        <f t="shared" si="155"/>
        <v>8</v>
      </c>
      <c r="D391" s="166"/>
      <c r="E391" s="65"/>
      <c r="F391" s="938"/>
      <c r="G391" s="939"/>
      <c r="H391" s="321"/>
      <c r="I391" s="33"/>
      <c r="J391" s="768"/>
      <c r="K391" s="518" t="str">
        <f t="shared" si="157"/>
        <v>No alert</v>
      </c>
      <c r="L391" s="420"/>
      <c r="M391" s="104">
        <f t="shared" si="158"/>
        <v>0</v>
      </c>
      <c r="N391" s="215"/>
      <c r="O391" s="217"/>
      <c r="P391" s="217"/>
      <c r="Q391" s="217"/>
      <c r="R391" s="217"/>
      <c r="S391" s="217"/>
      <c r="T391" s="217"/>
      <c r="U391" s="218"/>
      <c r="V391" s="829"/>
      <c r="W391" s="829"/>
      <c r="X391" s="829"/>
      <c r="Y391" s="829"/>
      <c r="Z391" s="829"/>
      <c r="AA391" s="829"/>
      <c r="AB391" s="829"/>
      <c r="AC391" s="829"/>
      <c r="AH391" s="520"/>
      <c r="BK391" s="520"/>
      <c r="BL391" s="520"/>
    </row>
    <row r="392" spans="1:64" s="520" customFormat="1" ht="18" customHeight="1">
      <c r="A392" s="748"/>
      <c r="F392" s="768"/>
      <c r="G392" s="768"/>
      <c r="H392" s="868"/>
      <c r="I392" s="768"/>
      <c r="J392" s="768"/>
      <c r="K392" s="768"/>
      <c r="L392" s="768"/>
      <c r="M392" s="791"/>
      <c r="N392" s="768"/>
      <c r="O392" s="768"/>
      <c r="P392" s="768"/>
      <c r="Q392" s="768"/>
      <c r="R392" s="768"/>
      <c r="S392" s="768"/>
      <c r="T392" s="768"/>
      <c r="U392" s="768"/>
      <c r="V392" s="768"/>
      <c r="W392" s="768"/>
      <c r="X392" s="768"/>
      <c r="Y392" s="768"/>
      <c r="Z392" s="768"/>
      <c r="AA392" s="791"/>
      <c r="AB392" s="791"/>
      <c r="AC392" s="791"/>
      <c r="AD392" s="791"/>
      <c r="AE392" s="768"/>
      <c r="AF392" s="768"/>
      <c r="AG392" s="768"/>
      <c r="AH392" s="768"/>
      <c r="AI392" s="768"/>
      <c r="AJ392" s="768"/>
      <c r="AK392" s="768"/>
    </row>
    <row r="393" spans="1:64" s="520" customFormat="1" ht="18" customHeight="1">
      <c r="A393" s="748"/>
      <c r="E393" s="768"/>
      <c r="F393" s="768"/>
      <c r="G393" s="768"/>
      <c r="H393" s="372">
        <f>SUM(H383:H392)</f>
        <v>0</v>
      </c>
      <c r="I393" s="902" t="s">
        <v>36</v>
      </c>
      <c r="K393" s="789"/>
      <c r="L393" s="789" t="s">
        <v>75</v>
      </c>
      <c r="M393" s="107">
        <f>SUM(M382:M392)</f>
        <v>0</v>
      </c>
      <c r="N393" s="797">
        <f>IF(H393=0,0,M393/H393)</f>
        <v>0</v>
      </c>
      <c r="O393" s="925" t="str">
        <f>I393</f>
        <v>m2</v>
      </c>
      <c r="P393" s="768"/>
      <c r="Q393" s="768"/>
      <c r="R393" s="734"/>
      <c r="S393" s="734"/>
      <c r="T393" s="734"/>
      <c r="U393" s="768"/>
      <c r="V393" s="768"/>
      <c r="W393" s="768"/>
      <c r="X393" s="768"/>
      <c r="Y393" s="768"/>
      <c r="Z393" s="768"/>
      <c r="AA393" s="791"/>
      <c r="AB393" s="791"/>
      <c r="AC393" s="791"/>
      <c r="AD393" s="791"/>
      <c r="AE393" s="768"/>
      <c r="AF393" s="768"/>
      <c r="AG393" s="768"/>
      <c r="AH393" s="768"/>
      <c r="AI393" s="768"/>
      <c r="AJ393" s="768"/>
      <c r="AK393" s="768"/>
    </row>
    <row r="394" spans="1:64" s="520" customFormat="1" ht="15" customHeight="1">
      <c r="A394" s="748"/>
      <c r="G394" s="768"/>
      <c r="H394" s="768"/>
      <c r="I394" s="768"/>
      <c r="J394" s="768"/>
      <c r="K394" s="768"/>
      <c r="L394" s="768"/>
      <c r="M394" s="768"/>
      <c r="N394" s="768"/>
      <c r="O394" s="768"/>
      <c r="P394" s="768"/>
      <c r="Q394" s="768"/>
      <c r="R394" s="768"/>
      <c r="S394" s="768"/>
      <c r="T394" s="768"/>
      <c r="U394" s="918"/>
      <c r="V394" s="918"/>
      <c r="W394" s="918"/>
      <c r="X394" s="918"/>
      <c r="Y394" s="918"/>
      <c r="Z394" s="918"/>
      <c r="AA394" s="918"/>
      <c r="AB394" s="918"/>
      <c r="AC394" s="918"/>
      <c r="AD394" s="918"/>
      <c r="AE394" s="918"/>
      <c r="AF394" s="918"/>
      <c r="AG394" s="918"/>
      <c r="AH394" s="918"/>
      <c r="AI394" s="918"/>
      <c r="AJ394" s="918"/>
      <c r="AK394" s="768"/>
    </row>
    <row r="395" spans="1:64" s="520" customFormat="1" ht="18" customHeight="1">
      <c r="A395" s="748"/>
      <c r="B395" s="287" t="s">
        <v>26</v>
      </c>
      <c r="C395" s="820" t="s">
        <v>1735</v>
      </c>
      <c r="D395" s="816"/>
      <c r="F395" s="793"/>
      <c r="G395" s="768"/>
      <c r="I395" s="768"/>
      <c r="J395" s="768"/>
      <c r="K395" s="768"/>
      <c r="L395" s="768"/>
      <c r="M395" s="768"/>
      <c r="N395" s="768"/>
      <c r="O395" s="768"/>
      <c r="P395" s="768"/>
      <c r="Q395" s="768"/>
      <c r="R395" s="768"/>
      <c r="S395" s="768"/>
      <c r="T395" s="768"/>
      <c r="U395" s="768"/>
      <c r="V395" s="768"/>
      <c r="W395" s="768"/>
      <c r="X395" s="768"/>
      <c r="Y395" s="768"/>
      <c r="Z395" s="768"/>
      <c r="AA395" s="768"/>
      <c r="AB395" s="768"/>
      <c r="AC395" s="768"/>
      <c r="AD395" s="768"/>
      <c r="AE395" s="768"/>
    </row>
    <row r="396" spans="1:64" s="495" customFormat="1" ht="31.9" customHeight="1">
      <c r="A396" s="748"/>
      <c r="B396" s="774" t="s">
        <v>1517</v>
      </c>
      <c r="C396" s="774" t="s">
        <v>27</v>
      </c>
      <c r="D396" s="821" t="s">
        <v>1733</v>
      </c>
      <c r="E396" s="812" t="s">
        <v>111</v>
      </c>
      <c r="F396" s="822"/>
      <c r="G396" s="822"/>
      <c r="H396" s="773" t="s">
        <v>244</v>
      </c>
      <c r="I396" s="773" t="s">
        <v>2</v>
      </c>
      <c r="J396" s="773" t="s">
        <v>1585</v>
      </c>
      <c r="K396" s="773" t="s">
        <v>1549</v>
      </c>
      <c r="L396" s="773" t="s">
        <v>1586</v>
      </c>
      <c r="M396" s="775" t="s">
        <v>1587</v>
      </c>
      <c r="N396" s="776" t="s">
        <v>1526</v>
      </c>
      <c r="O396" s="777"/>
      <c r="P396" s="777"/>
      <c r="Q396" s="777"/>
      <c r="R396" s="777"/>
      <c r="S396" s="777"/>
      <c r="T396" s="777"/>
      <c r="U396" s="778"/>
      <c r="V396" s="793"/>
      <c r="W396" s="793"/>
      <c r="AI396" s="520"/>
      <c r="AJ396" s="520"/>
      <c r="BH396" s="520"/>
      <c r="BI396" s="520"/>
    </row>
    <row r="397" spans="1:64" s="520" customFormat="1" ht="18" customHeight="1">
      <c r="A397" s="748"/>
      <c r="B397" s="768"/>
      <c r="C397" s="768"/>
      <c r="D397" s="768"/>
      <c r="E397" s="768"/>
      <c r="F397" s="768"/>
      <c r="G397" s="768"/>
      <c r="H397" s="771" t="s">
        <v>1563</v>
      </c>
      <c r="I397" s="768"/>
      <c r="J397" s="768"/>
      <c r="K397" s="768"/>
      <c r="L397" s="768"/>
      <c r="M397" s="768"/>
      <c r="N397" s="748"/>
      <c r="O397" s="474"/>
      <c r="P397" s="474"/>
      <c r="Q397" s="474"/>
      <c r="R397" s="474"/>
      <c r="S397" s="474"/>
      <c r="T397" s="474"/>
      <c r="U397" s="779"/>
      <c r="V397" s="768"/>
      <c r="W397" s="768"/>
      <c r="X397" s="768"/>
      <c r="Y397" s="768"/>
      <c r="Z397" s="768"/>
      <c r="AA397" s="768"/>
      <c r="AB397" s="768"/>
      <c r="AC397" s="768"/>
      <c r="AD397" s="768"/>
      <c r="AE397" s="768"/>
    </row>
    <row r="398" spans="1:64" s="520" customFormat="1">
      <c r="A398" s="748"/>
      <c r="B398" s="307"/>
      <c r="C398" s="824">
        <v>1</v>
      </c>
      <c r="D398" s="166"/>
      <c r="E398" s="780" t="str">
        <f>VLOOKUP($J398,TOV!$C$85:$G$217,TOV!$E$1,FALSE)</f>
        <v>Portable</v>
      </c>
      <c r="F398" s="833"/>
      <c r="G398" s="834"/>
      <c r="H398" s="78"/>
      <c r="I398" s="827" t="str">
        <f>VLOOKUP($J398,TOV!$C$85:$G$217,TOV!$G$1,FALSE)</f>
        <v>unit</v>
      </c>
      <c r="J398" s="828" t="str">
        <f>TOV!C150</f>
        <v>#3.66</v>
      </c>
      <c r="K398" s="63">
        <f>VLOOKUP($J398,TOV!$C$85:$G$217,TOV!$F$1,FALSE)</f>
        <v>2190.2566697935945</v>
      </c>
      <c r="L398" s="298"/>
      <c r="M398" s="104">
        <f>IF(L398="",K398,L398)*H398</f>
        <v>0</v>
      </c>
      <c r="N398" s="215"/>
      <c r="O398" s="217"/>
      <c r="P398" s="217"/>
      <c r="Q398" s="217"/>
      <c r="R398" s="217"/>
      <c r="S398" s="217"/>
      <c r="T398" s="217"/>
      <c r="U398" s="218"/>
      <c r="V398" s="768"/>
      <c r="W398" s="768"/>
      <c r="X398" s="768"/>
      <c r="Y398" s="768"/>
      <c r="Z398" s="768"/>
      <c r="AA398" s="768"/>
      <c r="AB398" s="768"/>
      <c r="AC398" s="768"/>
      <c r="AD398" s="768"/>
      <c r="AE398" s="768"/>
    </row>
    <row r="399" spans="1:64" s="495" customFormat="1" ht="12.75">
      <c r="A399" s="748"/>
      <c r="B399" s="307"/>
      <c r="C399" s="824">
        <f>C398+1</f>
        <v>2</v>
      </c>
      <c r="D399" s="166"/>
      <c r="E399" s="65"/>
      <c r="F399" s="938"/>
      <c r="G399" s="939"/>
      <c r="H399" s="127"/>
      <c r="I399" s="33"/>
      <c r="J399" s="768"/>
      <c r="K399" s="518" t="str">
        <f t="shared" ref="K399:K401" si="159">IF(AND(H399&gt;0,OR(L399="",L399=0)),"Enter Rate","No alert")</f>
        <v>No alert</v>
      </c>
      <c r="L399" s="298"/>
      <c r="M399" s="104">
        <f>L399*H399</f>
        <v>0</v>
      </c>
      <c r="N399" s="215"/>
      <c r="O399" s="217"/>
      <c r="P399" s="217"/>
      <c r="Q399" s="217"/>
      <c r="R399" s="217"/>
      <c r="S399" s="217"/>
      <c r="T399" s="217"/>
      <c r="U399" s="218"/>
      <c r="V399" s="829"/>
      <c r="W399" s="829"/>
      <c r="X399" s="829"/>
      <c r="Y399" s="829"/>
      <c r="Z399" s="829"/>
      <c r="AA399" s="829"/>
      <c r="AB399" s="829"/>
      <c r="AC399" s="829"/>
      <c r="AH399" s="520"/>
      <c r="BK399" s="520"/>
      <c r="BL399" s="520"/>
    </row>
    <row r="400" spans="1:64" s="495" customFormat="1" ht="12.75">
      <c r="A400" s="748"/>
      <c r="B400" s="307"/>
      <c r="C400" s="824">
        <f>C399+1</f>
        <v>3</v>
      </c>
      <c r="D400" s="166"/>
      <c r="E400" s="65"/>
      <c r="F400" s="938"/>
      <c r="G400" s="939"/>
      <c r="H400" s="127"/>
      <c r="I400" s="33"/>
      <c r="J400" s="768"/>
      <c r="K400" s="518" t="str">
        <f t="shared" si="159"/>
        <v>No alert</v>
      </c>
      <c r="L400" s="298"/>
      <c r="M400" s="104">
        <f t="shared" ref="M400:M401" si="160">L400*H400</f>
        <v>0</v>
      </c>
      <c r="N400" s="215"/>
      <c r="O400" s="217"/>
      <c r="P400" s="217"/>
      <c r="Q400" s="217"/>
      <c r="R400" s="217"/>
      <c r="S400" s="217"/>
      <c r="T400" s="217"/>
      <c r="U400" s="218"/>
      <c r="V400" s="829"/>
      <c r="W400" s="829"/>
      <c r="X400" s="829"/>
      <c r="Y400" s="829"/>
      <c r="Z400" s="829"/>
      <c r="AA400" s="829"/>
      <c r="AB400" s="829"/>
      <c r="AC400" s="829"/>
      <c r="AH400" s="520"/>
      <c r="BK400" s="520"/>
      <c r="BL400" s="520"/>
    </row>
    <row r="401" spans="1:64" s="495" customFormat="1" ht="12.75">
      <c r="A401" s="748"/>
      <c r="B401" s="307"/>
      <c r="C401" s="824">
        <f>C400+1</f>
        <v>4</v>
      </c>
      <c r="D401" s="166"/>
      <c r="E401" s="65"/>
      <c r="F401" s="938"/>
      <c r="G401" s="939"/>
      <c r="H401" s="127"/>
      <c r="I401" s="33"/>
      <c r="J401" s="768"/>
      <c r="K401" s="518" t="str">
        <f t="shared" si="159"/>
        <v>No alert</v>
      </c>
      <c r="L401" s="298"/>
      <c r="M401" s="104">
        <f t="shared" si="160"/>
        <v>0</v>
      </c>
      <c r="N401" s="215"/>
      <c r="O401" s="217"/>
      <c r="P401" s="217"/>
      <c r="Q401" s="217"/>
      <c r="R401" s="217"/>
      <c r="S401" s="217"/>
      <c r="T401" s="217"/>
      <c r="U401" s="218"/>
      <c r="V401" s="829"/>
      <c r="W401" s="829"/>
      <c r="X401" s="829"/>
      <c r="Y401" s="829"/>
      <c r="Z401" s="829"/>
      <c r="AA401" s="829"/>
      <c r="AB401" s="829"/>
      <c r="AC401" s="829"/>
      <c r="AH401" s="520"/>
      <c r="BK401" s="520"/>
      <c r="BL401" s="520"/>
    </row>
    <row r="402" spans="1:64" s="520" customFormat="1" ht="18" customHeight="1">
      <c r="A402" s="748"/>
      <c r="F402" s="768"/>
      <c r="G402" s="768"/>
      <c r="H402" s="924"/>
      <c r="I402" s="768"/>
      <c r="J402" s="768"/>
      <c r="K402" s="768"/>
      <c r="L402" s="768"/>
      <c r="M402" s="791"/>
      <c r="N402" s="791"/>
      <c r="O402" s="791"/>
      <c r="P402" s="791"/>
      <c r="Q402" s="791"/>
      <c r="R402" s="791"/>
      <c r="S402" s="791"/>
      <c r="T402" s="791"/>
      <c r="U402" s="791"/>
      <c r="V402" s="791"/>
      <c r="W402" s="791"/>
      <c r="X402" s="768"/>
      <c r="Y402" s="768"/>
      <c r="Z402" s="768"/>
      <c r="AA402" s="791"/>
      <c r="AB402" s="791"/>
      <c r="AC402" s="791"/>
      <c r="AD402" s="791"/>
      <c r="AE402" s="768"/>
      <c r="AF402" s="768"/>
      <c r="AG402" s="768"/>
      <c r="AH402" s="768"/>
      <c r="AI402" s="768"/>
      <c r="AJ402" s="768"/>
      <c r="AK402" s="768"/>
    </row>
    <row r="403" spans="1:64" s="520" customFormat="1" ht="18" customHeight="1">
      <c r="A403" s="748"/>
      <c r="E403" s="768"/>
      <c r="F403" s="768"/>
      <c r="G403" s="768"/>
      <c r="H403" s="806">
        <f>SUM(H397:H402)</f>
        <v>0</v>
      </c>
      <c r="I403" s="902" t="s">
        <v>94</v>
      </c>
      <c r="K403" s="789"/>
      <c r="L403" s="789" t="s">
        <v>75</v>
      </c>
      <c r="M403" s="107">
        <f>SUM(M396:M402)</f>
        <v>0</v>
      </c>
      <c r="N403" s="797">
        <f>IF(H403=0,0,M403/H403)</f>
        <v>0</v>
      </c>
      <c r="O403" s="925" t="str">
        <f>I403</f>
        <v>item</v>
      </c>
      <c r="P403" s="801"/>
      <c r="Q403" s="801"/>
      <c r="R403" s="734"/>
      <c r="S403" s="734"/>
      <c r="T403" s="734"/>
      <c r="U403" s="768"/>
      <c r="V403" s="768"/>
      <c r="W403" s="768"/>
      <c r="X403" s="768"/>
      <c r="Y403" s="768"/>
      <c r="Z403" s="768"/>
      <c r="AA403" s="791"/>
      <c r="AB403" s="791"/>
      <c r="AC403" s="791"/>
      <c r="AD403" s="791"/>
      <c r="AE403" s="768"/>
      <c r="AF403" s="768"/>
      <c r="AG403" s="768"/>
      <c r="AH403" s="768"/>
      <c r="AI403" s="768"/>
      <c r="AJ403" s="768"/>
      <c r="AK403" s="768"/>
    </row>
    <row r="404" spans="1:64" s="520" customFormat="1" ht="15" customHeight="1">
      <c r="A404" s="748"/>
      <c r="G404" s="768"/>
      <c r="H404" s="768"/>
      <c r="I404" s="768"/>
      <c r="J404" s="768"/>
      <c r="K404" s="768"/>
      <c r="L404" s="768"/>
      <c r="M404" s="768"/>
      <c r="N404" s="801"/>
      <c r="O404" s="801"/>
      <c r="P404" s="801"/>
      <c r="Q404" s="801"/>
      <c r="R404" s="768"/>
      <c r="S404" s="768"/>
      <c r="T404" s="768"/>
      <c r="U404" s="918"/>
      <c r="V404" s="918"/>
      <c r="W404" s="918"/>
      <c r="X404" s="918"/>
      <c r="Y404" s="918"/>
      <c r="Z404" s="918"/>
      <c r="AA404" s="918"/>
      <c r="AB404" s="918"/>
      <c r="AC404" s="918"/>
      <c r="AD404" s="918"/>
      <c r="AE404" s="918"/>
      <c r="AF404" s="918"/>
      <c r="AG404" s="918"/>
      <c r="AH404" s="918"/>
      <c r="AI404" s="918"/>
      <c r="AJ404" s="918"/>
      <c r="AK404" s="768"/>
    </row>
    <row r="405" spans="1:64" s="520" customFormat="1" ht="18" customHeight="1">
      <c r="A405" s="748"/>
      <c r="B405" s="287" t="s">
        <v>26</v>
      </c>
      <c r="C405" s="820" t="s">
        <v>1573</v>
      </c>
      <c r="D405" s="816"/>
      <c r="F405" s="793"/>
      <c r="G405" s="768"/>
      <c r="I405" s="768"/>
      <c r="J405" s="768"/>
      <c r="K405" s="768"/>
      <c r="L405" s="768"/>
      <c r="M405" s="768"/>
      <c r="N405" s="801"/>
      <c r="O405" s="801"/>
      <c r="P405" s="801"/>
      <c r="Q405" s="801"/>
      <c r="R405" s="768"/>
      <c r="S405" s="768"/>
      <c r="T405" s="768"/>
      <c r="U405" s="768"/>
      <c r="V405" s="768"/>
      <c r="W405" s="768"/>
      <c r="X405" s="768"/>
      <c r="Y405" s="768"/>
      <c r="Z405" s="768"/>
      <c r="AA405" s="768"/>
      <c r="AB405" s="768"/>
      <c r="AC405" s="768"/>
      <c r="AD405" s="768"/>
      <c r="AE405" s="768"/>
    </row>
    <row r="406" spans="1:64" s="495" customFormat="1" ht="31.9" customHeight="1">
      <c r="A406" s="748"/>
      <c r="B406" s="774" t="s">
        <v>1517</v>
      </c>
      <c r="C406" s="774" t="s">
        <v>27</v>
      </c>
      <c r="D406" s="821" t="s">
        <v>1583</v>
      </c>
      <c r="E406" s="812" t="s">
        <v>1736</v>
      </c>
      <c r="F406" s="822"/>
      <c r="G406" s="823"/>
      <c r="H406" s="823" t="s">
        <v>244</v>
      </c>
      <c r="I406" s="773" t="s">
        <v>2</v>
      </c>
      <c r="J406" s="773" t="s">
        <v>1585</v>
      </c>
      <c r="K406" s="773" t="s">
        <v>1549</v>
      </c>
      <c r="L406" s="773" t="s">
        <v>1586</v>
      </c>
      <c r="M406" s="775" t="s">
        <v>1587</v>
      </c>
      <c r="N406" s="776" t="s">
        <v>1526</v>
      </c>
      <c r="O406" s="777"/>
      <c r="P406" s="777"/>
      <c r="Q406" s="777"/>
      <c r="R406" s="777"/>
      <c r="S406" s="777"/>
      <c r="T406" s="777"/>
      <c r="U406" s="778"/>
      <c r="V406" s="793"/>
      <c r="W406" s="793"/>
      <c r="AI406" s="520"/>
      <c r="AJ406" s="520"/>
      <c r="BH406" s="520"/>
      <c r="BI406" s="520"/>
    </row>
    <row r="407" spans="1:64" s="520" customFormat="1" ht="18" customHeight="1">
      <c r="A407" s="748"/>
      <c r="B407" s="768"/>
      <c r="C407" s="768"/>
      <c r="D407" s="768"/>
      <c r="E407" s="768"/>
      <c r="F407" s="768"/>
      <c r="G407" s="768"/>
      <c r="H407" s="771" t="s">
        <v>1563</v>
      </c>
      <c r="I407" s="768"/>
      <c r="J407" s="768"/>
      <c r="K407" s="768"/>
      <c r="L407" s="768"/>
      <c r="M407" s="768"/>
      <c r="N407" s="748"/>
      <c r="O407" s="474"/>
      <c r="P407" s="474"/>
      <c r="Q407" s="474"/>
      <c r="R407" s="474"/>
      <c r="S407" s="474"/>
      <c r="T407" s="474"/>
      <c r="U407" s="779"/>
      <c r="V407" s="768"/>
      <c r="W407" s="768"/>
      <c r="X407" s="768"/>
      <c r="Y407" s="768"/>
      <c r="Z407" s="768"/>
      <c r="AA407" s="768"/>
      <c r="AB407" s="768"/>
      <c r="AC407" s="768"/>
      <c r="AD407" s="768"/>
      <c r="AE407" s="768"/>
    </row>
    <row r="408" spans="1:64" s="520" customFormat="1">
      <c r="A408" s="748"/>
      <c r="B408" s="307"/>
      <c r="C408" s="824">
        <v>1</v>
      </c>
      <c r="D408" s="166"/>
      <c r="E408" s="780" t="str">
        <f>VLOOKUP($J408,TOV!$C$85:$G$217,TOV!$E$1,FALSE)</f>
        <v>Communications Tower</v>
      </c>
      <c r="F408" s="833"/>
      <c r="G408" s="834"/>
      <c r="H408" s="78"/>
      <c r="I408" s="827" t="str">
        <f>VLOOKUP($J408,TOV!$C$85:$G$217,TOV!$G$1,FALSE)</f>
        <v>tower</v>
      </c>
      <c r="J408" s="828" t="str">
        <f>TOV!$C$190</f>
        <v>#3.106</v>
      </c>
      <c r="K408" s="63">
        <f>VLOOKUP($J408,TOV!$C$85:$G$217,TOV!$F$1,FALSE)</f>
        <v>30188.568716351067</v>
      </c>
      <c r="L408" s="298"/>
      <c r="M408" s="104">
        <f>IF(L408="",K408,L408)*H408</f>
        <v>0</v>
      </c>
      <c r="N408" s="215"/>
      <c r="O408" s="217"/>
      <c r="P408" s="217"/>
      <c r="Q408" s="217"/>
      <c r="R408" s="217"/>
      <c r="S408" s="217"/>
      <c r="T408" s="217"/>
      <c r="U408" s="218"/>
      <c r="V408" s="768"/>
      <c r="W408" s="768"/>
      <c r="X408" s="768"/>
      <c r="Y408" s="768"/>
      <c r="Z408" s="768"/>
      <c r="AA408" s="768"/>
      <c r="AB408" s="768"/>
      <c r="AC408" s="768"/>
      <c r="AD408" s="768"/>
      <c r="AE408" s="768"/>
    </row>
    <row r="409" spans="1:64" s="520" customFormat="1">
      <c r="A409" s="748"/>
      <c r="B409" s="307"/>
      <c r="C409" s="824">
        <v>2</v>
      </c>
      <c r="D409" s="166"/>
      <c r="E409" s="65"/>
      <c r="F409" s="938"/>
      <c r="G409" s="939"/>
      <c r="H409" s="78"/>
      <c r="I409" s="33"/>
      <c r="J409" s="768"/>
      <c r="K409" s="518" t="str">
        <f t="shared" ref="K409:K411" si="161">IF(AND(H409&gt;0,OR(L409="",L409=0)),"Enter Rate","No alert")</f>
        <v>No alert</v>
      </c>
      <c r="L409" s="298"/>
      <c r="M409" s="104">
        <f>L409*H409</f>
        <v>0</v>
      </c>
      <c r="N409" s="215"/>
      <c r="O409" s="217"/>
      <c r="P409" s="217"/>
      <c r="Q409" s="217"/>
      <c r="R409" s="217"/>
      <c r="S409" s="217"/>
      <c r="T409" s="217"/>
      <c r="U409" s="218"/>
      <c r="V409" s="768"/>
      <c r="W409" s="768"/>
      <c r="X409" s="768"/>
      <c r="Y409" s="768"/>
      <c r="Z409" s="768"/>
      <c r="AA409" s="768"/>
      <c r="AB409" s="768"/>
      <c r="AC409" s="768"/>
      <c r="AD409" s="768"/>
      <c r="AE409" s="768"/>
    </row>
    <row r="410" spans="1:64" s="495" customFormat="1" ht="12.75">
      <c r="A410" s="748"/>
      <c r="B410" s="307"/>
      <c r="C410" s="824">
        <v>3</v>
      </c>
      <c r="D410" s="166"/>
      <c r="E410" s="65"/>
      <c r="F410" s="938"/>
      <c r="G410" s="939"/>
      <c r="H410" s="127"/>
      <c r="I410" s="33"/>
      <c r="J410" s="768"/>
      <c r="K410" s="518" t="str">
        <f t="shared" si="161"/>
        <v>No alert</v>
      </c>
      <c r="L410" s="298"/>
      <c r="M410" s="104">
        <f t="shared" ref="M410:M411" si="162">L410*H410</f>
        <v>0</v>
      </c>
      <c r="N410" s="215"/>
      <c r="O410" s="217"/>
      <c r="P410" s="217"/>
      <c r="Q410" s="217"/>
      <c r="R410" s="217"/>
      <c r="S410" s="217"/>
      <c r="T410" s="217"/>
      <c r="U410" s="218"/>
      <c r="V410" s="829"/>
      <c r="W410" s="829"/>
      <c r="X410" s="829"/>
      <c r="Y410" s="829"/>
      <c r="Z410" s="829"/>
      <c r="AA410" s="829"/>
      <c r="AB410" s="829"/>
      <c r="AC410" s="829"/>
      <c r="AH410" s="520"/>
      <c r="BK410" s="520"/>
      <c r="BL410" s="520"/>
    </row>
    <row r="411" spans="1:64" s="495" customFormat="1" ht="12.75">
      <c r="A411" s="748"/>
      <c r="B411" s="307"/>
      <c r="C411" s="824">
        <v>4</v>
      </c>
      <c r="D411" s="166"/>
      <c r="E411" s="65"/>
      <c r="F411" s="938"/>
      <c r="G411" s="939"/>
      <c r="H411" s="127"/>
      <c r="I411" s="33"/>
      <c r="J411" s="768"/>
      <c r="K411" s="518" t="str">
        <f t="shared" si="161"/>
        <v>No alert</v>
      </c>
      <c r="L411" s="298"/>
      <c r="M411" s="104">
        <f t="shared" si="162"/>
        <v>0</v>
      </c>
      <c r="N411" s="215"/>
      <c r="O411" s="217"/>
      <c r="P411" s="217"/>
      <c r="Q411" s="217"/>
      <c r="R411" s="217"/>
      <c r="S411" s="217"/>
      <c r="T411" s="217"/>
      <c r="U411" s="218"/>
      <c r="V411" s="829"/>
      <c r="W411" s="829"/>
      <c r="X411" s="829"/>
      <c r="Y411" s="829"/>
      <c r="Z411" s="829"/>
      <c r="AA411" s="829"/>
      <c r="AB411" s="829"/>
      <c r="AC411" s="829"/>
      <c r="AH411" s="520"/>
      <c r="BK411" s="520"/>
      <c r="BL411" s="520"/>
    </row>
    <row r="412" spans="1:64" s="520" customFormat="1" ht="18" customHeight="1">
      <c r="B412" s="912"/>
      <c r="C412" s="912"/>
      <c r="F412" s="768"/>
      <c r="G412" s="768"/>
      <c r="H412" s="924"/>
      <c r="I412" s="768"/>
      <c r="J412" s="768"/>
      <c r="K412" s="768"/>
      <c r="L412" s="768"/>
      <c r="M412" s="791"/>
      <c r="N412" s="801"/>
      <c r="O412" s="801"/>
      <c r="P412" s="801"/>
      <c r="Q412" s="801"/>
      <c r="R412" s="768"/>
      <c r="S412" s="768"/>
      <c r="T412" s="768"/>
      <c r="U412" s="768"/>
      <c r="V412" s="768"/>
      <c r="W412" s="768"/>
      <c r="X412" s="768"/>
      <c r="Y412" s="768"/>
      <c r="Z412" s="768"/>
      <c r="AA412" s="791"/>
      <c r="AB412" s="791"/>
      <c r="AC412" s="791"/>
      <c r="AD412" s="791"/>
      <c r="AE412" s="768"/>
      <c r="AF412" s="768"/>
      <c r="AG412" s="768"/>
      <c r="AH412" s="768"/>
      <c r="AI412" s="768"/>
      <c r="AJ412" s="768"/>
      <c r="AK412" s="768"/>
    </row>
    <row r="413" spans="1:64" s="520" customFormat="1" ht="18" customHeight="1">
      <c r="E413" s="768"/>
      <c r="F413" s="768"/>
      <c r="G413" s="768"/>
      <c r="H413" s="806">
        <f>SUM(H407:H412)</f>
        <v>0</v>
      </c>
      <c r="I413" s="902" t="s">
        <v>1487</v>
      </c>
      <c r="K413" s="789"/>
      <c r="L413" s="789" t="s">
        <v>75</v>
      </c>
      <c r="M413" s="107">
        <f>SUM(M406:M412)</f>
        <v>0</v>
      </c>
      <c r="N413" s="797">
        <f>IF(H413=0,0,M413/H413)</f>
        <v>0</v>
      </c>
      <c r="O413" s="925" t="s">
        <v>94</v>
      </c>
      <c r="P413" s="801"/>
      <c r="Q413" s="801"/>
      <c r="R413" s="768"/>
      <c r="S413" s="768"/>
      <c r="T413" s="768"/>
      <c r="U413" s="768"/>
      <c r="V413" s="768"/>
      <c r="W413" s="768"/>
      <c r="X413" s="768"/>
      <c r="AF413" s="768"/>
      <c r="AG413" s="768"/>
      <c r="AH413" s="768"/>
      <c r="AI413" s="768"/>
      <c r="AJ413" s="768"/>
      <c r="AK413" s="768"/>
      <c r="AL413" s="768"/>
      <c r="AM413" s="768"/>
      <c r="AN413" s="768"/>
      <c r="AO413" s="768"/>
      <c r="AP413" s="768"/>
    </row>
    <row r="414" spans="1:64" s="520" customFormat="1" ht="15" customHeight="1">
      <c r="I414" s="768"/>
      <c r="L414" s="768"/>
      <c r="M414" s="768"/>
      <c r="N414" s="801"/>
      <c r="O414" s="801"/>
      <c r="P414" s="801"/>
      <c r="Q414" s="801"/>
      <c r="T414" s="736"/>
      <c r="U414" s="768"/>
      <c r="V414" s="768"/>
    </row>
    <row r="415" spans="1:64" s="520" customFormat="1" ht="18" customHeight="1">
      <c r="B415" s="287" t="s">
        <v>26</v>
      </c>
      <c r="C415" s="820" t="s">
        <v>1574</v>
      </c>
      <c r="D415" s="816"/>
      <c r="F415" s="793"/>
      <c r="G415" s="768"/>
      <c r="H415" s="768"/>
      <c r="I415" s="768"/>
      <c r="J415" s="768"/>
      <c r="K415" s="768"/>
      <c r="L415" s="768"/>
      <c r="M415" s="768"/>
      <c r="N415" s="801"/>
      <c r="O415" s="801"/>
      <c r="P415" s="801"/>
      <c r="Q415" s="801"/>
      <c r="R415" s="768"/>
      <c r="S415" s="768"/>
      <c r="T415" s="768"/>
      <c r="U415" s="768"/>
      <c r="V415" s="768"/>
      <c r="W415" s="768"/>
      <c r="X415" s="768"/>
      <c r="Y415" s="768"/>
      <c r="Z415" s="768"/>
      <c r="AA415" s="768"/>
      <c r="AB415" s="768"/>
      <c r="AC415" s="768"/>
      <c r="AD415" s="768"/>
      <c r="AE415" s="768"/>
    </row>
    <row r="416" spans="1:64" s="495" customFormat="1" ht="31.9" customHeight="1">
      <c r="A416" s="875"/>
      <c r="B416" s="774" t="s">
        <v>1517</v>
      </c>
      <c r="C416" s="774" t="s">
        <v>27</v>
      </c>
      <c r="D416" s="821" t="s">
        <v>1583</v>
      </c>
      <c r="E416" s="812" t="s">
        <v>111</v>
      </c>
      <c r="F416" s="822"/>
      <c r="G416" s="823"/>
      <c r="H416" s="823" t="s">
        <v>244</v>
      </c>
      <c r="I416" s="773" t="s">
        <v>2</v>
      </c>
      <c r="J416" s="773" t="s">
        <v>1585</v>
      </c>
      <c r="K416" s="773" t="s">
        <v>1549</v>
      </c>
      <c r="L416" s="773" t="s">
        <v>1586</v>
      </c>
      <c r="M416" s="775" t="s">
        <v>1587</v>
      </c>
      <c r="N416" s="776" t="s">
        <v>1526</v>
      </c>
      <c r="O416" s="777"/>
      <c r="P416" s="777"/>
      <c r="Q416" s="777"/>
      <c r="R416" s="777"/>
      <c r="S416" s="777"/>
      <c r="T416" s="777"/>
      <c r="U416" s="778"/>
      <c r="V416" s="793"/>
      <c r="W416" s="793"/>
      <c r="AI416" s="520"/>
      <c r="AJ416" s="520"/>
      <c r="BH416" s="520"/>
      <c r="BI416" s="520"/>
    </row>
    <row r="417" spans="1:61" s="520" customFormat="1" ht="18" customHeight="1">
      <c r="A417" s="768"/>
      <c r="B417" s="768"/>
      <c r="C417" s="768"/>
      <c r="D417" s="768"/>
      <c r="E417" s="768"/>
      <c r="F417" s="768"/>
      <c r="G417" s="768"/>
      <c r="H417" s="768"/>
      <c r="I417" s="768"/>
      <c r="J417" s="768"/>
      <c r="K417" s="768"/>
      <c r="L417" s="768"/>
      <c r="M417" s="768"/>
      <c r="N417" s="748"/>
      <c r="O417" s="474"/>
      <c r="P417" s="474"/>
      <c r="Q417" s="474"/>
      <c r="R417" s="474"/>
      <c r="S417" s="474"/>
      <c r="T417" s="474"/>
      <c r="U417" s="779"/>
      <c r="V417" s="768"/>
      <c r="W417" s="768"/>
      <c r="X417" s="768"/>
      <c r="Y417" s="768"/>
      <c r="Z417" s="768"/>
      <c r="AA417" s="768"/>
      <c r="AB417" s="768"/>
      <c r="AC417" s="768"/>
      <c r="AD417" s="768"/>
      <c r="AE417" s="768"/>
    </row>
    <row r="418" spans="1:61" s="520" customFormat="1">
      <c r="B418" s="307"/>
      <c r="C418" s="824">
        <v>1</v>
      </c>
      <c r="D418" s="166"/>
      <c r="E418" s="780" t="str">
        <f>VLOOKUP($J418,TOV!$C$85:$G$217,TOV!$E$1,FALSE)</f>
        <v>Overhead powerlines (steel towers)</v>
      </c>
      <c r="F418" s="833"/>
      <c r="G418" s="834"/>
      <c r="H418" s="316"/>
      <c r="I418" s="827" t="str">
        <f>VLOOKUP($J418,TOV!$C$85:$G$217,TOV!$G$1,FALSE)</f>
        <v>km</v>
      </c>
      <c r="J418" s="828" t="str">
        <f>TOV!$C191</f>
        <v>#3.107</v>
      </c>
      <c r="K418" s="63">
        <f>VLOOKUP($J418,TOV!$C$85:$G$217,TOV!$F$1,FALSE)</f>
        <v>25555.744573689983</v>
      </c>
      <c r="L418" s="298"/>
      <c r="M418" s="104">
        <f>IF(L418="",K418,L418)*H418</f>
        <v>0</v>
      </c>
      <c r="N418" s="215"/>
      <c r="O418" s="217"/>
      <c r="P418" s="217"/>
      <c r="Q418" s="217"/>
      <c r="R418" s="217"/>
      <c r="S418" s="217"/>
      <c r="T418" s="217"/>
      <c r="U418" s="218"/>
      <c r="V418" s="768"/>
      <c r="W418" s="768"/>
      <c r="X418" s="768"/>
      <c r="Y418" s="768"/>
      <c r="Z418" s="768"/>
      <c r="AA418" s="768"/>
      <c r="AB418" s="768"/>
      <c r="AC418" s="768"/>
      <c r="AD418" s="768"/>
      <c r="AE418" s="768"/>
    </row>
    <row r="419" spans="1:61" s="520" customFormat="1">
      <c r="B419" s="307"/>
      <c r="C419" s="824">
        <v>2</v>
      </c>
      <c r="D419" s="166"/>
      <c r="E419" s="780" t="str">
        <f>VLOOKUP($J419,TOV!$C$85:$G$217,TOV!$E$1,FALSE)</f>
        <v>Overhead powerlines (wooden poles)</v>
      </c>
      <c r="F419" s="833"/>
      <c r="G419" s="834"/>
      <c r="H419" s="316"/>
      <c r="I419" s="827" t="str">
        <f>VLOOKUP($J419,TOV!$C$85:$G$217,TOV!$G$1,FALSE)</f>
        <v>km</v>
      </c>
      <c r="J419" s="828" t="str">
        <f>TOV!$C192</f>
        <v>#3.108</v>
      </c>
      <c r="K419" s="63">
        <f>VLOOKUP($J419,TOV!$C$85:$G$217,TOV!$F$1,FALSE)</f>
        <v>18053.342161838649</v>
      </c>
      <c r="L419" s="298"/>
      <c r="M419" s="104">
        <f t="shared" ref="M419:M422" si="163">IF(L419="",K419,L419)*H419</f>
        <v>0</v>
      </c>
      <c r="N419" s="215"/>
      <c r="O419" s="217"/>
      <c r="P419" s="217"/>
      <c r="Q419" s="217"/>
      <c r="R419" s="217"/>
      <c r="S419" s="217"/>
      <c r="T419" s="217"/>
      <c r="U419" s="218"/>
      <c r="V419" s="768"/>
      <c r="W419" s="768"/>
      <c r="X419" s="768"/>
      <c r="Y419" s="768"/>
      <c r="Z419" s="768"/>
      <c r="AA419" s="768"/>
      <c r="AB419" s="768"/>
      <c r="AC419" s="768"/>
      <c r="AD419" s="768"/>
      <c r="AE419" s="768"/>
    </row>
    <row r="420" spans="1:61" s="520" customFormat="1">
      <c r="B420" s="307"/>
      <c r="C420" s="824">
        <v>3</v>
      </c>
      <c r="D420" s="166"/>
      <c r="E420" s="780" t="str">
        <f>VLOOKUP($J420,TOV!$C$85:$G$217,TOV!$E$1,FALSE)</f>
        <v>Overhead powerlines (concrete poles)</v>
      </c>
      <c r="F420" s="833"/>
      <c r="G420" s="834"/>
      <c r="H420" s="316"/>
      <c r="I420" s="827" t="str">
        <f>VLOOKUP($J420,TOV!$C$85:$G$217,TOV!$G$1,FALSE)</f>
        <v>km</v>
      </c>
      <c r="J420" s="828" t="str">
        <f>TOV!$C193</f>
        <v>#3.109</v>
      </c>
      <c r="K420" s="63">
        <f>VLOOKUP($J420,TOV!$C$85:$G$217,TOV!$F$1,FALSE)</f>
        <v>27685.49059499495</v>
      </c>
      <c r="L420" s="298"/>
      <c r="M420" s="104">
        <f t="shared" si="163"/>
        <v>0</v>
      </c>
      <c r="N420" s="215"/>
      <c r="O420" s="217"/>
      <c r="P420" s="217"/>
      <c r="Q420" s="217"/>
      <c r="R420" s="217"/>
      <c r="S420" s="217"/>
      <c r="T420" s="217"/>
      <c r="U420" s="218"/>
      <c r="V420" s="768"/>
      <c r="W420" s="768"/>
      <c r="X420" s="768"/>
      <c r="Y420" s="768"/>
      <c r="Z420" s="768"/>
      <c r="AA420" s="768"/>
      <c r="AB420" s="768"/>
      <c r="AC420" s="768"/>
      <c r="AD420" s="768"/>
      <c r="AE420" s="768"/>
    </row>
    <row r="421" spans="1:61" s="520" customFormat="1">
      <c r="B421" s="307"/>
      <c r="C421" s="824">
        <v>4</v>
      </c>
      <c r="D421" s="166"/>
      <c r="E421" s="780" t="str">
        <f>VLOOKUP($J421,TOV!$C$85:$G$217,TOV!$E$1,FALSE)</f>
        <v>Substation</v>
      </c>
      <c r="F421" s="833"/>
      <c r="G421" s="834"/>
      <c r="H421" s="316"/>
      <c r="I421" s="827" t="str">
        <f>VLOOKUP($J421,TOV!$C$85:$G$217,TOV!$G$1,FALSE)</f>
        <v>m2</v>
      </c>
      <c r="J421" s="828" t="str">
        <f>TOV!$C194</f>
        <v>#3.110</v>
      </c>
      <c r="K421" s="63">
        <f>VLOOKUP($J421,TOV!$C$85:$G$217,TOV!$F$1,FALSE)</f>
        <v>660</v>
      </c>
      <c r="L421" s="298"/>
      <c r="M421" s="104">
        <f t="shared" si="163"/>
        <v>0</v>
      </c>
      <c r="N421" s="215"/>
      <c r="O421" s="217"/>
      <c r="P421" s="217"/>
      <c r="Q421" s="217"/>
      <c r="R421" s="217"/>
      <c r="S421" s="217"/>
      <c r="T421" s="217"/>
      <c r="U421" s="218"/>
      <c r="V421" s="768"/>
      <c r="W421" s="768"/>
      <c r="X421" s="768"/>
      <c r="Y421" s="768"/>
      <c r="Z421" s="768"/>
      <c r="AA421" s="768"/>
      <c r="AB421" s="768"/>
      <c r="AC421" s="768"/>
      <c r="AD421" s="768"/>
      <c r="AE421" s="768"/>
    </row>
    <row r="422" spans="1:61" s="520" customFormat="1">
      <c r="B422" s="307"/>
      <c r="C422" s="824">
        <v>5</v>
      </c>
      <c r="D422" s="166"/>
      <c r="E422" s="780" t="str">
        <f>VLOOKUP($J422,TOV!$C$85:$G$217,TOV!$E$1,FALSE)</f>
        <v>Switchyard</v>
      </c>
      <c r="F422" s="833"/>
      <c r="G422" s="834"/>
      <c r="H422" s="316"/>
      <c r="I422" s="827" t="str">
        <f>VLOOKUP($J422,TOV!$C$85:$G$217,TOV!$G$1,FALSE)</f>
        <v>m2</v>
      </c>
      <c r="J422" s="828" t="str">
        <f>TOV!$C195</f>
        <v>#3.111</v>
      </c>
      <c r="K422" s="63">
        <f>VLOOKUP($J422,TOV!$C$85:$G$217,TOV!$F$1,FALSE)</f>
        <v>60.500000000000007</v>
      </c>
      <c r="L422" s="298"/>
      <c r="M422" s="104">
        <f t="shared" si="163"/>
        <v>0</v>
      </c>
      <c r="N422" s="215"/>
      <c r="O422" s="217"/>
      <c r="P422" s="217"/>
      <c r="Q422" s="217"/>
      <c r="R422" s="217"/>
      <c r="S422" s="217"/>
      <c r="T422" s="217"/>
      <c r="U422" s="218"/>
      <c r="V422" s="768"/>
      <c r="W422" s="768"/>
      <c r="X422" s="768"/>
      <c r="Y422" s="768"/>
      <c r="Z422" s="768"/>
      <c r="AA422" s="768"/>
      <c r="AB422" s="768"/>
      <c r="AC422" s="768"/>
      <c r="AD422" s="768"/>
      <c r="AE422" s="768"/>
    </row>
    <row r="423" spans="1:61" s="520" customFormat="1">
      <c r="B423" s="307"/>
      <c r="C423" s="824">
        <v>6</v>
      </c>
      <c r="D423" s="166"/>
      <c r="E423" s="65"/>
      <c r="F423" s="938"/>
      <c r="G423" s="939"/>
      <c r="H423" s="327"/>
      <c r="I423" s="47"/>
      <c r="J423" s="768"/>
      <c r="K423" s="518" t="str">
        <f t="shared" ref="K423:K425" si="164">IF(AND(H423&gt;0,OR(L423="",L423=0)),"Enter Rate","No alert")</f>
        <v>No alert</v>
      </c>
      <c r="L423" s="298"/>
      <c r="M423" s="104">
        <f>L423*H423</f>
        <v>0</v>
      </c>
      <c r="N423" s="215"/>
      <c r="O423" s="217"/>
      <c r="P423" s="217"/>
      <c r="Q423" s="217"/>
      <c r="R423" s="217"/>
      <c r="S423" s="217"/>
      <c r="T423" s="217"/>
      <c r="U423" s="218"/>
      <c r="V423" s="768"/>
      <c r="W423" s="768"/>
      <c r="X423" s="768"/>
      <c r="Y423" s="768"/>
      <c r="Z423" s="768"/>
      <c r="AA423" s="768"/>
      <c r="AB423" s="768"/>
      <c r="AC423" s="768"/>
      <c r="AD423" s="768"/>
      <c r="AE423" s="768"/>
    </row>
    <row r="424" spans="1:61" s="520" customFormat="1">
      <c r="B424" s="307"/>
      <c r="C424" s="824">
        <v>7</v>
      </c>
      <c r="D424" s="166"/>
      <c r="E424" s="65"/>
      <c r="F424" s="938"/>
      <c r="G424" s="939"/>
      <c r="H424" s="327"/>
      <c r="I424" s="47"/>
      <c r="J424" s="768"/>
      <c r="K424" s="518" t="str">
        <f t="shared" si="164"/>
        <v>No alert</v>
      </c>
      <c r="L424" s="298"/>
      <c r="M424" s="104">
        <f t="shared" ref="M424:M425" si="165">L424*H424</f>
        <v>0</v>
      </c>
      <c r="N424" s="215"/>
      <c r="O424" s="217"/>
      <c r="P424" s="217"/>
      <c r="Q424" s="217"/>
      <c r="R424" s="217"/>
      <c r="S424" s="217"/>
      <c r="T424" s="217"/>
      <c r="U424" s="218"/>
      <c r="V424" s="768"/>
      <c r="W424" s="768"/>
      <c r="X424" s="768"/>
      <c r="Y424" s="768"/>
      <c r="Z424" s="768"/>
      <c r="AA424" s="768"/>
      <c r="AB424" s="768"/>
      <c r="AC424" s="768"/>
      <c r="AD424" s="768"/>
      <c r="AE424" s="768"/>
    </row>
    <row r="425" spans="1:61" s="520" customFormat="1">
      <c r="B425" s="307"/>
      <c r="C425" s="824">
        <v>8</v>
      </c>
      <c r="D425" s="166"/>
      <c r="E425" s="65"/>
      <c r="F425" s="938"/>
      <c r="G425" s="939"/>
      <c r="H425" s="327"/>
      <c r="I425" s="47"/>
      <c r="J425" s="768"/>
      <c r="K425" s="518" t="str">
        <f t="shared" si="164"/>
        <v>No alert</v>
      </c>
      <c r="L425" s="298"/>
      <c r="M425" s="104">
        <f t="shared" si="165"/>
        <v>0</v>
      </c>
      <c r="N425" s="215"/>
      <c r="O425" s="217"/>
      <c r="P425" s="217"/>
      <c r="Q425" s="217"/>
      <c r="R425" s="217"/>
      <c r="S425" s="217"/>
      <c r="T425" s="217"/>
      <c r="U425" s="218"/>
      <c r="V425" s="768"/>
      <c r="W425" s="768"/>
      <c r="X425" s="768"/>
      <c r="Y425" s="768"/>
      <c r="Z425" s="768"/>
      <c r="AA425" s="768"/>
      <c r="AB425" s="768"/>
      <c r="AC425" s="768"/>
      <c r="AD425" s="768"/>
      <c r="AE425" s="768"/>
    </row>
    <row r="426" spans="1:61" s="520" customFormat="1" ht="18" customHeight="1">
      <c r="A426" s="768"/>
      <c r="B426" s="926"/>
      <c r="C426" s="926"/>
      <c r="D426" s="768"/>
      <c r="E426" s="768"/>
      <c r="F426" s="768"/>
      <c r="G426" s="768"/>
      <c r="H426" s="868"/>
      <c r="I426" s="768"/>
      <c r="J426" s="768"/>
      <c r="K426" s="768"/>
      <c r="L426" s="768"/>
      <c r="M426" s="791"/>
      <c r="N426" s="801"/>
      <c r="O426" s="801"/>
      <c r="P426" s="801"/>
      <c r="Q426" s="801"/>
      <c r="R426" s="768"/>
      <c r="S426" s="768"/>
      <c r="T426" s="768"/>
      <c r="U426" s="768"/>
      <c r="V426" s="768"/>
      <c r="W426" s="768"/>
      <c r="X426" s="768"/>
      <c r="AF426" s="768"/>
      <c r="AG426" s="768"/>
      <c r="AH426" s="768"/>
      <c r="AI426" s="768"/>
      <c r="AJ426" s="768"/>
      <c r="AK426" s="768"/>
      <c r="AL426" s="768"/>
      <c r="AM426" s="768"/>
      <c r="AN426" s="768"/>
      <c r="AO426" s="768"/>
      <c r="AP426" s="768"/>
    </row>
    <row r="427" spans="1:61" s="520" customFormat="1" ht="18" customHeight="1">
      <c r="E427" s="768"/>
      <c r="F427" s="768"/>
      <c r="G427" s="768"/>
      <c r="H427" s="372">
        <f>SUM(H417:H426)</f>
        <v>0</v>
      </c>
      <c r="I427" s="902" t="s">
        <v>1495</v>
      </c>
      <c r="J427" s="927"/>
      <c r="K427" s="789"/>
      <c r="L427" s="789" t="s">
        <v>75</v>
      </c>
      <c r="M427" s="107">
        <f>SUM(M416:M426)</f>
        <v>0</v>
      </c>
      <c r="N427" s="797">
        <f>IF(H427=0,0,M427/H427)</f>
        <v>0</v>
      </c>
      <c r="O427" s="925" t="str">
        <f>I427</f>
        <v>mix</v>
      </c>
      <c r="P427" s="801"/>
      <c r="Q427" s="801"/>
      <c r="R427" s="768"/>
      <c r="S427" s="768"/>
      <c r="T427" s="768"/>
      <c r="U427" s="768"/>
      <c r="V427" s="768"/>
      <c r="W427" s="768"/>
      <c r="X427" s="768"/>
      <c r="AF427" s="768"/>
      <c r="AG427" s="768"/>
      <c r="AH427" s="768"/>
      <c r="AI427" s="768"/>
      <c r="AJ427" s="768"/>
      <c r="AK427" s="768"/>
      <c r="AL427" s="768"/>
      <c r="AM427" s="768"/>
      <c r="AN427" s="768"/>
      <c r="AO427" s="768"/>
      <c r="AP427" s="768"/>
    </row>
    <row r="428" spans="1:61" s="520" customFormat="1" ht="15" customHeight="1">
      <c r="H428" s="768"/>
      <c r="I428" s="768"/>
      <c r="J428" s="768"/>
      <c r="L428" s="768"/>
      <c r="M428" s="768"/>
      <c r="N428" s="801"/>
      <c r="O428" s="801"/>
      <c r="P428" s="801"/>
      <c r="Q428" s="801"/>
      <c r="T428" s="736"/>
      <c r="U428" s="768"/>
      <c r="V428" s="768"/>
    </row>
    <row r="429" spans="1:61" s="520" customFormat="1" ht="12" customHeight="1">
      <c r="G429" s="768"/>
      <c r="H429" s="768"/>
      <c r="I429" s="768"/>
      <c r="J429" s="768"/>
      <c r="K429" s="768"/>
      <c r="L429" s="768"/>
      <c r="M429" s="768"/>
      <c r="N429" s="801"/>
      <c r="O429" s="801"/>
      <c r="P429" s="801"/>
      <c r="Q429" s="801"/>
      <c r="R429" s="768"/>
      <c r="S429" s="768"/>
      <c r="T429" s="768"/>
      <c r="U429" s="768"/>
      <c r="V429" s="768"/>
      <c r="W429" s="768"/>
      <c r="X429" s="768"/>
      <c r="AF429" s="768"/>
      <c r="AG429" s="768"/>
      <c r="AH429" s="768"/>
      <c r="AI429" s="768"/>
      <c r="AJ429" s="768"/>
      <c r="AK429" s="768"/>
      <c r="AL429" s="768"/>
      <c r="AM429" s="768"/>
      <c r="AN429" s="768"/>
      <c r="AO429" s="768"/>
      <c r="AP429" s="768"/>
    </row>
    <row r="430" spans="1:61" s="520" customFormat="1" ht="12" customHeight="1">
      <c r="E430" s="768"/>
      <c r="F430" s="768"/>
      <c r="G430" s="768"/>
      <c r="H430" s="768"/>
      <c r="I430" s="768"/>
      <c r="J430" s="768"/>
      <c r="K430" s="768"/>
      <c r="L430" s="768"/>
      <c r="M430" s="768"/>
      <c r="N430" s="801"/>
      <c r="O430" s="801"/>
      <c r="P430" s="801"/>
      <c r="Q430" s="801"/>
      <c r="R430" s="768"/>
      <c r="S430" s="768"/>
      <c r="T430" s="768"/>
      <c r="U430" s="768"/>
      <c r="V430" s="768"/>
      <c r="W430" s="768"/>
      <c r="X430" s="768"/>
      <c r="Y430" s="768"/>
      <c r="Z430" s="768"/>
      <c r="AA430" s="768"/>
      <c r="AB430" s="768"/>
      <c r="AC430" s="768"/>
      <c r="AD430" s="768"/>
      <c r="AE430" s="768"/>
      <c r="AF430" s="768"/>
      <c r="AG430" s="768"/>
      <c r="AH430" s="768"/>
      <c r="AI430" s="768"/>
      <c r="AJ430" s="768"/>
    </row>
    <row r="431" spans="1:61" s="520" customFormat="1" ht="18" customHeight="1">
      <c r="B431" s="287" t="s">
        <v>26</v>
      </c>
      <c r="C431" s="820" t="s">
        <v>1737</v>
      </c>
      <c r="D431" s="816"/>
      <c r="E431" s="928"/>
      <c r="F431" s="793"/>
      <c r="G431" s="768"/>
      <c r="H431" s="768"/>
      <c r="I431" s="768"/>
      <c r="J431" s="768"/>
      <c r="K431" s="768"/>
      <c r="L431" s="768"/>
      <c r="M431" s="768"/>
      <c r="N431" s="801"/>
      <c r="O431" s="801"/>
      <c r="P431" s="801"/>
      <c r="Q431" s="801"/>
      <c r="R431" s="768"/>
      <c r="S431" s="768"/>
      <c r="T431" s="768"/>
      <c r="U431" s="768"/>
      <c r="V431" s="768"/>
      <c r="W431" s="768"/>
      <c r="X431" s="768"/>
      <c r="Y431" s="768"/>
      <c r="Z431" s="768"/>
      <c r="AA431" s="768"/>
      <c r="AB431" s="768"/>
      <c r="AC431" s="768"/>
      <c r="AD431" s="768"/>
      <c r="AE431" s="768"/>
    </row>
    <row r="432" spans="1:61" s="495" customFormat="1" ht="31.9" customHeight="1">
      <c r="A432" s="875"/>
      <c r="B432" s="774" t="s">
        <v>1517</v>
      </c>
      <c r="C432" s="774" t="s">
        <v>27</v>
      </c>
      <c r="D432" s="821" t="s">
        <v>1583</v>
      </c>
      <c r="E432" s="812" t="s">
        <v>111</v>
      </c>
      <c r="F432" s="822"/>
      <c r="G432" s="823"/>
      <c r="H432" s="823" t="s">
        <v>77</v>
      </c>
      <c r="I432" s="773" t="s">
        <v>2</v>
      </c>
      <c r="J432" s="773" t="s">
        <v>1585</v>
      </c>
      <c r="K432" s="773" t="s">
        <v>1549</v>
      </c>
      <c r="L432" s="773" t="s">
        <v>1586</v>
      </c>
      <c r="M432" s="775" t="s">
        <v>1587</v>
      </c>
      <c r="N432" s="776" t="s">
        <v>1526</v>
      </c>
      <c r="O432" s="777"/>
      <c r="P432" s="777"/>
      <c r="Q432" s="777"/>
      <c r="R432" s="777"/>
      <c r="S432" s="777"/>
      <c r="T432" s="777"/>
      <c r="U432" s="778"/>
      <c r="V432" s="793"/>
      <c r="W432" s="793"/>
      <c r="AI432" s="520"/>
      <c r="AJ432" s="520"/>
      <c r="BH432" s="520"/>
      <c r="BI432" s="520"/>
    </row>
    <row r="433" spans="1:37" s="520" customFormat="1" ht="18" customHeight="1">
      <c r="A433" s="768"/>
      <c r="B433" s="768"/>
      <c r="C433" s="768"/>
      <c r="D433" s="768"/>
      <c r="E433" s="768"/>
      <c r="F433" s="768"/>
      <c r="G433" s="768"/>
      <c r="H433" s="768"/>
      <c r="I433" s="768"/>
      <c r="J433" s="768"/>
      <c r="K433" s="768"/>
      <c r="L433" s="768"/>
      <c r="M433" s="768"/>
      <c r="N433" s="748"/>
      <c r="O433" s="474"/>
      <c r="P433" s="474"/>
      <c r="Q433" s="474"/>
      <c r="R433" s="474"/>
      <c r="S433" s="474"/>
      <c r="T433" s="474"/>
      <c r="U433" s="779"/>
      <c r="V433" s="768"/>
      <c r="W433" s="768"/>
      <c r="X433" s="768"/>
      <c r="Y433" s="768"/>
      <c r="Z433" s="768"/>
      <c r="AA433" s="768"/>
      <c r="AB433" s="768"/>
      <c r="AC433" s="768"/>
      <c r="AD433" s="768"/>
      <c r="AE433" s="768"/>
    </row>
    <row r="434" spans="1:37" s="520" customFormat="1">
      <c r="B434" s="307"/>
      <c r="C434" s="824">
        <v>1</v>
      </c>
      <c r="D434" s="166"/>
      <c r="E434" s="780" t="str">
        <f>VLOOKUP($J434,TOV!$C$85:$G$217,TOV!$E$1,FALSE)</f>
        <v>Remove bitumen (aprons, sealed areas) for dumping in a void on-site</v>
      </c>
      <c r="F434" s="825"/>
      <c r="G434" s="826"/>
      <c r="H434" s="316"/>
      <c r="I434" s="827" t="str">
        <f>VLOOKUP($J434,TOV!$C$85:$G$217,TOV!$G$1,FALSE)</f>
        <v>m2</v>
      </c>
      <c r="J434" s="828" t="str">
        <f>TOV!C207</f>
        <v>#3.123</v>
      </c>
      <c r="K434" s="63">
        <f>VLOOKUP($J434,TOV!$C$85:$G$217,TOV!$F$1,FALSE)</f>
        <v>10</v>
      </c>
      <c r="L434" s="298"/>
      <c r="M434" s="104">
        <f>IF(L434="",K434,L434)*H434</f>
        <v>0</v>
      </c>
      <c r="N434" s="215"/>
      <c r="O434" s="217"/>
      <c r="P434" s="217"/>
      <c r="Q434" s="217"/>
      <c r="R434" s="217"/>
      <c r="S434" s="217"/>
      <c r="T434" s="217"/>
      <c r="U434" s="218"/>
      <c r="V434" s="768"/>
      <c r="W434" s="768"/>
      <c r="X434" s="768"/>
      <c r="Y434" s="768"/>
      <c r="Z434" s="768"/>
      <c r="AA434" s="768"/>
      <c r="AB434" s="768"/>
      <c r="AC434" s="768"/>
      <c r="AD434" s="768"/>
      <c r="AE434" s="768"/>
    </row>
    <row r="435" spans="1:37" s="520" customFormat="1">
      <c r="B435" s="307"/>
      <c r="C435" s="824">
        <f t="shared" ref="C435:C443" si="166">C434+1</f>
        <v>2</v>
      </c>
      <c r="D435" s="166"/>
      <c r="E435" s="780" t="str">
        <f>VLOOKUP($J435,TOV!$C$85:$G$217,TOV!$E$1,FALSE)</f>
        <v>Remove bitumen (airstrip) for dumping in a void on-site</v>
      </c>
      <c r="F435" s="929"/>
      <c r="G435" s="930"/>
      <c r="H435" s="316"/>
      <c r="I435" s="827" t="str">
        <f>VLOOKUP($J435,TOV!$C$85:$G$217,TOV!$G$1,FALSE)</f>
        <v>m2</v>
      </c>
      <c r="J435" s="828" t="str">
        <f>TOV!C208</f>
        <v>#3.124</v>
      </c>
      <c r="K435" s="63">
        <f>VLOOKUP($J435,TOV!$C$85:$G$217,TOV!$F$1,FALSE)</f>
        <v>20</v>
      </c>
      <c r="L435" s="298"/>
      <c r="M435" s="104">
        <f t="shared" ref="M435:M440" si="167">IF(L435="",K435,L435)*H435</f>
        <v>0</v>
      </c>
      <c r="N435" s="215"/>
      <c r="O435" s="217"/>
      <c r="P435" s="217"/>
      <c r="Q435" s="217"/>
      <c r="R435" s="217"/>
      <c r="S435" s="217"/>
      <c r="T435" s="217"/>
      <c r="U435" s="218"/>
      <c r="V435" s="768"/>
      <c r="W435" s="768"/>
      <c r="X435" s="768"/>
      <c r="Y435" s="768"/>
      <c r="Z435" s="768"/>
      <c r="AA435" s="768"/>
      <c r="AB435" s="768"/>
      <c r="AC435" s="768"/>
      <c r="AD435" s="768"/>
      <c r="AE435" s="768"/>
    </row>
    <row r="436" spans="1:37" s="520" customFormat="1">
      <c r="B436" s="307"/>
      <c r="C436" s="824">
        <f t="shared" si="166"/>
        <v>3</v>
      </c>
      <c r="D436" s="166"/>
      <c r="E436" s="780" t="str">
        <f>VLOOKUP($J436,TOV!$C$85:$G$217,TOV!$E$1,FALSE)</f>
        <v>Remove concrete pads &amp; footings (&lt;=0.3 m thickness) and dumping in void</v>
      </c>
      <c r="F436" s="929"/>
      <c r="G436" s="930"/>
      <c r="H436" s="316"/>
      <c r="I436" s="827" t="str">
        <f>VLOOKUP($J436,TOV!$C$85:$G$217,TOV!$G$1,FALSE)</f>
        <v>m2</v>
      </c>
      <c r="J436" s="828" t="str">
        <f>TOV!C209</f>
        <v>#3.125</v>
      </c>
      <c r="K436" s="63">
        <f>VLOOKUP($J436,TOV!$C$85:$G$217,TOV!$F$1,FALSE)</f>
        <v>37</v>
      </c>
      <c r="L436" s="298"/>
      <c r="M436" s="104">
        <f t="shared" si="167"/>
        <v>0</v>
      </c>
      <c r="N436" s="215"/>
      <c r="O436" s="217"/>
      <c r="P436" s="217"/>
      <c r="Q436" s="217"/>
      <c r="R436" s="217"/>
      <c r="S436" s="217"/>
      <c r="T436" s="217"/>
      <c r="U436" s="218"/>
      <c r="V436" s="768"/>
      <c r="W436" s="768"/>
      <c r="X436" s="768"/>
      <c r="Y436" s="768"/>
      <c r="Z436" s="768"/>
      <c r="AA436" s="768"/>
      <c r="AB436" s="768"/>
      <c r="AC436" s="768"/>
      <c r="AD436" s="768"/>
      <c r="AE436" s="768"/>
    </row>
    <row r="437" spans="1:37" s="520" customFormat="1">
      <c r="B437" s="307"/>
      <c r="C437" s="824">
        <f t="shared" si="166"/>
        <v>4</v>
      </c>
      <c r="D437" s="166"/>
      <c r="E437" s="780" t="str">
        <f>VLOOKUP($J437,TOV!$C$85:$G$217,TOV!$E$1,FALSE)</f>
        <v>Remove concrete pads &amp; footings (&gt;0.3 m thickness) and dumping in void</v>
      </c>
      <c r="F437" s="929"/>
      <c r="G437" s="930"/>
      <c r="H437" s="316"/>
      <c r="I437" s="827" t="str">
        <f>VLOOKUP($J437,TOV!$C$85:$G$217,TOV!$G$1,FALSE)</f>
        <v>m2</v>
      </c>
      <c r="J437" s="828" t="str">
        <f>TOV!C210</f>
        <v>#3.126</v>
      </c>
      <c r="K437" s="63">
        <f>VLOOKUP($J437,TOV!$C$85:$G$217,TOV!$F$1,FALSE)</f>
        <v>75</v>
      </c>
      <c r="L437" s="298"/>
      <c r="M437" s="104">
        <f t="shared" si="167"/>
        <v>0</v>
      </c>
      <c r="N437" s="215"/>
      <c r="O437" s="217"/>
      <c r="P437" s="217"/>
      <c r="Q437" s="217"/>
      <c r="R437" s="217"/>
      <c r="S437" s="217"/>
      <c r="T437" s="217"/>
      <c r="U437" s="218"/>
      <c r="V437" s="768"/>
      <c r="W437" s="768"/>
      <c r="X437" s="768"/>
      <c r="Y437" s="768"/>
      <c r="Z437" s="768"/>
      <c r="AA437" s="768"/>
      <c r="AB437" s="768"/>
      <c r="AC437" s="768"/>
      <c r="AD437" s="768"/>
      <c r="AE437" s="768"/>
    </row>
    <row r="438" spans="1:37" s="520" customFormat="1">
      <c r="B438" s="307"/>
      <c r="C438" s="824">
        <f t="shared" si="166"/>
        <v>5</v>
      </c>
      <c r="D438" s="166"/>
      <c r="E438" s="780" t="str">
        <f>VLOOKUP($J438,TOV!$C$85:$G$217,TOV!$E$1,FALSE)</f>
        <v>Crush concrete to make road aggregate - 75 mm</v>
      </c>
      <c r="F438" s="825"/>
      <c r="G438" s="826"/>
      <c r="H438" s="316"/>
      <c r="I438" s="827" t="str">
        <f>VLOOKUP($J438,TOV!$C$85:$G$217,TOV!$G$1,FALSE)</f>
        <v>t</v>
      </c>
      <c r="J438" s="828" t="str">
        <f>TOV!C211</f>
        <v>#3.127</v>
      </c>
      <c r="K438" s="63">
        <f>VLOOKUP($J438,TOV!$C$85:$G$217,TOV!$F$1,FALSE)</f>
        <v>10</v>
      </c>
      <c r="L438" s="298"/>
      <c r="M438" s="104">
        <f t="shared" si="167"/>
        <v>0</v>
      </c>
      <c r="N438" s="215"/>
      <c r="O438" s="217"/>
      <c r="P438" s="217"/>
      <c r="Q438" s="217"/>
      <c r="R438" s="217"/>
      <c r="S438" s="217"/>
      <c r="T438" s="217"/>
      <c r="U438" s="218"/>
      <c r="V438" s="768"/>
      <c r="W438" s="768"/>
      <c r="X438" s="768"/>
      <c r="Y438" s="768"/>
      <c r="Z438" s="768"/>
      <c r="AA438" s="768"/>
      <c r="AB438" s="768"/>
      <c r="AC438" s="768"/>
      <c r="AD438" s="768"/>
      <c r="AE438" s="768"/>
    </row>
    <row r="439" spans="1:37" s="520" customFormat="1">
      <c r="B439" s="307"/>
      <c r="C439" s="824">
        <f t="shared" si="166"/>
        <v>6</v>
      </c>
      <c r="D439" s="166"/>
      <c r="E439" s="780" t="str">
        <f>VLOOKUP($J439,TOV!$C$85:$G$217,TOV!$E$1,FALSE)</f>
        <v>Crush concrete to make road aggregate - 50 mm</v>
      </c>
      <c r="F439" s="929"/>
      <c r="G439" s="930"/>
      <c r="H439" s="316"/>
      <c r="I439" s="827" t="str">
        <f>VLOOKUP($J439,TOV!$C$85:$G$217,TOV!$G$1,FALSE)</f>
        <v>t</v>
      </c>
      <c r="J439" s="828" t="str">
        <f>TOV!C212</f>
        <v>#3.128</v>
      </c>
      <c r="K439" s="63">
        <f>VLOOKUP($J439,TOV!$C$85:$G$217,TOV!$F$1,FALSE)</f>
        <v>13</v>
      </c>
      <c r="L439" s="298"/>
      <c r="M439" s="104">
        <f t="shared" si="167"/>
        <v>0</v>
      </c>
      <c r="N439" s="215"/>
      <c r="O439" s="217"/>
      <c r="P439" s="217"/>
      <c r="Q439" s="217"/>
      <c r="R439" s="217"/>
      <c r="S439" s="217"/>
      <c r="T439" s="217"/>
      <c r="U439" s="218"/>
      <c r="V439" s="768"/>
      <c r="W439" s="768"/>
      <c r="X439" s="768"/>
      <c r="Y439" s="768"/>
      <c r="Z439" s="768"/>
      <c r="AA439" s="768"/>
      <c r="AB439" s="768"/>
      <c r="AC439" s="768"/>
      <c r="AD439" s="768"/>
      <c r="AE439" s="768"/>
    </row>
    <row r="440" spans="1:37" s="520" customFormat="1">
      <c r="B440" s="307"/>
      <c r="C440" s="824">
        <f t="shared" si="166"/>
        <v>7</v>
      </c>
      <c r="D440" s="166"/>
      <c r="E440" s="780" t="str">
        <f>VLOOKUP($J440,TOV!$C$85:$G$217,TOV!$E$1,FALSE)</f>
        <v>Crush concrete to make road aggregate - 30 mm</v>
      </c>
      <c r="F440" s="929"/>
      <c r="G440" s="930"/>
      <c r="H440" s="316"/>
      <c r="I440" s="827" t="str">
        <f>VLOOKUP($J440,TOV!$C$85:$G$217,TOV!$G$1,FALSE)</f>
        <v>t</v>
      </c>
      <c r="J440" s="828" t="str">
        <f>TOV!C213</f>
        <v>#3.129</v>
      </c>
      <c r="K440" s="63">
        <f>VLOOKUP($J440,TOV!$C$85:$G$217,TOV!$F$1,FALSE)</f>
        <v>15</v>
      </c>
      <c r="L440" s="298"/>
      <c r="M440" s="104">
        <f t="shared" si="167"/>
        <v>0</v>
      </c>
      <c r="N440" s="215"/>
      <c r="O440" s="217"/>
      <c r="P440" s="217"/>
      <c r="Q440" s="217"/>
      <c r="R440" s="217"/>
      <c r="S440" s="217"/>
      <c r="T440" s="217"/>
      <c r="U440" s="218"/>
      <c r="V440" s="768"/>
      <c r="W440" s="768"/>
      <c r="X440" s="768"/>
      <c r="Y440" s="768"/>
      <c r="Z440" s="768"/>
      <c r="AA440" s="768"/>
      <c r="AB440" s="768"/>
      <c r="AC440" s="768"/>
      <c r="AD440" s="768"/>
      <c r="AE440" s="768"/>
    </row>
    <row r="441" spans="1:37" s="520" customFormat="1">
      <c r="B441" s="307"/>
      <c r="C441" s="824">
        <f t="shared" si="166"/>
        <v>8</v>
      </c>
      <c r="D441" s="166"/>
      <c r="E441" s="65"/>
      <c r="F441" s="938"/>
      <c r="G441" s="939"/>
      <c r="H441" s="327"/>
      <c r="I441" s="47"/>
      <c r="J441" s="768"/>
      <c r="K441" s="518" t="str">
        <f t="shared" ref="K441:K443" si="168">IF(AND(H441&gt;0,OR(L441="",L441=0)),"Enter Rate","No alert")</f>
        <v>No alert</v>
      </c>
      <c r="L441" s="298"/>
      <c r="M441" s="104">
        <f>L441*H441</f>
        <v>0</v>
      </c>
      <c r="N441" s="215"/>
      <c r="O441" s="217"/>
      <c r="P441" s="217"/>
      <c r="Q441" s="217"/>
      <c r="R441" s="217"/>
      <c r="S441" s="217"/>
      <c r="T441" s="217"/>
      <c r="U441" s="218"/>
      <c r="V441" s="768"/>
      <c r="W441" s="768"/>
      <c r="X441" s="768"/>
      <c r="Y441" s="768"/>
      <c r="Z441" s="768"/>
      <c r="AA441" s="768"/>
      <c r="AB441" s="768"/>
      <c r="AC441" s="768"/>
      <c r="AD441" s="768"/>
      <c r="AE441" s="768"/>
    </row>
    <row r="442" spans="1:37" s="520" customFormat="1">
      <c r="B442" s="307"/>
      <c r="C442" s="824">
        <f t="shared" si="166"/>
        <v>9</v>
      </c>
      <c r="D442" s="166"/>
      <c r="E442" s="65"/>
      <c r="F442" s="938"/>
      <c r="G442" s="939"/>
      <c r="H442" s="327"/>
      <c r="I442" s="47"/>
      <c r="J442" s="768"/>
      <c r="K442" s="518" t="str">
        <f t="shared" si="168"/>
        <v>No alert</v>
      </c>
      <c r="L442" s="298"/>
      <c r="M442" s="104">
        <f t="shared" ref="M442:M443" si="169">L442*H442</f>
        <v>0</v>
      </c>
      <c r="N442" s="215"/>
      <c r="O442" s="217"/>
      <c r="P442" s="217"/>
      <c r="Q442" s="217"/>
      <c r="R442" s="217"/>
      <c r="S442" s="217"/>
      <c r="T442" s="217"/>
      <c r="U442" s="218"/>
      <c r="V442" s="768"/>
      <c r="W442" s="768"/>
      <c r="X442" s="768"/>
      <c r="Y442" s="768"/>
      <c r="Z442" s="768"/>
      <c r="AA442" s="768"/>
      <c r="AB442" s="768"/>
      <c r="AC442" s="768"/>
      <c r="AD442" s="768"/>
      <c r="AE442" s="768"/>
    </row>
    <row r="443" spans="1:37" s="520" customFormat="1">
      <c r="B443" s="307"/>
      <c r="C443" s="824">
        <f t="shared" si="166"/>
        <v>10</v>
      </c>
      <c r="D443" s="166"/>
      <c r="E443" s="65"/>
      <c r="F443" s="938"/>
      <c r="G443" s="939"/>
      <c r="H443" s="327"/>
      <c r="I443" s="47"/>
      <c r="J443" s="768"/>
      <c r="K443" s="518" t="str">
        <f t="shared" si="168"/>
        <v>No alert</v>
      </c>
      <c r="L443" s="298"/>
      <c r="M443" s="104">
        <f t="shared" si="169"/>
        <v>0</v>
      </c>
      <c r="N443" s="215"/>
      <c r="O443" s="217"/>
      <c r="P443" s="217"/>
      <c r="Q443" s="217"/>
      <c r="R443" s="217"/>
      <c r="S443" s="217"/>
      <c r="T443" s="217"/>
      <c r="U443" s="218"/>
      <c r="V443" s="768"/>
      <c r="W443" s="768"/>
      <c r="X443" s="768"/>
      <c r="Y443" s="768"/>
      <c r="Z443" s="768"/>
      <c r="AA443" s="768"/>
      <c r="AB443" s="768"/>
      <c r="AC443" s="768"/>
      <c r="AD443" s="768"/>
      <c r="AE443" s="768"/>
    </row>
    <row r="444" spans="1:37" s="520" customFormat="1" ht="18" customHeight="1">
      <c r="F444" s="768"/>
      <c r="G444" s="768"/>
      <c r="H444" s="868"/>
      <c r="I444" s="768"/>
      <c r="J444" s="768"/>
      <c r="K444" s="768"/>
      <c r="L444" s="768"/>
      <c r="M444" s="791"/>
      <c r="N444" s="801"/>
      <c r="O444" s="801"/>
      <c r="P444" s="801"/>
      <c r="Q444" s="801"/>
      <c r="R444" s="768"/>
      <c r="S444" s="768"/>
      <c r="T444" s="768"/>
      <c r="U444" s="768"/>
      <c r="V444" s="768"/>
      <c r="W444" s="768"/>
      <c r="X444" s="768"/>
      <c r="Y444" s="768"/>
      <c r="Z444" s="768"/>
      <c r="AA444" s="791"/>
      <c r="AB444" s="791"/>
      <c r="AC444" s="791"/>
      <c r="AD444" s="791"/>
      <c r="AE444" s="768"/>
      <c r="AF444" s="768"/>
      <c r="AG444" s="768"/>
      <c r="AH444" s="768"/>
      <c r="AI444" s="768"/>
      <c r="AJ444" s="768"/>
      <c r="AK444" s="768"/>
    </row>
    <row r="445" spans="1:37" s="520" customFormat="1" ht="18" customHeight="1">
      <c r="F445" s="768"/>
      <c r="G445" s="768"/>
      <c r="H445" s="372">
        <f>SUM(H433:H443)</f>
        <v>0</v>
      </c>
      <c r="I445" s="902" t="s">
        <v>1495</v>
      </c>
      <c r="K445" s="789"/>
      <c r="L445" s="789" t="s">
        <v>75</v>
      </c>
      <c r="M445" s="108">
        <f>SUM(M432:M443)</f>
        <v>0</v>
      </c>
      <c r="N445" s="797">
        <f>IF(H445=0,0,M445/H445)</f>
        <v>0</v>
      </c>
      <c r="O445" s="925" t="str">
        <f>I445</f>
        <v>mix</v>
      </c>
      <c r="P445" s="801"/>
      <c r="Q445" s="801"/>
      <c r="R445" s="734"/>
      <c r="S445" s="734"/>
      <c r="T445" s="768"/>
      <c r="U445" s="768"/>
      <c r="V445" s="768"/>
      <c r="W445" s="768"/>
      <c r="X445" s="768"/>
      <c r="Y445" s="768"/>
      <c r="Z445" s="791"/>
      <c r="AA445" s="791"/>
      <c r="AB445" s="791"/>
      <c r="AC445" s="791"/>
      <c r="AD445" s="768"/>
      <c r="AE445" s="768"/>
      <c r="AF445" s="768"/>
      <c r="AG445" s="768"/>
      <c r="AH445" s="768"/>
      <c r="AI445" s="768"/>
      <c r="AJ445" s="768"/>
    </row>
    <row r="446" spans="1:37" s="520" customFormat="1" ht="18" customHeight="1">
      <c r="F446" s="768"/>
      <c r="G446" s="768"/>
      <c r="H446" s="768"/>
      <c r="I446" s="768"/>
      <c r="K446" s="789"/>
      <c r="L446" s="789"/>
      <c r="M446" s="789"/>
      <c r="N446" s="801"/>
      <c r="O446" s="801"/>
      <c r="P446" s="801"/>
      <c r="Q446" s="801"/>
      <c r="R446" s="734"/>
      <c r="S446" s="734"/>
      <c r="T446" s="768"/>
      <c r="U446" s="768"/>
      <c r="V446" s="768"/>
      <c r="W446" s="768"/>
      <c r="X446" s="768"/>
      <c r="Y446" s="768"/>
      <c r="Z446" s="791"/>
      <c r="AA446" s="791"/>
      <c r="AB446" s="791"/>
      <c r="AC446" s="791"/>
      <c r="AD446" s="768"/>
      <c r="AE446" s="768"/>
      <c r="AF446" s="768"/>
      <c r="AG446" s="768"/>
      <c r="AH446" s="768"/>
      <c r="AI446" s="768"/>
      <c r="AJ446" s="768"/>
    </row>
    <row r="447" spans="1:37" s="520" customFormat="1" ht="12" customHeight="1">
      <c r="E447" s="768"/>
      <c r="F447" s="768"/>
      <c r="G447" s="768"/>
      <c r="H447" s="768"/>
      <c r="I447" s="768"/>
      <c r="J447" s="768"/>
      <c r="K447" s="768"/>
      <c r="L447" s="768"/>
      <c r="M447" s="768"/>
      <c r="N447" s="801"/>
      <c r="O447" s="801"/>
      <c r="P447" s="801"/>
      <c r="Q447" s="801"/>
      <c r="R447" s="768"/>
      <c r="S447" s="768"/>
      <c r="T447" s="768"/>
      <c r="U447" s="768"/>
      <c r="V447" s="768"/>
      <c r="W447" s="768"/>
      <c r="X447" s="768"/>
      <c r="Y447" s="768"/>
      <c r="Z447" s="768"/>
      <c r="AA447" s="768"/>
      <c r="AB447" s="768"/>
      <c r="AC447" s="768"/>
      <c r="AD447" s="768"/>
      <c r="AE447" s="768"/>
      <c r="AF447" s="768"/>
      <c r="AG447" s="768"/>
      <c r="AH447" s="768"/>
      <c r="AI447" s="768"/>
      <c r="AJ447" s="768"/>
    </row>
    <row r="448" spans="1:37" s="520" customFormat="1" ht="18" customHeight="1">
      <c r="B448" s="287" t="s">
        <v>26</v>
      </c>
      <c r="C448" s="820" t="s">
        <v>1576</v>
      </c>
      <c r="D448" s="816"/>
      <c r="F448" s="793"/>
      <c r="G448" s="768"/>
      <c r="I448" s="768"/>
      <c r="J448" s="768"/>
      <c r="K448" s="768"/>
      <c r="L448" s="768"/>
      <c r="M448" s="768"/>
      <c r="N448" s="801"/>
      <c r="O448" s="801"/>
      <c r="P448" s="801"/>
      <c r="Q448" s="801"/>
      <c r="R448" s="768"/>
      <c r="S448" s="768"/>
      <c r="T448" s="768"/>
      <c r="U448" s="768"/>
      <c r="V448" s="768"/>
      <c r="W448" s="768"/>
      <c r="X448" s="768"/>
      <c r="Y448" s="768"/>
      <c r="Z448" s="768"/>
      <c r="AA448" s="768"/>
      <c r="AB448" s="768"/>
      <c r="AC448" s="768"/>
      <c r="AD448" s="768"/>
      <c r="AE448" s="768"/>
    </row>
    <row r="449" spans="1:61" s="495" customFormat="1" ht="31.9" customHeight="1">
      <c r="A449" s="875"/>
      <c r="B449" s="774" t="s">
        <v>1517</v>
      </c>
      <c r="C449" s="774" t="s">
        <v>27</v>
      </c>
      <c r="D449" s="821" t="s">
        <v>1583</v>
      </c>
      <c r="E449" s="812" t="s">
        <v>111</v>
      </c>
      <c r="F449" s="822"/>
      <c r="G449" s="823"/>
      <c r="H449" s="823" t="s">
        <v>244</v>
      </c>
      <c r="I449" s="773" t="s">
        <v>2</v>
      </c>
      <c r="J449" s="773" t="s">
        <v>1585</v>
      </c>
      <c r="K449" s="773" t="s">
        <v>1549</v>
      </c>
      <c r="L449" s="773" t="s">
        <v>1586</v>
      </c>
      <c r="M449" s="775" t="s">
        <v>1587</v>
      </c>
      <c r="N449" s="776" t="s">
        <v>1526</v>
      </c>
      <c r="O449" s="777"/>
      <c r="P449" s="777"/>
      <c r="Q449" s="777"/>
      <c r="R449" s="777"/>
      <c r="S449" s="777"/>
      <c r="T449" s="777"/>
      <c r="U449" s="778"/>
      <c r="V449" s="793"/>
      <c r="W449" s="793"/>
      <c r="AI449" s="520"/>
      <c r="AJ449" s="520"/>
      <c r="BH449" s="520"/>
      <c r="BI449" s="520"/>
    </row>
    <row r="450" spans="1:61" s="520" customFormat="1" ht="18" customHeight="1">
      <c r="A450" s="768"/>
      <c r="B450" s="768"/>
      <c r="C450" s="768"/>
      <c r="D450" s="768"/>
      <c r="E450" s="768"/>
      <c r="F450" s="768"/>
      <c r="G450" s="768"/>
      <c r="H450" s="931" t="s">
        <v>1738</v>
      </c>
      <c r="I450" s="768"/>
      <c r="J450" s="768"/>
      <c r="K450" s="768"/>
      <c r="L450" s="768"/>
      <c r="M450" s="768"/>
      <c r="N450" s="748"/>
      <c r="O450" s="474"/>
      <c r="P450" s="474"/>
      <c r="Q450" s="474"/>
      <c r="R450" s="474"/>
      <c r="S450" s="474"/>
      <c r="T450" s="474"/>
      <c r="U450" s="779"/>
      <c r="V450" s="768"/>
      <c r="W450" s="768"/>
      <c r="X450" s="768"/>
      <c r="Y450" s="768"/>
      <c r="Z450" s="768"/>
      <c r="AA450" s="768"/>
      <c r="AB450" s="768"/>
      <c r="AC450" s="768"/>
      <c r="AD450" s="768"/>
      <c r="AE450" s="768"/>
    </row>
    <row r="451" spans="1:61" s="520" customFormat="1">
      <c r="B451" s="307"/>
      <c r="C451" s="824">
        <v>1</v>
      </c>
      <c r="D451" s="166"/>
      <c r="E451" s="780" t="str">
        <f>VLOOKUP($J451,TOV!$C$85:$G$217,TOV!$E$1,FALSE)</f>
        <v>Remove rail loop and spur, ballast etc.</v>
      </c>
      <c r="F451" s="833"/>
      <c r="G451" s="834"/>
      <c r="H451" s="316"/>
      <c r="I451" s="827" t="str">
        <f>VLOOKUP($J451,TOV!$C$85:$G$217,TOV!$G$1,FALSE)</f>
        <v>m</v>
      </c>
      <c r="J451" s="828" t="str">
        <f>TOV!C196</f>
        <v>#3.112</v>
      </c>
      <c r="K451" s="63">
        <f>VLOOKUP($J451,TOV!$C$85:$G$217,TOV!$F$1,FALSE)</f>
        <v>60.500000000000007</v>
      </c>
      <c r="L451" s="298"/>
      <c r="M451" s="104">
        <f>IF(L451="",K451,L451)*H451</f>
        <v>0</v>
      </c>
      <c r="N451" s="215"/>
      <c r="O451" s="217"/>
      <c r="P451" s="217"/>
      <c r="Q451" s="217"/>
      <c r="R451" s="217"/>
      <c r="S451" s="217"/>
      <c r="T451" s="217"/>
      <c r="U451" s="218"/>
      <c r="V451" s="768"/>
      <c r="W451" s="768"/>
      <c r="X451" s="768"/>
      <c r="Y451" s="768"/>
      <c r="Z451" s="768"/>
      <c r="AA451" s="768"/>
      <c r="AB451" s="768"/>
      <c r="AC451" s="768"/>
      <c r="AD451" s="768"/>
      <c r="AE451" s="768"/>
    </row>
    <row r="452" spans="1:61" s="520" customFormat="1">
      <c r="B452" s="307"/>
      <c r="C452" s="824">
        <f t="shared" ref="C452:C457" si="170">C451+1</f>
        <v>2</v>
      </c>
      <c r="D452" s="166"/>
      <c r="E452" s="780" t="str">
        <f>VLOOKUP($J452,TOV!$C$85:$G$217,TOV!$E$1,FALSE)</f>
        <v>Collapse, cut and remove rail loading bins</v>
      </c>
      <c r="F452" s="833"/>
      <c r="G452" s="834"/>
      <c r="H452" s="316"/>
      <c r="I452" s="827" t="str">
        <f>VLOOKUP($J452,TOV!$C$85:$G$217,TOV!$G$1,FALSE)</f>
        <v>Item</v>
      </c>
      <c r="J452" s="828" t="str">
        <f>TOV!C197</f>
        <v>#3.113</v>
      </c>
      <c r="K452" s="63">
        <f>VLOOKUP($J452,TOV!$C$85:$G$217,TOV!$F$1,FALSE)</f>
        <v>71500</v>
      </c>
      <c r="L452" s="298"/>
      <c r="M452" s="104">
        <f t="shared" ref="M452:M454" si="171">IF(L452="",K452,L452)*H452</f>
        <v>0</v>
      </c>
      <c r="N452" s="215"/>
      <c r="O452" s="217"/>
      <c r="P452" s="217"/>
      <c r="Q452" s="217"/>
      <c r="R452" s="217"/>
      <c r="S452" s="217"/>
      <c r="T452" s="217"/>
      <c r="U452" s="218"/>
      <c r="V452" s="768"/>
      <c r="W452" s="768"/>
      <c r="X452" s="768"/>
      <c r="Y452" s="768"/>
      <c r="Z452" s="768"/>
      <c r="AA452" s="768"/>
      <c r="AB452" s="768"/>
      <c r="AC452" s="768"/>
      <c r="AD452" s="768"/>
      <c r="AE452" s="768"/>
    </row>
    <row r="453" spans="1:61" s="520" customFormat="1">
      <c r="B453" s="307"/>
      <c r="C453" s="824">
        <f t="shared" si="170"/>
        <v>3</v>
      </c>
      <c r="D453" s="166"/>
      <c r="E453" s="780" t="str">
        <f>VLOOKUP($J453,TOV!$C$85:$G$217,TOV!$E$1,FALSE)</f>
        <v>Remove train loading facilities</v>
      </c>
      <c r="F453" s="833"/>
      <c r="G453" s="834"/>
      <c r="H453" s="316"/>
      <c r="I453" s="827" t="str">
        <f>VLOOKUP($J453,TOV!$C$85:$G$217,TOV!$G$1,FALSE)</f>
        <v>m2</v>
      </c>
      <c r="J453" s="828" t="str">
        <f>TOV!C198</f>
        <v>#3.114</v>
      </c>
      <c r="K453" s="63">
        <f>VLOOKUP($J453,TOV!$C$85:$G$217,TOV!$F$1,FALSE)</f>
        <v>291.5</v>
      </c>
      <c r="L453" s="298"/>
      <c r="M453" s="104">
        <f t="shared" si="171"/>
        <v>0</v>
      </c>
      <c r="N453" s="215"/>
      <c r="O453" s="217"/>
      <c r="P453" s="217"/>
      <c r="Q453" s="217"/>
      <c r="R453" s="217"/>
      <c r="S453" s="217"/>
      <c r="T453" s="217"/>
      <c r="U453" s="218"/>
      <c r="V453" s="768"/>
      <c r="W453" s="768"/>
      <c r="X453" s="768"/>
      <c r="Y453" s="768"/>
      <c r="Z453" s="768"/>
      <c r="AA453" s="768"/>
      <c r="AB453" s="768"/>
      <c r="AC453" s="768"/>
      <c r="AD453" s="768"/>
      <c r="AE453" s="768"/>
    </row>
    <row r="454" spans="1:61" s="520" customFormat="1">
      <c r="B454" s="307"/>
      <c r="C454" s="824">
        <f t="shared" si="170"/>
        <v>4</v>
      </c>
      <c r="D454" s="166"/>
      <c r="E454" s="780" t="str">
        <f>VLOOKUP($J454,TOV!$C$85:$G$217,TOV!$E$1,FALSE)</f>
        <v>Remove rail overpass</v>
      </c>
      <c r="F454" s="833"/>
      <c r="G454" s="834"/>
      <c r="H454" s="316"/>
      <c r="I454" s="827" t="str">
        <f>VLOOKUP($J454,TOV!$C$85:$G$217,TOV!$G$1,FALSE)</f>
        <v>item</v>
      </c>
      <c r="J454" s="828" t="str">
        <f>TOV!C130</f>
        <v>#3.46</v>
      </c>
      <c r="K454" s="63">
        <f>VLOOKUP($J454,TOV!$C$85:$G$217,TOV!$F$1,FALSE)</f>
        <v>350000</v>
      </c>
      <c r="L454" s="298"/>
      <c r="M454" s="104">
        <f t="shared" si="171"/>
        <v>0</v>
      </c>
      <c r="N454" s="215"/>
      <c r="O454" s="217"/>
      <c r="P454" s="217"/>
      <c r="Q454" s="217"/>
      <c r="R454" s="217"/>
      <c r="S454" s="217"/>
      <c r="T454" s="217"/>
      <c r="U454" s="218"/>
      <c r="V454" s="768"/>
      <c r="W454" s="768"/>
      <c r="X454" s="768"/>
      <c r="Y454" s="768"/>
      <c r="Z454" s="768"/>
      <c r="AA454" s="768"/>
      <c r="AB454" s="768"/>
      <c r="AC454" s="768"/>
      <c r="AD454" s="768"/>
      <c r="AE454" s="768"/>
    </row>
    <row r="455" spans="1:61" s="520" customFormat="1">
      <c r="B455" s="307"/>
      <c r="C455" s="824">
        <f t="shared" si="170"/>
        <v>5</v>
      </c>
      <c r="D455" s="166"/>
      <c r="E455" s="65"/>
      <c r="F455" s="938"/>
      <c r="G455" s="939"/>
      <c r="H455" s="327"/>
      <c r="I455" s="47"/>
      <c r="J455" s="768"/>
      <c r="K455" s="518" t="str">
        <f t="shared" ref="K455:K457" si="172">IF(AND(H455&gt;0,OR(L455="",L455=0)),"Enter Rate","No alert")</f>
        <v>No alert</v>
      </c>
      <c r="L455" s="298"/>
      <c r="M455" s="104">
        <f>L455*H455</f>
        <v>0</v>
      </c>
      <c r="N455" s="215"/>
      <c r="O455" s="217"/>
      <c r="P455" s="217"/>
      <c r="Q455" s="217"/>
      <c r="R455" s="217"/>
      <c r="S455" s="217"/>
      <c r="T455" s="217"/>
      <c r="U455" s="218"/>
      <c r="V455" s="768"/>
      <c r="W455" s="768"/>
      <c r="X455" s="768"/>
      <c r="Y455" s="768"/>
      <c r="Z455" s="768"/>
      <c r="AA455" s="768"/>
      <c r="AB455" s="768"/>
      <c r="AC455" s="768"/>
      <c r="AD455" s="768"/>
      <c r="AE455" s="768"/>
    </row>
    <row r="456" spans="1:61" s="520" customFormat="1">
      <c r="B456" s="307"/>
      <c r="C456" s="824">
        <f t="shared" si="170"/>
        <v>6</v>
      </c>
      <c r="D456" s="166"/>
      <c r="E456" s="65"/>
      <c r="F456" s="938"/>
      <c r="G456" s="939"/>
      <c r="H456" s="327"/>
      <c r="I456" s="47"/>
      <c r="J456" s="768"/>
      <c r="K456" s="518" t="str">
        <f t="shared" si="172"/>
        <v>No alert</v>
      </c>
      <c r="L456" s="298"/>
      <c r="M456" s="104">
        <f t="shared" ref="M456:M457" si="173">L456*H456</f>
        <v>0</v>
      </c>
      <c r="N456" s="215"/>
      <c r="O456" s="217"/>
      <c r="P456" s="217"/>
      <c r="Q456" s="217"/>
      <c r="R456" s="217"/>
      <c r="S456" s="217"/>
      <c r="T456" s="217"/>
      <c r="U456" s="218"/>
      <c r="V456" s="768"/>
      <c r="W456" s="768"/>
      <c r="X456" s="768"/>
      <c r="Y456" s="768"/>
      <c r="Z456" s="768"/>
      <c r="AA456" s="768"/>
      <c r="AB456" s="768"/>
      <c r="AC456" s="768"/>
      <c r="AD456" s="768"/>
      <c r="AE456" s="768"/>
    </row>
    <row r="457" spans="1:61" s="520" customFormat="1">
      <c r="B457" s="307"/>
      <c r="C457" s="824">
        <f t="shared" si="170"/>
        <v>7</v>
      </c>
      <c r="D457" s="166"/>
      <c r="E457" s="65"/>
      <c r="F457" s="938"/>
      <c r="G457" s="939"/>
      <c r="H457" s="327"/>
      <c r="I457" s="47"/>
      <c r="J457" s="768"/>
      <c r="K457" s="518" t="str">
        <f t="shared" si="172"/>
        <v>No alert</v>
      </c>
      <c r="L457" s="298"/>
      <c r="M457" s="104">
        <f t="shared" si="173"/>
        <v>0</v>
      </c>
      <c r="N457" s="215"/>
      <c r="O457" s="217"/>
      <c r="P457" s="217"/>
      <c r="Q457" s="217"/>
      <c r="R457" s="217"/>
      <c r="S457" s="217"/>
      <c r="T457" s="217"/>
      <c r="U457" s="218"/>
      <c r="V457" s="768"/>
      <c r="W457" s="768"/>
      <c r="X457" s="768"/>
      <c r="Y457" s="768"/>
      <c r="Z457" s="768"/>
      <c r="AA457" s="768"/>
      <c r="AB457" s="768"/>
      <c r="AC457" s="768"/>
      <c r="AD457" s="768"/>
      <c r="AE457" s="768"/>
    </row>
    <row r="458" spans="1:61" s="520" customFormat="1" ht="18" customHeight="1">
      <c r="F458" s="768"/>
      <c r="G458" s="768"/>
      <c r="H458" s="868"/>
      <c r="I458" s="768"/>
      <c r="J458" s="768"/>
      <c r="K458" s="768"/>
      <c r="L458" s="768"/>
      <c r="M458" s="791"/>
      <c r="N458" s="801"/>
      <c r="O458" s="801"/>
      <c r="P458" s="801"/>
      <c r="Q458" s="801"/>
      <c r="R458" s="768"/>
      <c r="S458" s="768"/>
      <c r="T458" s="768"/>
      <c r="U458" s="768"/>
      <c r="V458" s="768"/>
      <c r="W458" s="768"/>
      <c r="X458" s="768"/>
      <c r="Y458" s="768"/>
      <c r="Z458" s="768"/>
      <c r="AA458" s="791"/>
      <c r="AB458" s="791"/>
      <c r="AC458" s="791"/>
      <c r="AD458" s="791"/>
      <c r="AE458" s="768"/>
      <c r="AF458" s="768"/>
      <c r="AG458" s="768"/>
      <c r="AH458" s="768"/>
      <c r="AI458" s="768"/>
      <c r="AJ458" s="768"/>
      <c r="AK458" s="768"/>
    </row>
    <row r="459" spans="1:61" s="520" customFormat="1" ht="18" customHeight="1">
      <c r="F459" s="768"/>
      <c r="G459" s="768"/>
      <c r="H459" s="372">
        <f>SUM(H450:H458)</f>
        <v>0</v>
      </c>
      <c r="I459" s="902" t="s">
        <v>1495</v>
      </c>
      <c r="K459" s="789"/>
      <c r="L459" s="789" t="s">
        <v>75</v>
      </c>
      <c r="M459" s="108">
        <f>SUM(M449:M457)</f>
        <v>0</v>
      </c>
      <c r="N459" s="797">
        <f>IF(H459=0,0,M459/H459)</f>
        <v>0</v>
      </c>
      <c r="O459" s="925" t="str">
        <f>I459</f>
        <v>mix</v>
      </c>
      <c r="P459" s="801"/>
      <c r="Q459" s="801"/>
      <c r="R459" s="734"/>
      <c r="S459" s="734"/>
      <c r="T459" s="768"/>
      <c r="U459" s="768"/>
      <c r="V459" s="768"/>
      <c r="W459" s="768"/>
      <c r="X459" s="768"/>
      <c r="Y459" s="768"/>
      <c r="Z459" s="791"/>
      <c r="AA459" s="791"/>
      <c r="AB459" s="791"/>
      <c r="AC459" s="791"/>
      <c r="AD459" s="768"/>
      <c r="AE459" s="768"/>
      <c r="AF459" s="768"/>
      <c r="AG459" s="768"/>
      <c r="AH459" s="768"/>
      <c r="AI459" s="768"/>
      <c r="AJ459" s="768"/>
    </row>
    <row r="460" spans="1:61" s="520" customFormat="1" ht="12" customHeight="1">
      <c r="E460" s="768"/>
      <c r="F460" s="768"/>
      <c r="G460" s="768"/>
      <c r="H460" s="768"/>
      <c r="I460" s="768"/>
      <c r="J460" s="768"/>
      <c r="K460" s="768"/>
      <c r="L460" s="768"/>
      <c r="M460" s="768"/>
      <c r="N460" s="801"/>
      <c r="O460" s="801"/>
      <c r="P460" s="801"/>
      <c r="Q460" s="801"/>
      <c r="R460" s="768"/>
      <c r="S460" s="768"/>
      <c r="T460" s="768"/>
      <c r="U460" s="768"/>
      <c r="V460" s="768"/>
      <c r="W460" s="768"/>
      <c r="X460" s="768"/>
      <c r="AF460" s="768"/>
      <c r="AG460" s="768"/>
      <c r="AH460" s="768"/>
      <c r="AI460" s="768"/>
      <c r="AJ460" s="768"/>
      <c r="AK460" s="768"/>
      <c r="AL460" s="768"/>
      <c r="AM460" s="768"/>
      <c r="AN460" s="768"/>
      <c r="AO460" s="768"/>
      <c r="AP460" s="768"/>
    </row>
    <row r="461" spans="1:61" s="520" customFormat="1" ht="18" customHeight="1">
      <c r="B461" s="287" t="s">
        <v>26</v>
      </c>
      <c r="C461" s="820" t="s">
        <v>1577</v>
      </c>
      <c r="D461" s="816"/>
      <c r="F461" s="793"/>
      <c r="G461" s="768"/>
      <c r="H461" s="768"/>
      <c r="I461" s="768"/>
      <c r="J461" s="768"/>
      <c r="K461" s="768"/>
      <c r="L461" s="768"/>
      <c r="M461" s="768"/>
      <c r="N461" s="801"/>
      <c r="O461" s="801"/>
      <c r="P461" s="801"/>
      <c r="Q461" s="801"/>
      <c r="R461" s="768"/>
      <c r="S461" s="768"/>
      <c r="T461" s="768"/>
      <c r="U461" s="768"/>
      <c r="V461" s="768"/>
      <c r="W461" s="768"/>
      <c r="X461" s="768"/>
      <c r="Y461" s="768"/>
      <c r="Z461" s="768"/>
      <c r="AA461" s="768"/>
      <c r="AB461" s="768"/>
      <c r="AC461" s="768"/>
      <c r="AD461" s="768"/>
      <c r="AE461" s="768"/>
    </row>
    <row r="462" spans="1:61" s="495" customFormat="1" ht="31.9" customHeight="1">
      <c r="A462" s="875"/>
      <c r="B462" s="774" t="s">
        <v>1517</v>
      </c>
      <c r="C462" s="774" t="s">
        <v>27</v>
      </c>
      <c r="D462" s="821" t="s">
        <v>1583</v>
      </c>
      <c r="E462" s="812" t="s">
        <v>111</v>
      </c>
      <c r="F462" s="822"/>
      <c r="G462" s="823"/>
      <c r="H462" s="823" t="s">
        <v>244</v>
      </c>
      <c r="I462" s="773" t="s">
        <v>2</v>
      </c>
      <c r="J462" s="773" t="s">
        <v>1585</v>
      </c>
      <c r="K462" s="773" t="s">
        <v>1549</v>
      </c>
      <c r="L462" s="773" t="s">
        <v>1586</v>
      </c>
      <c r="M462" s="775" t="s">
        <v>1587</v>
      </c>
      <c r="N462" s="776" t="s">
        <v>1526</v>
      </c>
      <c r="O462" s="777"/>
      <c r="P462" s="777"/>
      <c r="Q462" s="777"/>
      <c r="R462" s="777"/>
      <c r="S462" s="777"/>
      <c r="T462" s="777"/>
      <c r="U462" s="778"/>
      <c r="V462" s="793"/>
      <c r="W462" s="793"/>
      <c r="AI462" s="520"/>
      <c r="AJ462" s="520"/>
      <c r="BH462" s="520"/>
      <c r="BI462" s="520"/>
    </row>
    <row r="463" spans="1:61" s="520" customFormat="1" ht="18" customHeight="1">
      <c r="A463" s="768"/>
      <c r="B463" s="768"/>
      <c r="C463" s="768"/>
      <c r="D463" s="768"/>
      <c r="E463" s="768"/>
      <c r="F463" s="768"/>
      <c r="G463" s="768"/>
      <c r="H463" s="768"/>
      <c r="I463" s="768"/>
      <c r="J463" s="768"/>
      <c r="K463" s="768"/>
      <c r="L463" s="768"/>
      <c r="M463" s="768"/>
      <c r="N463" s="748"/>
      <c r="O463" s="474"/>
      <c r="P463" s="474"/>
      <c r="Q463" s="474"/>
      <c r="R463" s="474"/>
      <c r="S463" s="474"/>
      <c r="T463" s="474"/>
      <c r="U463" s="779"/>
      <c r="V463" s="768"/>
      <c r="W463" s="768"/>
      <c r="X463" s="768"/>
      <c r="Y463" s="768"/>
      <c r="Z463" s="768"/>
      <c r="AA463" s="768"/>
      <c r="AB463" s="768"/>
      <c r="AC463" s="768"/>
      <c r="AD463" s="768"/>
      <c r="AE463" s="768"/>
    </row>
    <row r="464" spans="1:61" s="520" customFormat="1">
      <c r="B464" s="307"/>
      <c r="C464" s="824">
        <v>1</v>
      </c>
      <c r="D464" s="166"/>
      <c r="E464" s="780" t="str">
        <f>VLOOKUP($J464,TOV!$C$85:$G$217,TOV!$E$1,FALSE)</f>
        <v xml:space="preserve">Landfill
</v>
      </c>
      <c r="F464" s="833"/>
      <c r="G464" s="834"/>
      <c r="H464" s="316"/>
      <c r="I464" s="827" t="str">
        <f>VLOOKUP($J464,TOV!$C$85:$G$217,TOV!$G$1,FALSE)</f>
        <v>m2</v>
      </c>
      <c r="J464" s="828" t="str">
        <f>TOV!$C$199</f>
        <v>#3.115</v>
      </c>
      <c r="K464" s="63">
        <f>VLOOKUP($J464,TOV!$C$85:$G$217,TOV!$F$1,FALSE)</f>
        <v>3.6106078860610458</v>
      </c>
      <c r="L464" s="298"/>
      <c r="M464" s="104">
        <f>IF(L464="",K464,L464)*H464</f>
        <v>0</v>
      </c>
      <c r="N464" s="215"/>
      <c r="O464" s="217"/>
      <c r="P464" s="217"/>
      <c r="Q464" s="217"/>
      <c r="R464" s="217"/>
      <c r="S464" s="217"/>
      <c r="T464" s="217"/>
      <c r="U464" s="218"/>
      <c r="V464" s="768"/>
      <c r="W464" s="768"/>
      <c r="X464" s="768"/>
      <c r="Y464" s="768"/>
      <c r="Z464" s="768"/>
      <c r="AA464" s="768"/>
      <c r="AB464" s="768"/>
      <c r="AC464" s="768"/>
      <c r="AD464" s="768"/>
      <c r="AE464" s="768"/>
    </row>
    <row r="465" spans="1:61" s="520" customFormat="1">
      <c r="B465" s="307"/>
      <c r="C465" s="824">
        <f t="shared" ref="C465:C467" si="174">C464+1</f>
        <v>2</v>
      </c>
      <c r="D465" s="166"/>
      <c r="E465" s="65"/>
      <c r="F465" s="938"/>
      <c r="G465" s="939"/>
      <c r="H465" s="327"/>
      <c r="I465" s="835" t="s">
        <v>36</v>
      </c>
      <c r="J465" s="768"/>
      <c r="K465" s="518" t="str">
        <f t="shared" ref="K465:K467" si="175">IF(AND(H465&gt;0,OR(L465="",L465=0)),"Enter Rate","No alert")</f>
        <v>No alert</v>
      </c>
      <c r="L465" s="298"/>
      <c r="M465" s="104">
        <f>L465*H465</f>
        <v>0</v>
      </c>
      <c r="N465" s="215"/>
      <c r="O465" s="217"/>
      <c r="P465" s="217"/>
      <c r="Q465" s="217"/>
      <c r="R465" s="217"/>
      <c r="S465" s="217"/>
      <c r="T465" s="217"/>
      <c r="U465" s="218"/>
      <c r="V465" s="768"/>
      <c r="W465" s="768"/>
      <c r="X465" s="768"/>
      <c r="Y465" s="768"/>
      <c r="Z465" s="768"/>
      <c r="AA465" s="768"/>
      <c r="AB465" s="768"/>
      <c r="AC465" s="768"/>
      <c r="AD465" s="768"/>
      <c r="AE465" s="768"/>
    </row>
    <row r="466" spans="1:61" s="520" customFormat="1">
      <c r="B466" s="307"/>
      <c r="C466" s="824">
        <f t="shared" si="174"/>
        <v>3</v>
      </c>
      <c r="D466" s="166"/>
      <c r="E466" s="65"/>
      <c r="F466" s="938"/>
      <c r="G466" s="939"/>
      <c r="H466" s="327"/>
      <c r="I466" s="835" t="s">
        <v>36</v>
      </c>
      <c r="J466" s="768"/>
      <c r="K466" s="518" t="str">
        <f t="shared" si="175"/>
        <v>No alert</v>
      </c>
      <c r="L466" s="298"/>
      <c r="M466" s="104">
        <f t="shared" ref="M466:M467" si="176">L466*H466</f>
        <v>0</v>
      </c>
      <c r="N466" s="215"/>
      <c r="O466" s="217"/>
      <c r="P466" s="217"/>
      <c r="Q466" s="217"/>
      <c r="R466" s="217"/>
      <c r="S466" s="217"/>
      <c r="T466" s="217"/>
      <c r="U466" s="218"/>
      <c r="V466" s="768"/>
      <c r="W466" s="768"/>
      <c r="X466" s="768"/>
      <c r="Y466" s="768"/>
      <c r="Z466" s="768"/>
      <c r="AA466" s="768"/>
      <c r="AB466" s="768"/>
      <c r="AC466" s="768"/>
      <c r="AD466" s="768"/>
      <c r="AE466" s="768"/>
    </row>
    <row r="467" spans="1:61" s="520" customFormat="1">
      <c r="B467" s="307"/>
      <c r="C467" s="824">
        <f t="shared" si="174"/>
        <v>4</v>
      </c>
      <c r="D467" s="166"/>
      <c r="E467" s="65"/>
      <c r="F467" s="938"/>
      <c r="G467" s="939"/>
      <c r="H467" s="327"/>
      <c r="I467" s="835" t="s">
        <v>36</v>
      </c>
      <c r="J467" s="768"/>
      <c r="K467" s="518" t="str">
        <f t="shared" si="175"/>
        <v>No alert</v>
      </c>
      <c r="L467" s="298"/>
      <c r="M467" s="104">
        <f t="shared" si="176"/>
        <v>0</v>
      </c>
      <c r="N467" s="215"/>
      <c r="O467" s="217"/>
      <c r="P467" s="217"/>
      <c r="Q467" s="217"/>
      <c r="R467" s="217"/>
      <c r="S467" s="217"/>
      <c r="T467" s="217"/>
      <c r="U467" s="218"/>
      <c r="V467" s="768"/>
      <c r="W467" s="768"/>
      <c r="X467" s="768"/>
      <c r="Y467" s="768"/>
      <c r="Z467" s="768"/>
      <c r="AA467" s="768"/>
      <c r="AB467" s="768"/>
      <c r="AC467" s="768"/>
      <c r="AD467" s="768"/>
      <c r="AE467" s="768"/>
    </row>
    <row r="468" spans="1:61" s="520" customFormat="1" ht="18" customHeight="1">
      <c r="F468" s="768"/>
      <c r="G468" s="768"/>
      <c r="H468" s="868"/>
      <c r="I468" s="768"/>
      <c r="J468" s="768"/>
      <c r="K468" s="768"/>
      <c r="L468" s="768"/>
      <c r="M468" s="791"/>
      <c r="N468" s="801"/>
      <c r="O468" s="801"/>
      <c r="P468" s="801"/>
      <c r="Q468" s="801"/>
      <c r="R468" s="768"/>
      <c r="S468" s="768"/>
      <c r="T468" s="768"/>
      <c r="U468" s="768"/>
      <c r="V468" s="768"/>
      <c r="W468" s="768"/>
      <c r="X468" s="768"/>
      <c r="Y468" s="768"/>
      <c r="Z468" s="768"/>
      <c r="AA468" s="791"/>
      <c r="AB468" s="791"/>
      <c r="AC468" s="791"/>
      <c r="AD468" s="791"/>
      <c r="AE468" s="768"/>
      <c r="AF468" s="768"/>
      <c r="AG468" s="768"/>
      <c r="AH468" s="768"/>
      <c r="AI468" s="768"/>
      <c r="AJ468" s="768"/>
      <c r="AK468" s="768"/>
    </row>
    <row r="469" spans="1:61" s="520" customFormat="1" ht="18" customHeight="1">
      <c r="E469" s="734"/>
      <c r="F469" s="768"/>
      <c r="G469" s="768"/>
      <c r="H469" s="372">
        <f>SUM(H463:H468)</f>
        <v>0</v>
      </c>
      <c r="I469" s="835" t="s">
        <v>36</v>
      </c>
      <c r="K469" s="789"/>
      <c r="L469" s="789" t="s">
        <v>75</v>
      </c>
      <c r="M469" s="108">
        <f>SUM(M462:M467)</f>
        <v>0</v>
      </c>
      <c r="N469" s="797">
        <f>IF(H469=0,0,M469/H469)</f>
        <v>0</v>
      </c>
      <c r="O469" s="925" t="str">
        <f>I469</f>
        <v>m2</v>
      </c>
      <c r="P469" s="801"/>
      <c r="Q469" s="801"/>
      <c r="R469" s="734"/>
      <c r="S469" s="734"/>
      <c r="T469" s="768"/>
      <c r="U469" s="768"/>
      <c r="V469" s="768"/>
      <c r="W469" s="768"/>
      <c r="X469" s="768"/>
      <c r="Y469" s="768"/>
      <c r="Z469" s="791"/>
      <c r="AA469" s="791"/>
      <c r="AB469" s="791"/>
      <c r="AC469" s="791"/>
      <c r="AD469" s="768"/>
      <c r="AE469" s="768"/>
      <c r="AF469" s="768"/>
      <c r="AG469" s="768"/>
      <c r="AH469" s="768"/>
      <c r="AI469" s="768"/>
      <c r="AJ469" s="768"/>
    </row>
    <row r="470" spans="1:61" s="520" customFormat="1" ht="18" customHeight="1">
      <c r="E470" s="768"/>
      <c r="F470" s="768"/>
      <c r="G470" s="768"/>
      <c r="H470" s="768"/>
      <c r="I470" s="768"/>
      <c r="J470" s="768"/>
      <c r="K470" s="768"/>
      <c r="L470" s="768"/>
      <c r="M470" s="768"/>
      <c r="N470" s="801"/>
      <c r="O470" s="801"/>
      <c r="P470" s="801"/>
      <c r="Q470" s="801"/>
      <c r="R470" s="768"/>
      <c r="S470" s="768"/>
      <c r="T470" s="768"/>
      <c r="U470" s="768"/>
      <c r="V470" s="768"/>
      <c r="W470" s="768"/>
      <c r="X470" s="768"/>
      <c r="AF470" s="768"/>
      <c r="AG470" s="768"/>
      <c r="AH470" s="768"/>
      <c r="AI470" s="768"/>
      <c r="AJ470" s="768"/>
      <c r="AK470" s="768"/>
      <c r="AL470" s="768"/>
      <c r="AM470" s="768"/>
      <c r="AN470" s="768"/>
      <c r="AO470" s="768"/>
      <c r="AP470" s="768"/>
    </row>
    <row r="471" spans="1:61" s="520" customFormat="1" ht="18" customHeight="1">
      <c r="B471" s="287" t="s">
        <v>26</v>
      </c>
      <c r="C471" s="820" t="s">
        <v>249</v>
      </c>
      <c r="D471" s="816"/>
      <c r="F471" s="793"/>
      <c r="G471" s="768"/>
      <c r="H471" s="768"/>
      <c r="I471" s="768"/>
      <c r="J471" s="768"/>
      <c r="K471" s="768"/>
      <c r="L471" s="768"/>
      <c r="M471" s="768"/>
      <c r="N471" s="801"/>
      <c r="O471" s="801"/>
      <c r="P471" s="801"/>
      <c r="Q471" s="801"/>
      <c r="R471" s="768"/>
      <c r="S471" s="768"/>
      <c r="T471" s="768"/>
      <c r="U471" s="768"/>
      <c r="V471" s="768"/>
      <c r="W471" s="768"/>
      <c r="X471" s="768"/>
      <c r="Y471" s="768"/>
      <c r="Z471" s="768"/>
      <c r="AA471" s="768"/>
      <c r="AB471" s="768"/>
      <c r="AC471" s="768"/>
      <c r="AD471" s="768"/>
      <c r="AE471" s="768"/>
    </row>
    <row r="472" spans="1:61" s="495" customFormat="1" ht="31.9" customHeight="1">
      <c r="A472" s="875"/>
      <c r="B472" s="774" t="s">
        <v>1517</v>
      </c>
      <c r="C472" s="774" t="s">
        <v>27</v>
      </c>
      <c r="D472" s="821" t="s">
        <v>1583</v>
      </c>
      <c r="E472" s="812" t="s">
        <v>111</v>
      </c>
      <c r="F472" s="822"/>
      <c r="G472" s="823"/>
      <c r="H472" s="823" t="s">
        <v>244</v>
      </c>
      <c r="I472" s="773" t="s">
        <v>2</v>
      </c>
      <c r="J472" s="773" t="s">
        <v>1585</v>
      </c>
      <c r="K472" s="773" t="s">
        <v>1549</v>
      </c>
      <c r="L472" s="773" t="s">
        <v>1586</v>
      </c>
      <c r="M472" s="775" t="s">
        <v>1587</v>
      </c>
      <c r="N472" s="776" t="s">
        <v>1526</v>
      </c>
      <c r="O472" s="777"/>
      <c r="P472" s="777"/>
      <c r="Q472" s="777"/>
      <c r="R472" s="777"/>
      <c r="S472" s="777"/>
      <c r="T472" s="777"/>
      <c r="U472" s="778"/>
      <c r="V472" s="793"/>
      <c r="W472" s="793"/>
      <c r="AI472" s="520"/>
      <c r="AJ472" s="520"/>
      <c r="BH472" s="520"/>
      <c r="BI472" s="520"/>
    </row>
    <row r="473" spans="1:61" s="520" customFormat="1" ht="18" customHeight="1">
      <c r="A473" s="768"/>
      <c r="B473" s="768"/>
      <c r="C473" s="768"/>
      <c r="D473" s="768"/>
      <c r="E473" s="768"/>
      <c r="F473" s="768"/>
      <c r="G473" s="768"/>
      <c r="H473" s="768"/>
      <c r="I473" s="768"/>
      <c r="J473" s="768"/>
      <c r="K473" s="768"/>
      <c r="L473" s="768"/>
      <c r="M473" s="768"/>
      <c r="N473" s="748"/>
      <c r="O473" s="474"/>
      <c r="P473" s="474"/>
      <c r="Q473" s="474"/>
      <c r="R473" s="474"/>
      <c r="S473" s="474"/>
      <c r="T473" s="474"/>
      <c r="U473" s="779"/>
      <c r="V473" s="768"/>
      <c r="W473" s="768"/>
      <c r="X473" s="768"/>
      <c r="Y473" s="768"/>
      <c r="Z473" s="768"/>
      <c r="AA473" s="768"/>
      <c r="AB473" s="768"/>
      <c r="AC473" s="768"/>
      <c r="AD473" s="768"/>
      <c r="AE473" s="768"/>
    </row>
    <row r="474" spans="1:61" s="520" customFormat="1">
      <c r="B474" s="307"/>
      <c r="C474" s="824">
        <v>1</v>
      </c>
      <c r="D474" s="166"/>
      <c r="E474" s="780" t="str">
        <f>VLOOKUP($J474,TOV!$C$199:$G$217,TOV!$E$1,FALSE)</f>
        <v xml:space="preserve">Sewage Plant
</v>
      </c>
      <c r="F474" s="833"/>
      <c r="G474" s="834"/>
      <c r="H474" s="316"/>
      <c r="I474" s="827" t="str">
        <f>VLOOKUP($J474,TOV!$C$85:$G$217,TOV!$G$1,FALSE)</f>
        <v>kL/day</v>
      </c>
      <c r="J474" s="828" t="str">
        <f>TOV!$C$200</f>
        <v>#3.116</v>
      </c>
      <c r="K474" s="63">
        <f>VLOOKUP($J474,TOV!$C$199:$G$217,TOV!$F$1,FALSE)</f>
        <v>144.18701673232124</v>
      </c>
      <c r="L474" s="298"/>
      <c r="M474" s="104">
        <f>IF(L474="",K474,L474)*H474</f>
        <v>0</v>
      </c>
      <c r="N474" s="215"/>
      <c r="O474" s="217"/>
      <c r="P474" s="217"/>
      <c r="Q474" s="217"/>
      <c r="R474" s="217"/>
      <c r="S474" s="217"/>
      <c r="T474" s="217"/>
      <c r="U474" s="218"/>
      <c r="V474" s="768"/>
      <c r="W474" s="768"/>
      <c r="X474" s="768"/>
      <c r="Y474" s="768"/>
      <c r="Z474" s="768"/>
      <c r="AA474" s="768"/>
      <c r="AB474" s="768"/>
      <c r="AC474" s="768"/>
      <c r="AD474" s="768"/>
      <c r="AE474" s="768"/>
    </row>
    <row r="475" spans="1:61" s="520" customFormat="1">
      <c r="B475" s="307"/>
      <c r="C475" s="824">
        <f t="shared" ref="C475:C477" si="177">C474+1</f>
        <v>2</v>
      </c>
      <c r="D475" s="166"/>
      <c r="E475" s="65"/>
      <c r="F475" s="938"/>
      <c r="G475" s="939"/>
      <c r="H475" s="316"/>
      <c r="I475" s="835" t="s">
        <v>250</v>
      </c>
      <c r="J475" s="768"/>
      <c r="K475" s="518" t="str">
        <f t="shared" ref="K475:K477" si="178">IF(AND(H475&gt;0,OR(L475="",L475=0)),"Enter Rate","No alert")</f>
        <v>No alert</v>
      </c>
      <c r="L475" s="298"/>
      <c r="M475" s="104">
        <f>L475*H475</f>
        <v>0</v>
      </c>
      <c r="N475" s="215"/>
      <c r="O475" s="217"/>
      <c r="P475" s="217"/>
      <c r="Q475" s="217"/>
      <c r="R475" s="217"/>
      <c r="S475" s="217"/>
      <c r="T475" s="217"/>
      <c r="U475" s="218"/>
      <c r="V475" s="768"/>
      <c r="W475" s="768"/>
      <c r="X475" s="768"/>
      <c r="Y475" s="768"/>
      <c r="Z475" s="768"/>
      <c r="AA475" s="768"/>
      <c r="AB475" s="768"/>
      <c r="AC475" s="768"/>
      <c r="AD475" s="768"/>
      <c r="AE475" s="768"/>
    </row>
    <row r="476" spans="1:61" s="520" customFormat="1">
      <c r="B476" s="307"/>
      <c r="C476" s="824">
        <f t="shared" si="177"/>
        <v>3</v>
      </c>
      <c r="D476" s="166"/>
      <c r="E476" s="65"/>
      <c r="F476" s="938"/>
      <c r="G476" s="939"/>
      <c r="H476" s="316"/>
      <c r="I476" s="835" t="s">
        <v>250</v>
      </c>
      <c r="J476" s="768"/>
      <c r="K476" s="518" t="str">
        <f t="shared" si="178"/>
        <v>No alert</v>
      </c>
      <c r="L476" s="298"/>
      <c r="M476" s="104">
        <f t="shared" ref="M476:M477" si="179">L476*H476</f>
        <v>0</v>
      </c>
      <c r="N476" s="215"/>
      <c r="O476" s="217"/>
      <c r="P476" s="217"/>
      <c r="Q476" s="217"/>
      <c r="R476" s="217"/>
      <c r="S476" s="217"/>
      <c r="T476" s="217"/>
      <c r="U476" s="218"/>
      <c r="V476" s="768"/>
      <c r="W476" s="768"/>
      <c r="X476" s="768"/>
      <c r="Y476" s="768"/>
      <c r="Z476" s="768"/>
      <c r="AA476" s="768"/>
      <c r="AB476" s="768"/>
      <c r="AC476" s="768"/>
      <c r="AD476" s="768"/>
      <c r="AE476" s="768"/>
    </row>
    <row r="477" spans="1:61" s="520" customFormat="1">
      <c r="B477" s="307"/>
      <c r="C477" s="824">
        <f t="shared" si="177"/>
        <v>4</v>
      </c>
      <c r="D477" s="166"/>
      <c r="E477" s="65"/>
      <c r="F477" s="938"/>
      <c r="G477" s="939"/>
      <c r="H477" s="316"/>
      <c r="I477" s="835" t="s">
        <v>250</v>
      </c>
      <c r="J477" s="768"/>
      <c r="K477" s="518" t="str">
        <f t="shared" si="178"/>
        <v>No alert</v>
      </c>
      <c r="L477" s="298"/>
      <c r="M477" s="104">
        <f t="shared" si="179"/>
        <v>0</v>
      </c>
      <c r="N477" s="215"/>
      <c r="O477" s="217"/>
      <c r="P477" s="217"/>
      <c r="Q477" s="217"/>
      <c r="R477" s="217"/>
      <c r="S477" s="217"/>
      <c r="T477" s="217"/>
      <c r="U477" s="218"/>
      <c r="V477" s="768"/>
      <c r="W477" s="768"/>
      <c r="X477" s="768"/>
      <c r="Y477" s="768"/>
      <c r="Z477" s="768"/>
      <c r="AA477" s="768"/>
      <c r="AB477" s="768"/>
      <c r="AC477" s="768"/>
      <c r="AD477" s="768"/>
      <c r="AE477" s="768"/>
    </row>
    <row r="478" spans="1:61" s="520" customFormat="1" ht="18" customHeight="1">
      <c r="F478" s="768"/>
      <c r="G478" s="768"/>
      <c r="H478" s="868"/>
      <c r="I478" s="768"/>
      <c r="J478" s="768"/>
      <c r="K478" s="768"/>
      <c r="L478" s="768"/>
      <c r="M478" s="791"/>
      <c r="N478" s="801"/>
      <c r="O478" s="801"/>
      <c r="P478" s="801"/>
      <c r="Q478" s="801"/>
      <c r="R478" s="768"/>
      <c r="S478" s="768"/>
      <c r="T478" s="768"/>
      <c r="U478" s="768"/>
      <c r="V478" s="768"/>
      <c r="W478" s="768"/>
      <c r="X478" s="768"/>
      <c r="Y478" s="768"/>
      <c r="Z478" s="768"/>
      <c r="AA478" s="791"/>
      <c r="AB478" s="791"/>
      <c r="AC478" s="791"/>
      <c r="AD478" s="791"/>
      <c r="AE478" s="768"/>
      <c r="AF478" s="768"/>
      <c r="AG478" s="768"/>
      <c r="AH478" s="768"/>
      <c r="AI478" s="768"/>
      <c r="AJ478" s="768"/>
      <c r="AK478" s="768"/>
    </row>
    <row r="479" spans="1:61" s="520" customFormat="1" ht="18" customHeight="1">
      <c r="E479" s="734"/>
      <c r="F479" s="768"/>
      <c r="G479" s="768"/>
      <c r="H479" s="372">
        <f>SUM(H473:H478)</f>
        <v>0</v>
      </c>
      <c r="I479" s="835" t="str">
        <f>I474</f>
        <v>kL/day</v>
      </c>
      <c r="K479" s="789"/>
      <c r="L479" s="789" t="s">
        <v>75</v>
      </c>
      <c r="M479" s="108">
        <f>SUM(M472:M477)</f>
        <v>0</v>
      </c>
      <c r="N479" s="797">
        <f>IF(H479=0,0,M479/H479)</f>
        <v>0</v>
      </c>
      <c r="O479" s="925" t="str">
        <f>I479</f>
        <v>kL/day</v>
      </c>
      <c r="P479" s="801"/>
      <c r="Q479" s="801"/>
      <c r="R479" s="734"/>
      <c r="S479" s="734"/>
      <c r="T479" s="768"/>
      <c r="U479" s="768"/>
      <c r="V479" s="768"/>
      <c r="W479" s="768"/>
      <c r="X479" s="768"/>
      <c r="Y479" s="768"/>
      <c r="Z479" s="791"/>
      <c r="AA479" s="791"/>
      <c r="AB479" s="791"/>
      <c r="AC479" s="791"/>
      <c r="AD479" s="768"/>
      <c r="AE479" s="768"/>
      <c r="AF479" s="768"/>
      <c r="AG479" s="768"/>
      <c r="AH479" s="768"/>
      <c r="AI479" s="768"/>
      <c r="AJ479" s="768"/>
    </row>
    <row r="480" spans="1:61" s="520" customFormat="1" ht="18" customHeight="1">
      <c r="E480" s="768"/>
      <c r="F480" s="768"/>
      <c r="G480" s="768"/>
      <c r="H480" s="768"/>
      <c r="I480" s="768"/>
      <c r="J480" s="768"/>
      <c r="K480" s="768"/>
      <c r="L480" s="768"/>
      <c r="M480" s="768"/>
      <c r="N480" s="801"/>
      <c r="O480" s="801"/>
      <c r="P480" s="801"/>
      <c r="Q480" s="801"/>
      <c r="R480" s="768"/>
      <c r="S480" s="768"/>
      <c r="T480" s="768"/>
      <c r="U480" s="768"/>
      <c r="V480" s="768"/>
      <c r="W480" s="768"/>
      <c r="X480" s="768"/>
      <c r="Y480" s="768"/>
      <c r="Z480" s="768"/>
      <c r="AA480" s="768"/>
      <c r="AB480" s="768"/>
      <c r="AC480" s="768"/>
      <c r="AD480" s="768"/>
      <c r="AE480" s="768"/>
      <c r="AF480" s="768"/>
      <c r="AG480" s="768"/>
      <c r="AH480" s="768"/>
      <c r="AI480" s="768"/>
      <c r="AJ480" s="768"/>
    </row>
    <row r="481" spans="1:61" s="520" customFormat="1" ht="18" customHeight="1">
      <c r="B481" s="287" t="s">
        <v>26</v>
      </c>
      <c r="C481" s="820" t="s">
        <v>1739</v>
      </c>
      <c r="D481" s="816"/>
      <c r="E481" s="932"/>
      <c r="F481" s="793"/>
      <c r="G481" s="768"/>
      <c r="H481" s="768"/>
      <c r="I481" s="768"/>
      <c r="J481" s="768"/>
      <c r="K481" s="768"/>
      <c r="L481" s="768"/>
      <c r="M481" s="768"/>
      <c r="N481" s="801"/>
      <c r="O481" s="801"/>
      <c r="P481" s="801"/>
      <c r="Q481" s="801"/>
      <c r="R481" s="768"/>
      <c r="S481" s="768"/>
      <c r="T481" s="768"/>
      <c r="U481" s="768"/>
      <c r="V481" s="768"/>
      <c r="W481" s="768"/>
      <c r="X481" s="768"/>
      <c r="Y481" s="768"/>
      <c r="Z481" s="768"/>
      <c r="AA481" s="768"/>
      <c r="AB481" s="768"/>
      <c r="AC481" s="768"/>
      <c r="AD481" s="768"/>
      <c r="AE481" s="768"/>
    </row>
    <row r="482" spans="1:61" s="495" customFormat="1" ht="31.9" customHeight="1">
      <c r="A482" s="875"/>
      <c r="B482" s="774" t="s">
        <v>1517</v>
      </c>
      <c r="C482" s="774" t="s">
        <v>27</v>
      </c>
      <c r="D482" s="821" t="s">
        <v>1583</v>
      </c>
      <c r="E482" s="812" t="s">
        <v>111</v>
      </c>
      <c r="F482" s="822"/>
      <c r="G482" s="823"/>
      <c r="H482" s="823" t="s">
        <v>244</v>
      </c>
      <c r="I482" s="773" t="s">
        <v>2</v>
      </c>
      <c r="J482" s="773" t="s">
        <v>1585</v>
      </c>
      <c r="K482" s="773" t="s">
        <v>1549</v>
      </c>
      <c r="L482" s="773" t="s">
        <v>1586</v>
      </c>
      <c r="M482" s="775" t="s">
        <v>1587</v>
      </c>
      <c r="N482" s="776" t="s">
        <v>1526</v>
      </c>
      <c r="O482" s="777"/>
      <c r="P482" s="777"/>
      <c r="Q482" s="777"/>
      <c r="R482" s="777"/>
      <c r="S482" s="777"/>
      <c r="T482" s="777"/>
      <c r="U482" s="778"/>
      <c r="V482" s="793"/>
      <c r="W482" s="793"/>
      <c r="AI482" s="520"/>
      <c r="AJ482" s="520"/>
      <c r="BH482" s="520"/>
      <c r="BI482" s="520"/>
    </row>
    <row r="483" spans="1:61" s="520" customFormat="1" ht="18" customHeight="1">
      <c r="A483" s="768"/>
      <c r="B483" s="768"/>
      <c r="C483" s="768"/>
      <c r="D483" s="768"/>
      <c r="E483" s="768"/>
      <c r="F483" s="768"/>
      <c r="G483" s="768"/>
      <c r="H483" s="768"/>
      <c r="I483" s="768"/>
      <c r="J483" s="768"/>
      <c r="K483" s="768"/>
      <c r="L483" s="768"/>
      <c r="M483" s="768"/>
      <c r="N483" s="748"/>
      <c r="O483" s="474"/>
      <c r="P483" s="474"/>
      <c r="Q483" s="474"/>
      <c r="R483" s="474"/>
      <c r="S483" s="474"/>
      <c r="T483" s="474"/>
      <c r="U483" s="779"/>
      <c r="V483" s="768"/>
      <c r="W483" s="768"/>
      <c r="X483" s="768"/>
      <c r="Y483" s="768"/>
      <c r="Z483" s="768"/>
      <c r="AA483" s="768"/>
      <c r="AB483" s="768"/>
      <c r="AC483" s="768"/>
      <c r="AD483" s="768"/>
      <c r="AE483" s="768"/>
    </row>
    <row r="484" spans="1:61" s="520" customFormat="1">
      <c r="B484" s="307"/>
      <c r="C484" s="824">
        <v>1</v>
      </c>
      <c r="D484" s="37"/>
      <c r="E484" s="780" t="str">
        <f>VLOOKUP($J484,TOV!$C$85:$G$217,TOV!$E$1,FALSE)</f>
        <v xml:space="preserve">Rehabilitation of infrastructure footprints
</v>
      </c>
      <c r="F484" s="833"/>
      <c r="G484" s="834"/>
      <c r="H484" s="316"/>
      <c r="I484" s="827" t="str">
        <f>VLOOKUP($J484,TOV!$C$85:$G$217,TOV!$G$1,FALSE)</f>
        <v>m2</v>
      </c>
      <c r="J484" s="828" t="str">
        <f>TOV!$C$217</f>
        <v>#3.133</v>
      </c>
      <c r="K484" s="63">
        <f>VLOOKUP($J484,TOV!$C$85:$G$217,TOV!$F$1,FALSE)</f>
        <v>0.65</v>
      </c>
      <c r="L484" s="298"/>
      <c r="M484" s="104">
        <f>IF(L484="",K484,L484)*H484</f>
        <v>0</v>
      </c>
      <c r="N484" s="215"/>
      <c r="O484" s="217"/>
      <c r="P484" s="217"/>
      <c r="Q484" s="217"/>
      <c r="R484" s="217"/>
      <c r="S484" s="217"/>
      <c r="T484" s="217"/>
      <c r="U484" s="218"/>
      <c r="V484" s="768"/>
      <c r="W484" s="768"/>
      <c r="X484" s="768"/>
      <c r="Y484" s="768"/>
      <c r="Z484" s="768"/>
      <c r="AA484" s="768"/>
      <c r="AB484" s="768"/>
      <c r="AC484" s="768"/>
      <c r="AD484" s="768"/>
      <c r="AE484" s="768"/>
    </row>
    <row r="485" spans="1:61" s="520" customFormat="1">
      <c r="B485" s="307"/>
      <c r="C485" s="824">
        <f t="shared" ref="C485:C487" si="180">C484+1</f>
        <v>2</v>
      </c>
      <c r="D485" s="37"/>
      <c r="E485" s="65"/>
      <c r="F485" s="938"/>
      <c r="G485" s="939"/>
      <c r="H485" s="316"/>
      <c r="I485" s="835" t="s">
        <v>36</v>
      </c>
      <c r="J485" s="768"/>
      <c r="K485" s="518" t="str">
        <f t="shared" ref="K485:K487" si="181">IF(AND(H485&gt;0,OR(L485="",L485=0)),"Enter Rate","No alert")</f>
        <v>No alert</v>
      </c>
      <c r="L485" s="298"/>
      <c r="M485" s="104">
        <f>L485*H485</f>
        <v>0</v>
      </c>
      <c r="N485" s="215"/>
      <c r="O485" s="217"/>
      <c r="P485" s="217"/>
      <c r="Q485" s="217"/>
      <c r="R485" s="217"/>
      <c r="S485" s="217"/>
      <c r="T485" s="217"/>
      <c r="U485" s="218"/>
      <c r="V485" s="768"/>
      <c r="W485" s="768"/>
      <c r="X485" s="768"/>
      <c r="Y485" s="768"/>
      <c r="Z485" s="768"/>
      <c r="AA485" s="768"/>
      <c r="AB485" s="768"/>
      <c r="AC485" s="768"/>
      <c r="AD485" s="768"/>
      <c r="AE485" s="768"/>
    </row>
    <row r="486" spans="1:61" s="520" customFormat="1">
      <c r="B486" s="307"/>
      <c r="C486" s="824">
        <f t="shared" si="180"/>
        <v>3</v>
      </c>
      <c r="D486" s="37"/>
      <c r="E486" s="65"/>
      <c r="F486" s="938"/>
      <c r="G486" s="939"/>
      <c r="H486" s="316"/>
      <c r="I486" s="835" t="s">
        <v>36</v>
      </c>
      <c r="J486" s="768"/>
      <c r="K486" s="518" t="str">
        <f t="shared" si="181"/>
        <v>No alert</v>
      </c>
      <c r="L486" s="298"/>
      <c r="M486" s="104">
        <f t="shared" ref="M486:M487" si="182">L486*H486</f>
        <v>0</v>
      </c>
      <c r="N486" s="215"/>
      <c r="O486" s="217"/>
      <c r="P486" s="217"/>
      <c r="Q486" s="217"/>
      <c r="R486" s="217"/>
      <c r="S486" s="217"/>
      <c r="T486" s="217"/>
      <c r="U486" s="218"/>
      <c r="V486" s="768"/>
      <c r="W486" s="768"/>
      <c r="X486" s="768"/>
      <c r="Y486" s="768"/>
      <c r="Z486" s="768"/>
      <c r="AA486" s="768"/>
      <c r="AB486" s="768"/>
      <c r="AC486" s="768"/>
      <c r="AD486" s="768"/>
      <c r="AE486" s="768"/>
    </row>
    <row r="487" spans="1:61" s="520" customFormat="1">
      <c r="B487" s="307"/>
      <c r="C487" s="824">
        <f t="shared" si="180"/>
        <v>4</v>
      </c>
      <c r="D487" s="37"/>
      <c r="E487" s="65"/>
      <c r="F487" s="938"/>
      <c r="G487" s="939"/>
      <c r="H487" s="316"/>
      <c r="I487" s="835" t="s">
        <v>36</v>
      </c>
      <c r="J487" s="768"/>
      <c r="K487" s="518" t="str">
        <f t="shared" si="181"/>
        <v>No alert</v>
      </c>
      <c r="L487" s="298"/>
      <c r="M487" s="104">
        <f t="shared" si="182"/>
        <v>0</v>
      </c>
      <c r="N487" s="215"/>
      <c r="O487" s="217"/>
      <c r="P487" s="217"/>
      <c r="Q487" s="217"/>
      <c r="R487" s="217"/>
      <c r="S487" s="217"/>
      <c r="T487" s="217"/>
      <c r="U487" s="218"/>
      <c r="V487" s="768"/>
      <c r="W487" s="768"/>
      <c r="X487" s="768"/>
      <c r="Y487" s="768"/>
      <c r="Z487" s="768"/>
      <c r="AA487" s="768"/>
      <c r="AB487" s="768"/>
      <c r="AC487" s="768"/>
      <c r="AD487" s="768"/>
      <c r="AE487" s="768"/>
    </row>
    <row r="488" spans="1:61" s="520" customFormat="1" ht="18" customHeight="1">
      <c r="F488" s="768"/>
      <c r="G488" s="768"/>
      <c r="H488" s="868"/>
      <c r="I488" s="768"/>
      <c r="J488" s="768"/>
      <c r="K488" s="768"/>
      <c r="L488" s="768"/>
      <c r="M488" s="791"/>
      <c r="N488" s="801"/>
      <c r="O488" s="801"/>
      <c r="P488" s="801"/>
      <c r="Q488" s="801"/>
      <c r="R488" s="768"/>
      <c r="S488" s="768"/>
      <c r="T488" s="768"/>
      <c r="U488" s="768"/>
      <c r="V488" s="768"/>
      <c r="W488" s="768"/>
      <c r="X488" s="768"/>
      <c r="Y488" s="768"/>
      <c r="Z488" s="768"/>
      <c r="AG488" s="768"/>
      <c r="AH488" s="768"/>
      <c r="AJ488" s="768"/>
      <c r="AK488" s="768"/>
      <c r="AL488" s="768"/>
      <c r="AM488" s="768"/>
      <c r="AN488" s="768"/>
      <c r="AP488" s="768"/>
    </row>
    <row r="489" spans="1:61" s="520" customFormat="1" ht="18" customHeight="1">
      <c r="E489" s="734"/>
      <c r="F489" s="734"/>
      <c r="H489" s="372">
        <f>SUM(H483:H488)</f>
        <v>0</v>
      </c>
      <c r="I489" s="835" t="s">
        <v>36</v>
      </c>
      <c r="J489" s="768"/>
      <c r="K489" s="768"/>
      <c r="L489" s="789" t="s">
        <v>75</v>
      </c>
      <c r="M489" s="108">
        <f>SUM(M482:M487)</f>
        <v>0</v>
      </c>
      <c r="N489" s="797">
        <f>IF(H489=0,0,M489/H489)</f>
        <v>0</v>
      </c>
      <c r="O489" s="925" t="str">
        <f>I489</f>
        <v>m2</v>
      </c>
      <c r="P489" s="801"/>
      <c r="Q489" s="801"/>
      <c r="R489" s="734"/>
      <c r="S489" s="734"/>
      <c r="T489" s="768"/>
      <c r="U489" s="768"/>
      <c r="V489" s="768"/>
      <c r="W489" s="768"/>
      <c r="X489" s="768"/>
      <c r="Y489" s="768"/>
      <c r="Z489" s="791"/>
      <c r="AA489" s="918"/>
      <c r="AB489" s="918"/>
      <c r="AE489" s="918"/>
      <c r="AF489" s="918"/>
      <c r="AG489" s="768"/>
      <c r="AH489" s="768"/>
      <c r="AI489" s="918"/>
      <c r="AJ489" s="918"/>
      <c r="AK489" s="918"/>
      <c r="AL489" s="918"/>
      <c r="AM489" s="768"/>
      <c r="AN489" s="918"/>
    </row>
    <row r="490" spans="1:61" s="520" customFormat="1" ht="18" customHeight="1">
      <c r="E490" s="768"/>
      <c r="F490" s="768"/>
      <c r="G490" s="768"/>
      <c r="H490" s="768"/>
      <c r="I490" s="768"/>
      <c r="J490" s="768"/>
      <c r="K490" s="768"/>
      <c r="L490" s="768"/>
      <c r="M490" s="768"/>
      <c r="N490" s="801"/>
      <c r="O490" s="801"/>
      <c r="P490" s="801"/>
      <c r="Q490" s="801"/>
      <c r="R490" s="768"/>
      <c r="S490" s="768"/>
      <c r="T490" s="768"/>
      <c r="U490" s="768"/>
      <c r="V490" s="768"/>
      <c r="W490" s="768"/>
      <c r="X490" s="768"/>
      <c r="AF490" s="768"/>
      <c r="AG490" s="768"/>
      <c r="AH490" s="768"/>
      <c r="AI490" s="768"/>
      <c r="AJ490" s="768"/>
      <c r="AK490" s="768"/>
      <c r="AL490" s="768"/>
      <c r="AM490" s="768"/>
      <c r="AN490" s="768"/>
      <c r="AO490" s="768"/>
      <c r="AP490" s="768"/>
    </row>
    <row r="491" spans="1:61" s="520" customFormat="1" ht="18" customHeight="1">
      <c r="B491" s="287" t="s">
        <v>26</v>
      </c>
      <c r="C491" s="820" t="s">
        <v>1580</v>
      </c>
      <c r="D491" s="816"/>
      <c r="F491" s="793"/>
      <c r="G491" s="768"/>
      <c r="H491" s="768"/>
      <c r="I491" s="768"/>
      <c r="J491" s="768"/>
      <c r="K491" s="768"/>
      <c r="L491" s="768"/>
      <c r="M491" s="768"/>
      <c r="N491" s="801"/>
      <c r="O491" s="801"/>
      <c r="P491" s="801"/>
      <c r="Q491" s="801"/>
      <c r="R491" s="768"/>
      <c r="S491" s="768"/>
      <c r="T491" s="768"/>
      <c r="U491" s="768"/>
      <c r="V491" s="768"/>
      <c r="W491" s="768"/>
      <c r="X491" s="768"/>
      <c r="Y491" s="768"/>
      <c r="Z491" s="768"/>
      <c r="AA491" s="768"/>
      <c r="AB491" s="768"/>
      <c r="AC491" s="768"/>
      <c r="AD491" s="768"/>
      <c r="AE491" s="768"/>
    </row>
    <row r="492" spans="1:61" s="495" customFormat="1" ht="31.9" customHeight="1">
      <c r="A492" s="875"/>
      <c r="B492" s="774" t="s">
        <v>1517</v>
      </c>
      <c r="C492" s="774" t="s">
        <v>27</v>
      </c>
      <c r="D492" s="821" t="s">
        <v>1583</v>
      </c>
      <c r="E492" s="812" t="s">
        <v>111</v>
      </c>
      <c r="F492" s="822"/>
      <c r="G492" s="823"/>
      <c r="H492" s="823" t="s">
        <v>244</v>
      </c>
      <c r="I492" s="773" t="s">
        <v>2</v>
      </c>
      <c r="J492" s="773" t="s">
        <v>1585</v>
      </c>
      <c r="K492" s="773" t="s">
        <v>1549</v>
      </c>
      <c r="L492" s="773" t="s">
        <v>1586</v>
      </c>
      <c r="M492" s="775" t="s">
        <v>1587</v>
      </c>
      <c r="N492" s="776" t="s">
        <v>1526</v>
      </c>
      <c r="O492" s="777"/>
      <c r="P492" s="777"/>
      <c r="Q492" s="777"/>
      <c r="R492" s="777"/>
      <c r="S492" s="777"/>
      <c r="T492" s="777"/>
      <c r="U492" s="778"/>
      <c r="V492" s="793"/>
      <c r="W492" s="793"/>
      <c r="AI492" s="520"/>
      <c r="AJ492" s="520"/>
      <c r="BH492" s="520"/>
      <c r="BI492" s="520"/>
    </row>
    <row r="493" spans="1:61" s="520" customFormat="1" ht="18" customHeight="1">
      <c r="A493" s="768"/>
      <c r="B493" s="768"/>
      <c r="C493" s="768"/>
      <c r="D493" s="768"/>
      <c r="E493" s="768"/>
      <c r="F493" s="768"/>
      <c r="G493" s="768"/>
      <c r="H493" s="768"/>
      <c r="I493" s="768"/>
      <c r="J493" s="768"/>
      <c r="K493" s="768"/>
      <c r="L493" s="768"/>
      <c r="M493" s="768"/>
      <c r="N493" s="748"/>
      <c r="O493" s="474"/>
      <c r="P493" s="474"/>
      <c r="Q493" s="474"/>
      <c r="R493" s="474"/>
      <c r="S493" s="474"/>
      <c r="T493" s="474"/>
      <c r="U493" s="779"/>
      <c r="V493" s="768"/>
      <c r="W493" s="768"/>
      <c r="X493" s="768"/>
      <c r="Y493" s="768"/>
      <c r="Z493" s="768"/>
      <c r="AA493" s="768"/>
      <c r="AB493" s="768"/>
      <c r="AC493" s="768"/>
      <c r="AD493" s="768"/>
      <c r="AE493" s="768"/>
    </row>
    <row r="494" spans="1:61" s="520" customFormat="1">
      <c r="B494" s="307"/>
      <c r="C494" s="824">
        <v>1</v>
      </c>
      <c r="D494" s="166"/>
      <c r="E494" s="780" t="str">
        <f>VLOOKUP($J494,TOV!$C$85:$G$217,TOV!$E$1,FALSE)</f>
        <v>Remove fence (cyclone/wire fence)</v>
      </c>
      <c r="F494" s="833"/>
      <c r="G494" s="834"/>
      <c r="H494" s="316"/>
      <c r="I494" s="827" t="str">
        <f>VLOOKUP($J494,TOV!$C$85:$G$217,TOV!$G$1,FALSE)</f>
        <v>m</v>
      </c>
      <c r="J494" s="828" t="str">
        <f>TOV!$C214</f>
        <v>#3.130</v>
      </c>
      <c r="K494" s="63">
        <f>VLOOKUP($J494,TOV!$C$85:$G$217,TOV!$F$1,FALSE)</f>
        <v>20</v>
      </c>
      <c r="L494" s="298"/>
      <c r="M494" s="104">
        <f>IF(L494="",K494,L494)*H494</f>
        <v>0</v>
      </c>
      <c r="N494" s="215"/>
      <c r="O494" s="217"/>
      <c r="P494" s="217"/>
      <c r="Q494" s="217"/>
      <c r="R494" s="217"/>
      <c r="S494" s="217"/>
      <c r="T494" s="217"/>
      <c r="U494" s="218"/>
      <c r="V494" s="768"/>
      <c r="W494" s="768"/>
      <c r="X494" s="768"/>
      <c r="Y494" s="768"/>
      <c r="Z494" s="768"/>
      <c r="AA494" s="768"/>
      <c r="AB494" s="768"/>
      <c r="AC494" s="768"/>
      <c r="AD494" s="768"/>
      <c r="AE494" s="768"/>
    </row>
    <row r="495" spans="1:61" s="520" customFormat="1">
      <c r="B495" s="307"/>
      <c r="C495" s="824">
        <f t="shared" ref="C495:C499" si="183">C494+1</f>
        <v>2</v>
      </c>
      <c r="D495" s="166"/>
      <c r="E495" s="780" t="str">
        <f>VLOOKUP($J495,TOV!$C$85:$G$217,TOV!$E$1,FALSE)</f>
        <v>Construct no-climb stock fence around rehabilitated areas</v>
      </c>
      <c r="F495" s="833"/>
      <c r="G495" s="834"/>
      <c r="H495" s="316"/>
      <c r="I495" s="827" t="str">
        <f>VLOOKUP($J495,TOV!$C$85:$G$217,TOV!$G$1,FALSE)</f>
        <v>m</v>
      </c>
      <c r="J495" s="828" t="str">
        <f>TOV!$C215</f>
        <v>#3.131</v>
      </c>
      <c r="K495" s="63">
        <f>VLOOKUP($J495,TOV!$C$85:$G$217,TOV!$F$1,FALSE)</f>
        <v>21.12</v>
      </c>
      <c r="L495" s="298"/>
      <c r="M495" s="104">
        <f t="shared" ref="M495:M496" si="184">IF(L495="",K495,L495)*H495</f>
        <v>0</v>
      </c>
      <c r="N495" s="215"/>
      <c r="O495" s="217"/>
      <c r="P495" s="217"/>
      <c r="Q495" s="217"/>
      <c r="R495" s="217"/>
      <c r="S495" s="217"/>
      <c r="T495" s="217"/>
      <c r="U495" s="218"/>
      <c r="V495" s="768"/>
      <c r="W495" s="768"/>
      <c r="X495" s="768"/>
      <c r="Y495" s="768"/>
      <c r="Z495" s="768"/>
      <c r="AA495" s="768"/>
      <c r="AB495" s="768"/>
      <c r="AC495" s="768"/>
      <c r="AD495" s="768"/>
      <c r="AE495" s="768"/>
    </row>
    <row r="496" spans="1:61" s="520" customFormat="1">
      <c r="B496" s="307"/>
      <c r="C496" s="824">
        <f t="shared" si="183"/>
        <v>3</v>
      </c>
      <c r="D496" s="166"/>
      <c r="E496" s="780" t="str">
        <f>VLOOKUP($J496,TOV!$C$85:$G$217,TOV!$E$1,FALSE)</f>
        <v>Construct standard stock fence around rehabilitated areas</v>
      </c>
      <c r="F496" s="833"/>
      <c r="G496" s="834"/>
      <c r="H496" s="316"/>
      <c r="I496" s="827" t="str">
        <f>VLOOKUP($J496,TOV!$C$85:$G$217,TOV!$G$1,FALSE)</f>
        <v>m</v>
      </c>
      <c r="J496" s="828" t="str">
        <f>TOV!$C216</f>
        <v>#3.132</v>
      </c>
      <c r="K496" s="63">
        <f>VLOOKUP($J496,TOV!$C$85:$G$217,TOV!$F$1,FALSE)</f>
        <v>16.72</v>
      </c>
      <c r="L496" s="298"/>
      <c r="M496" s="104">
        <f t="shared" si="184"/>
        <v>0</v>
      </c>
      <c r="N496" s="215"/>
      <c r="O496" s="217"/>
      <c r="P496" s="217"/>
      <c r="Q496" s="217"/>
      <c r="R496" s="217"/>
      <c r="S496" s="217"/>
      <c r="T496" s="217"/>
      <c r="U496" s="218"/>
      <c r="V496" s="768"/>
      <c r="W496" s="768"/>
      <c r="X496" s="768"/>
      <c r="Y496" s="768"/>
      <c r="Z496" s="768"/>
      <c r="AA496" s="768"/>
      <c r="AB496" s="768"/>
      <c r="AC496" s="768"/>
      <c r="AD496" s="768"/>
      <c r="AE496" s="768"/>
    </row>
    <row r="497" spans="1:61" s="520" customFormat="1">
      <c r="B497" s="307"/>
      <c r="C497" s="824">
        <f t="shared" si="183"/>
        <v>4</v>
      </c>
      <c r="D497" s="166"/>
      <c r="E497" s="173"/>
      <c r="F497" s="938"/>
      <c r="G497" s="939"/>
      <c r="H497" s="316"/>
      <c r="I497" s="835" t="s">
        <v>11</v>
      </c>
      <c r="J497" s="768"/>
      <c r="K497" s="518" t="str">
        <f t="shared" ref="K497:K499" si="185">IF(AND(H497&gt;0,OR(L497="",L497=0)),"Enter Rate","No alert")</f>
        <v>No alert</v>
      </c>
      <c r="L497" s="298"/>
      <c r="M497" s="104">
        <f>L497*H497</f>
        <v>0</v>
      </c>
      <c r="N497" s="215"/>
      <c r="O497" s="217"/>
      <c r="P497" s="217"/>
      <c r="Q497" s="217"/>
      <c r="R497" s="217"/>
      <c r="S497" s="217"/>
      <c r="T497" s="217"/>
      <c r="U497" s="218"/>
      <c r="V497" s="768"/>
      <c r="W497" s="768"/>
      <c r="X497" s="768"/>
      <c r="Y497" s="768"/>
      <c r="Z497" s="768"/>
      <c r="AA497" s="768"/>
      <c r="AB497" s="768"/>
      <c r="AC497" s="768"/>
      <c r="AD497" s="768"/>
      <c r="AE497" s="768"/>
    </row>
    <row r="498" spans="1:61" s="520" customFormat="1">
      <c r="B498" s="307"/>
      <c r="C498" s="824">
        <f t="shared" si="183"/>
        <v>5</v>
      </c>
      <c r="D498" s="166"/>
      <c r="E498" s="173"/>
      <c r="F498" s="938"/>
      <c r="G498" s="939"/>
      <c r="H498" s="316"/>
      <c r="I498" s="835" t="s">
        <v>11</v>
      </c>
      <c r="J498" s="768"/>
      <c r="K498" s="518" t="str">
        <f t="shared" si="185"/>
        <v>No alert</v>
      </c>
      <c r="L498" s="298"/>
      <c r="M498" s="104">
        <f t="shared" ref="M498:M499" si="186">L498*H498</f>
        <v>0</v>
      </c>
      <c r="N498" s="215"/>
      <c r="O498" s="217"/>
      <c r="P498" s="217"/>
      <c r="Q498" s="217"/>
      <c r="R498" s="217"/>
      <c r="S498" s="217"/>
      <c r="T498" s="217"/>
      <c r="U498" s="218"/>
      <c r="V498" s="768"/>
      <c r="W498" s="768"/>
      <c r="X498" s="768"/>
      <c r="Y498" s="768"/>
      <c r="Z498" s="768"/>
      <c r="AA498" s="768"/>
      <c r="AB498" s="768"/>
      <c r="AC498" s="768"/>
      <c r="AD498" s="768"/>
      <c r="AE498" s="768"/>
    </row>
    <row r="499" spans="1:61" s="520" customFormat="1">
      <c r="B499" s="307"/>
      <c r="C499" s="824">
        <f t="shared" si="183"/>
        <v>6</v>
      </c>
      <c r="D499" s="166"/>
      <c r="E499" s="173"/>
      <c r="F499" s="938"/>
      <c r="G499" s="939"/>
      <c r="H499" s="943"/>
      <c r="I499" s="835" t="s">
        <v>11</v>
      </c>
      <c r="J499" s="768"/>
      <c r="K499" s="518" t="str">
        <f t="shared" si="185"/>
        <v>No alert</v>
      </c>
      <c r="L499" s="298"/>
      <c r="M499" s="104">
        <f t="shared" si="186"/>
        <v>0</v>
      </c>
      <c r="N499" s="215"/>
      <c r="O499" s="217"/>
      <c r="P499" s="217"/>
      <c r="Q499" s="217"/>
      <c r="R499" s="217"/>
      <c r="S499" s="217"/>
      <c r="T499" s="217"/>
      <c r="U499" s="218"/>
      <c r="V499" s="768"/>
      <c r="W499" s="768"/>
      <c r="X499" s="768"/>
      <c r="Y499" s="768"/>
      <c r="Z499" s="768"/>
      <c r="AA499" s="768"/>
      <c r="AB499" s="768"/>
      <c r="AC499" s="768"/>
      <c r="AD499" s="768"/>
      <c r="AE499" s="768"/>
    </row>
    <row r="500" spans="1:61" s="520" customFormat="1" ht="18" customHeight="1">
      <c r="F500" s="768"/>
      <c r="G500" s="768"/>
      <c r="H500" s="868"/>
      <c r="I500" s="768"/>
      <c r="J500" s="768"/>
      <c r="K500" s="768"/>
      <c r="L500" s="768"/>
      <c r="M500" s="791"/>
      <c r="N500" s="801"/>
      <c r="O500" s="801"/>
      <c r="P500" s="801"/>
      <c r="Q500" s="801"/>
      <c r="R500" s="768"/>
      <c r="S500" s="768"/>
      <c r="T500" s="768"/>
      <c r="U500" s="768"/>
      <c r="V500" s="768"/>
      <c r="W500" s="768"/>
      <c r="X500" s="768"/>
      <c r="Y500" s="768"/>
      <c r="Z500" s="768"/>
      <c r="AA500" s="791"/>
      <c r="AB500" s="791"/>
      <c r="AC500" s="791"/>
      <c r="AD500" s="791"/>
      <c r="AE500" s="768"/>
      <c r="AF500" s="768"/>
      <c r="AG500" s="768"/>
      <c r="AH500" s="768"/>
      <c r="AI500" s="768"/>
      <c r="AJ500" s="768"/>
      <c r="AK500" s="768"/>
    </row>
    <row r="501" spans="1:61" s="520" customFormat="1" ht="18" customHeight="1">
      <c r="E501" s="734"/>
      <c r="F501" s="768"/>
      <c r="G501" s="768"/>
      <c r="H501" s="372">
        <f>SUM(H493:H500)</f>
        <v>0</v>
      </c>
      <c r="I501" s="835" t="s">
        <v>11</v>
      </c>
      <c r="K501" s="789"/>
      <c r="L501" s="789" t="s">
        <v>75</v>
      </c>
      <c r="M501" s="108">
        <f>SUM(M492:M499)</f>
        <v>0</v>
      </c>
      <c r="N501" s="797">
        <f>IF(H501=0,0,M501/H501)</f>
        <v>0</v>
      </c>
      <c r="O501" s="925" t="str">
        <f>I501</f>
        <v>m</v>
      </c>
      <c r="P501" s="801"/>
      <c r="Q501" s="801"/>
      <c r="R501" s="734"/>
      <c r="S501" s="734"/>
      <c r="T501" s="768"/>
      <c r="U501" s="768"/>
      <c r="V501" s="768"/>
      <c r="W501" s="768"/>
      <c r="X501" s="768"/>
      <c r="Y501" s="768"/>
      <c r="Z501" s="791"/>
      <c r="AA501" s="791"/>
      <c r="AB501" s="791"/>
      <c r="AC501" s="791"/>
      <c r="AD501" s="768"/>
      <c r="AE501" s="768"/>
      <c r="AF501" s="768"/>
      <c r="AG501" s="768"/>
      <c r="AH501" s="768"/>
      <c r="AI501" s="768"/>
      <c r="AJ501" s="768"/>
    </row>
    <row r="502" spans="1:61" s="520" customFormat="1" ht="18" customHeight="1">
      <c r="E502" s="768"/>
      <c r="F502" s="768"/>
      <c r="G502" s="768"/>
      <c r="H502" s="768"/>
      <c r="I502" s="768"/>
      <c r="J502" s="768"/>
      <c r="K502" s="768"/>
      <c r="L502" s="768"/>
      <c r="M502" s="768"/>
      <c r="N502" s="801"/>
      <c r="O502" s="801"/>
      <c r="P502" s="801"/>
      <c r="Q502" s="801"/>
      <c r="R502" s="768"/>
      <c r="S502" s="768"/>
      <c r="T502" s="768"/>
      <c r="U502" s="768"/>
      <c r="V502" s="768"/>
      <c r="W502" s="768"/>
      <c r="X502" s="768"/>
      <c r="AF502" s="768"/>
      <c r="AG502" s="768"/>
      <c r="AH502" s="768"/>
      <c r="AI502" s="768"/>
      <c r="AJ502" s="768"/>
      <c r="AK502" s="768"/>
      <c r="AL502" s="768"/>
      <c r="AM502" s="768"/>
      <c r="AN502" s="768"/>
      <c r="AO502" s="768"/>
      <c r="AP502" s="768"/>
    </row>
    <row r="503" spans="1:61" s="520" customFormat="1" ht="18" customHeight="1">
      <c r="B503" s="287" t="s">
        <v>26</v>
      </c>
      <c r="C503" s="820" t="s">
        <v>1740</v>
      </c>
      <c r="D503" s="816"/>
      <c r="F503" s="793"/>
      <c r="G503" s="768"/>
      <c r="I503" s="768"/>
      <c r="J503" s="768"/>
      <c r="K503" s="768"/>
      <c r="L503" s="768"/>
      <c r="M503" s="768"/>
      <c r="N503" s="801"/>
      <c r="O503" s="801"/>
      <c r="P503" s="801"/>
      <c r="Q503" s="801"/>
      <c r="R503" s="768"/>
      <c r="S503" s="768"/>
      <c r="T503" s="768"/>
      <c r="U503" s="768"/>
      <c r="V503" s="768"/>
      <c r="W503" s="768"/>
      <c r="X503" s="768"/>
      <c r="Y503" s="768"/>
      <c r="Z503" s="768"/>
      <c r="AA503" s="768"/>
      <c r="AB503" s="768"/>
      <c r="AC503" s="768"/>
      <c r="AD503" s="768"/>
      <c r="AE503" s="768"/>
    </row>
    <row r="504" spans="1:61" s="495" customFormat="1" ht="31.9" customHeight="1">
      <c r="A504" s="875"/>
      <c r="B504" s="774" t="s">
        <v>1517</v>
      </c>
      <c r="C504" s="774" t="s">
        <v>27</v>
      </c>
      <c r="D504" s="821" t="s">
        <v>1583</v>
      </c>
      <c r="E504" s="812" t="s">
        <v>111</v>
      </c>
      <c r="F504" s="822"/>
      <c r="G504" s="823"/>
      <c r="H504" s="823" t="s">
        <v>244</v>
      </c>
      <c r="I504" s="773" t="s">
        <v>2</v>
      </c>
      <c r="J504" s="773" t="s">
        <v>1585</v>
      </c>
      <c r="K504" s="773" t="s">
        <v>1549</v>
      </c>
      <c r="L504" s="773" t="s">
        <v>1586</v>
      </c>
      <c r="M504" s="775" t="s">
        <v>1587</v>
      </c>
      <c r="N504" s="776" t="s">
        <v>1526</v>
      </c>
      <c r="O504" s="777"/>
      <c r="P504" s="777"/>
      <c r="Q504" s="777"/>
      <c r="R504" s="777"/>
      <c r="S504" s="777"/>
      <c r="T504" s="777"/>
      <c r="U504" s="778"/>
      <c r="V504" s="793"/>
      <c r="W504" s="793"/>
      <c r="AI504" s="520"/>
      <c r="AJ504" s="520"/>
      <c r="BH504" s="520"/>
      <c r="BI504" s="520"/>
    </row>
    <row r="505" spans="1:61" s="520" customFormat="1" ht="18" customHeight="1">
      <c r="A505" s="768"/>
      <c r="B505" s="768"/>
      <c r="C505" s="768"/>
      <c r="D505" s="768"/>
      <c r="E505" s="768"/>
      <c r="F505" s="768"/>
      <c r="G505" s="768"/>
      <c r="H505" s="931" t="s">
        <v>1738</v>
      </c>
      <c r="I505" s="768"/>
      <c r="J505" s="768"/>
      <c r="K505" s="768"/>
      <c r="L505" s="768"/>
      <c r="M505" s="768"/>
      <c r="N505" s="748"/>
      <c r="O505" s="474"/>
      <c r="P505" s="474"/>
      <c r="Q505" s="474"/>
      <c r="R505" s="474"/>
      <c r="S505" s="474"/>
      <c r="T505" s="474"/>
      <c r="U505" s="779"/>
      <c r="V505" s="768"/>
      <c r="W505" s="768"/>
      <c r="X505" s="768"/>
      <c r="Y505" s="768"/>
      <c r="Z505" s="768"/>
      <c r="AA505" s="768"/>
      <c r="AB505" s="768"/>
      <c r="AC505" s="768"/>
      <c r="AD505" s="768"/>
      <c r="AE505" s="768"/>
    </row>
    <row r="506" spans="1:61" s="520" customFormat="1">
      <c r="B506" s="307"/>
      <c r="C506" s="824">
        <v>1</v>
      </c>
      <c r="D506" s="166"/>
      <c r="E506" s="780" t="str">
        <f>VLOOKUP($J506,TOV!$C$85:$G$217,TOV!$E$1,FALSE)</f>
        <v>Water Treatment Plant (company owned)</v>
      </c>
      <c r="F506" s="833"/>
      <c r="G506" s="834"/>
      <c r="H506" s="316"/>
      <c r="I506" s="827" t="str">
        <f>VLOOKUP($J506,TOV!$C$85:$G$217,TOV!$G$1,FALSE)</f>
        <v>ML / day</v>
      </c>
      <c r="J506" s="828" t="str">
        <f>TOV!$C201</f>
        <v>#3.117</v>
      </c>
      <c r="K506" s="63">
        <f>VLOOKUP($J506,TOV!$C$85:$G$217,TOV!$F$1,FALSE)</f>
        <v>3353.2264722415275</v>
      </c>
      <c r="L506" s="298"/>
      <c r="M506" s="104">
        <f>IF(L506="",K506,L506)*H506</f>
        <v>0</v>
      </c>
      <c r="N506" s="215"/>
      <c r="O506" s="217"/>
      <c r="P506" s="217"/>
      <c r="Q506" s="217"/>
      <c r="R506" s="217"/>
      <c r="S506" s="217"/>
      <c r="T506" s="217"/>
      <c r="U506" s="218"/>
      <c r="V506" s="768"/>
      <c r="W506" s="768"/>
      <c r="X506" s="768"/>
      <c r="Y506" s="768"/>
      <c r="Z506" s="768"/>
      <c r="AA506" s="768"/>
      <c r="AB506" s="768"/>
      <c r="AC506" s="768"/>
      <c r="AD506" s="768"/>
      <c r="AE506" s="768"/>
    </row>
    <row r="507" spans="1:61" s="520" customFormat="1">
      <c r="B507" s="307"/>
      <c r="C507" s="824">
        <f>C506+1</f>
        <v>2</v>
      </c>
      <c r="D507" s="166"/>
      <c r="E507" s="780" t="str">
        <f>VLOOKUP($J507,TOV!$C$85:$G$217,TOV!$E$1,FALSE)</f>
        <v>Light Vehicle Wash Down</v>
      </c>
      <c r="F507" s="833"/>
      <c r="G507" s="834"/>
      <c r="H507" s="316"/>
      <c r="I507" s="827" t="str">
        <f>VLOOKUP($J507,TOV!$C$85:$G$217,TOV!$G$1,FALSE)</f>
        <v>m2</v>
      </c>
      <c r="J507" s="828" t="str">
        <f>TOV!$C202</f>
        <v>#3.118</v>
      </c>
      <c r="K507" s="63">
        <f>VLOOKUP($J507,TOV!$C$85:$G$217,TOV!$F$1,FALSE)</f>
        <v>145.61506167356654</v>
      </c>
      <c r="L507" s="298"/>
      <c r="M507" s="104">
        <f t="shared" ref="M507:M511" si="187">IF(L507="",K507,L507)*H507</f>
        <v>0</v>
      </c>
      <c r="N507" s="215"/>
      <c r="O507" s="217"/>
      <c r="P507" s="217"/>
      <c r="Q507" s="217"/>
      <c r="R507" s="217"/>
      <c r="S507" s="217"/>
      <c r="T507" s="217"/>
      <c r="U507" s="218"/>
      <c r="V507" s="768"/>
      <c r="W507" s="768"/>
      <c r="X507" s="768"/>
      <c r="Y507" s="768"/>
      <c r="Z507" s="768"/>
      <c r="AA507" s="768"/>
      <c r="AB507" s="768"/>
      <c r="AC507" s="768"/>
      <c r="AD507" s="768"/>
      <c r="AE507" s="768"/>
    </row>
    <row r="508" spans="1:61" s="520" customFormat="1">
      <c r="B508" s="307"/>
      <c r="C508" s="824">
        <f t="shared" ref="C508:C514" si="188">C507+1</f>
        <v>3</v>
      </c>
      <c r="D508" s="166"/>
      <c r="E508" s="780" t="str">
        <f>VLOOKUP($J508,TOV!$C$85:$G$217,TOV!$E$1,FALSE)</f>
        <v>Heavy Vehicle Wash Down</v>
      </c>
      <c r="F508" s="833"/>
      <c r="G508" s="834"/>
      <c r="H508" s="316"/>
      <c r="I508" s="827" t="str">
        <f>VLOOKUP($J508,TOV!$C$85:$G$217,TOV!$G$1,FALSE)</f>
        <v>m2</v>
      </c>
      <c r="J508" s="828" t="str">
        <f>TOV!$C203</f>
        <v>#3.119</v>
      </c>
      <c r="K508" s="63">
        <f>VLOOKUP($J508,TOV!$C$85:$G$217,TOV!$F$1,FALSE)</f>
        <v>80.741010271460752</v>
      </c>
      <c r="L508" s="298"/>
      <c r="M508" s="104">
        <f t="shared" si="187"/>
        <v>0</v>
      </c>
      <c r="N508" s="215"/>
      <c r="O508" s="217"/>
      <c r="P508" s="217"/>
      <c r="Q508" s="217"/>
      <c r="R508" s="217"/>
      <c r="S508" s="217"/>
      <c r="T508" s="217"/>
      <c r="U508" s="218"/>
      <c r="V508" s="768"/>
      <c r="W508" s="768"/>
      <c r="X508" s="768"/>
      <c r="Y508" s="768"/>
      <c r="Z508" s="768"/>
      <c r="AA508" s="768"/>
      <c r="AB508" s="768"/>
      <c r="AC508" s="768"/>
      <c r="AD508" s="768"/>
      <c r="AE508" s="768"/>
    </row>
    <row r="509" spans="1:61" s="520" customFormat="1">
      <c r="B509" s="307"/>
      <c r="C509" s="824">
        <f t="shared" si="188"/>
        <v>4</v>
      </c>
      <c r="D509" s="166"/>
      <c r="E509" s="780" t="str">
        <f>VLOOKUP($J509,TOV!$C$85:$G$217,TOV!$E$1,FALSE)</f>
        <v>Water Filling Station</v>
      </c>
      <c r="F509" s="833"/>
      <c r="G509" s="834"/>
      <c r="H509" s="316"/>
      <c r="I509" s="827" t="str">
        <f>VLOOKUP($J509,TOV!$C$85:$G$217,TOV!$G$1,FALSE)</f>
        <v>unit</v>
      </c>
      <c r="J509" s="828" t="str">
        <f>TOV!$C204</f>
        <v>#3.120</v>
      </c>
      <c r="K509" s="63">
        <f>VLOOKUP($J509,TOV!$C$85:$G$217,TOV!$F$1,FALSE)</f>
        <v>3490.9437991512991</v>
      </c>
      <c r="L509" s="298"/>
      <c r="M509" s="104">
        <f t="shared" si="187"/>
        <v>0</v>
      </c>
      <c r="N509" s="215"/>
      <c r="O509" s="217"/>
      <c r="P509" s="217"/>
      <c r="Q509" s="217"/>
      <c r="R509" s="217"/>
      <c r="S509" s="217"/>
      <c r="T509" s="217"/>
      <c r="U509" s="218"/>
      <c r="V509" s="768"/>
      <c r="W509" s="768"/>
      <c r="X509" s="768"/>
      <c r="Y509" s="768"/>
      <c r="Z509" s="768"/>
      <c r="AA509" s="768"/>
      <c r="AB509" s="768"/>
      <c r="AC509" s="768"/>
      <c r="AD509" s="768"/>
      <c r="AE509" s="768"/>
    </row>
    <row r="510" spans="1:61" s="520" customFormat="1">
      <c r="B510" s="307"/>
      <c r="C510" s="824">
        <f t="shared" si="188"/>
        <v>5</v>
      </c>
      <c r="D510" s="166"/>
      <c r="E510" s="780" t="str">
        <f>VLOOKUP($J510,TOV!$C$85:$G$217,TOV!$E$1,FALSE)</f>
        <v>Fuel Filling Station</v>
      </c>
      <c r="F510" s="833"/>
      <c r="G510" s="834"/>
      <c r="H510" s="316"/>
      <c r="I510" s="827" t="str">
        <f>VLOOKUP($J510,TOV!$C$85:$G$217,TOV!$G$1,FALSE)</f>
        <v>unit</v>
      </c>
      <c r="J510" s="828" t="str">
        <f>TOV!$C205</f>
        <v>#3.121</v>
      </c>
      <c r="K510" s="63">
        <f>VLOOKUP($J510,TOV!$C$85:$G$217,TOV!$F$1,FALSE)</f>
        <v>14725.861082930895</v>
      </c>
      <c r="L510" s="298"/>
      <c r="M510" s="104">
        <f t="shared" si="187"/>
        <v>0</v>
      </c>
      <c r="N510" s="215"/>
      <c r="O510" s="217"/>
      <c r="P510" s="217"/>
      <c r="Q510" s="217"/>
      <c r="R510" s="217"/>
      <c r="S510" s="217"/>
      <c r="T510" s="217"/>
      <c r="U510" s="218"/>
      <c r="V510" s="768"/>
      <c r="W510" s="768"/>
      <c r="X510" s="768"/>
      <c r="Y510" s="768"/>
      <c r="Z510" s="768"/>
      <c r="AA510" s="768"/>
      <c r="AB510" s="768"/>
      <c r="AC510" s="768"/>
      <c r="AD510" s="768"/>
      <c r="AE510" s="768"/>
    </row>
    <row r="511" spans="1:61" s="520" customFormat="1">
      <c r="B511" s="307"/>
      <c r="C511" s="824">
        <f t="shared" si="188"/>
        <v>6</v>
      </c>
      <c r="D511" s="166"/>
      <c r="E511" s="780" t="str">
        <f>VLOOKUP($J511,TOV!$C$85:$G$217,TOV!$E$1,FALSE)</f>
        <v>Oil/water separator</v>
      </c>
      <c r="F511" s="833"/>
      <c r="G511" s="834"/>
      <c r="H511" s="316"/>
      <c r="I511" s="827" t="str">
        <f>VLOOKUP($J511,TOV!$C$85:$G$217,TOV!$G$1,FALSE)</f>
        <v>m2</v>
      </c>
      <c r="J511" s="828" t="str">
        <f>TOV!$C206</f>
        <v>#3.122</v>
      </c>
      <c r="K511" s="63">
        <f>VLOOKUP($J511,TOV!$C$85:$G$217,TOV!$F$1,FALSE)</f>
        <v>240.06248883583154</v>
      </c>
      <c r="L511" s="298"/>
      <c r="M511" s="104">
        <f t="shared" si="187"/>
        <v>0</v>
      </c>
      <c r="N511" s="215"/>
      <c r="O511" s="217"/>
      <c r="P511" s="217"/>
      <c r="Q511" s="217"/>
      <c r="R511" s="217"/>
      <c r="S511" s="217"/>
      <c r="T511" s="217"/>
      <c r="U511" s="218"/>
      <c r="W511" s="768"/>
      <c r="X511" s="768"/>
      <c r="Y511" s="768"/>
      <c r="Z511" s="768"/>
      <c r="AA511" s="768"/>
      <c r="AB511" s="768"/>
      <c r="AC511" s="768"/>
      <c r="AD511" s="768"/>
      <c r="AE511" s="768"/>
    </row>
    <row r="512" spans="1:61" s="520" customFormat="1">
      <c r="B512" s="307"/>
      <c r="C512" s="824">
        <f t="shared" si="188"/>
        <v>7</v>
      </c>
      <c r="D512" s="166"/>
      <c r="E512" s="65"/>
      <c r="F512" s="938"/>
      <c r="G512" s="939"/>
      <c r="H512" s="316"/>
      <c r="I512" s="26"/>
      <c r="J512" s="768"/>
      <c r="K512" s="518" t="str">
        <f>IF(AND(H512&gt;0,OR(L512="",L512=0)),"Enter Rate","No alert")</f>
        <v>No alert</v>
      </c>
      <c r="L512" s="298"/>
      <c r="M512" s="104">
        <f>L512*H512</f>
        <v>0</v>
      </c>
      <c r="N512" s="215"/>
      <c r="O512" s="217"/>
      <c r="P512" s="217"/>
      <c r="Q512" s="217"/>
      <c r="R512" s="217"/>
      <c r="S512" s="217"/>
      <c r="T512" s="217"/>
      <c r="U512" s="218"/>
      <c r="W512" s="768"/>
      <c r="X512" s="768"/>
      <c r="Y512" s="768"/>
      <c r="Z512" s="768"/>
      <c r="AA512" s="768"/>
      <c r="AB512" s="768"/>
      <c r="AC512" s="768"/>
      <c r="AD512" s="768"/>
      <c r="AE512" s="768"/>
    </row>
    <row r="513" spans="1:69" s="520" customFormat="1">
      <c r="B513" s="307"/>
      <c r="C513" s="824">
        <f t="shared" si="188"/>
        <v>8</v>
      </c>
      <c r="D513" s="166"/>
      <c r="E513" s="65"/>
      <c r="F513" s="938"/>
      <c r="G513" s="939"/>
      <c r="H513" s="316"/>
      <c r="I513" s="26"/>
      <c r="J513" s="768"/>
      <c r="K513" s="518" t="str">
        <f t="shared" ref="K513:K514" si="189">IF(AND(H513&gt;0,OR(L513="",L513=0)),"Enter Rate","No alert")</f>
        <v>No alert</v>
      </c>
      <c r="L513" s="298"/>
      <c r="M513" s="104">
        <f t="shared" ref="M513:M514" si="190">L513*H513</f>
        <v>0</v>
      </c>
      <c r="N513" s="215"/>
      <c r="O513" s="217"/>
      <c r="P513" s="217"/>
      <c r="Q513" s="217"/>
      <c r="R513" s="217"/>
      <c r="S513" s="217"/>
      <c r="T513" s="217"/>
      <c r="U513" s="218"/>
      <c r="W513" s="768"/>
      <c r="X513" s="768"/>
      <c r="Y513" s="768"/>
      <c r="Z513" s="768"/>
      <c r="AA513" s="768"/>
      <c r="AB513" s="768"/>
      <c r="AC513" s="768"/>
      <c r="AD513" s="768"/>
      <c r="AE513" s="768"/>
    </row>
    <row r="514" spans="1:69" s="520" customFormat="1">
      <c r="B514" s="307"/>
      <c r="C514" s="824">
        <f t="shared" si="188"/>
        <v>9</v>
      </c>
      <c r="D514" s="166"/>
      <c r="E514" s="65"/>
      <c r="F514" s="938"/>
      <c r="G514" s="939"/>
      <c r="H514" s="316"/>
      <c r="I514" s="26"/>
      <c r="J514" s="768"/>
      <c r="K514" s="518" t="str">
        <f t="shared" si="189"/>
        <v>No alert</v>
      </c>
      <c r="L514" s="298"/>
      <c r="M514" s="104">
        <f t="shared" si="190"/>
        <v>0</v>
      </c>
      <c r="N514" s="215"/>
      <c r="O514" s="217"/>
      <c r="P514" s="217"/>
      <c r="Q514" s="217"/>
      <c r="R514" s="217"/>
      <c r="S514" s="217"/>
      <c r="T514" s="217"/>
      <c r="U514" s="218"/>
      <c r="W514" s="768"/>
      <c r="X514" s="768"/>
      <c r="Y514" s="768"/>
      <c r="Z514" s="768"/>
      <c r="AA514" s="768"/>
      <c r="AB514" s="768"/>
      <c r="AC514" s="768"/>
      <c r="AD514" s="768"/>
      <c r="AE514" s="768"/>
      <c r="AJ514" s="475"/>
    </row>
    <row r="515" spans="1:69" s="520" customFormat="1" ht="18" customHeight="1">
      <c r="D515" s="933"/>
      <c r="F515" s="768"/>
      <c r="G515" s="768"/>
      <c r="H515" s="898"/>
      <c r="I515" s="768"/>
      <c r="J515" s="768"/>
      <c r="K515" s="768"/>
      <c r="L515" s="768"/>
      <c r="M515" s="791"/>
      <c r="N515" s="801"/>
      <c r="O515" s="801"/>
      <c r="P515" s="801"/>
      <c r="Q515" s="801"/>
      <c r="R515" s="768"/>
      <c r="Y515" s="768"/>
      <c r="Z515" s="768"/>
      <c r="AA515" s="768"/>
      <c r="AB515" s="768"/>
      <c r="AC515" s="791"/>
      <c r="AD515" s="791"/>
      <c r="AE515" s="791"/>
      <c r="AF515" s="791"/>
      <c r="AG515" s="768"/>
      <c r="AH515" s="768"/>
      <c r="AI515" s="768"/>
      <c r="AJ515" s="768"/>
      <c r="AK515" s="768"/>
      <c r="AL515" s="768"/>
      <c r="AM515" s="768"/>
      <c r="AN515" s="768"/>
      <c r="AO515" s="475"/>
    </row>
    <row r="516" spans="1:69" s="520" customFormat="1" ht="18" customHeight="1">
      <c r="E516" s="734"/>
      <c r="F516" s="768"/>
      <c r="G516" s="768"/>
      <c r="H516" s="373">
        <f>SUM(H505:H515)</f>
        <v>0</v>
      </c>
      <c r="I516" s="835" t="s">
        <v>1741</v>
      </c>
      <c r="K516" s="789"/>
      <c r="L516" s="789" t="s">
        <v>75</v>
      </c>
      <c r="M516" s="108">
        <f>SUM(M504:M514)</f>
        <v>0</v>
      </c>
      <c r="N516" s="797">
        <f>IF(H516=0,0,M516/H516)</f>
        <v>0</v>
      </c>
      <c r="O516" s="925" t="str">
        <f>I516</f>
        <v>Unit and m2</v>
      </c>
      <c r="P516" s="801"/>
      <c r="Q516" s="801"/>
      <c r="R516" s="734"/>
      <c r="Y516" s="768"/>
      <c r="Z516" s="768"/>
      <c r="AA516" s="768"/>
      <c r="AB516" s="791"/>
      <c r="AC516" s="791"/>
      <c r="AD516" s="791"/>
      <c r="AE516" s="791"/>
      <c r="AF516" s="768"/>
      <c r="AG516" s="768"/>
      <c r="AH516" s="768"/>
      <c r="AI516" s="768"/>
      <c r="AJ516" s="768"/>
      <c r="AK516" s="768"/>
      <c r="AL516" s="768"/>
      <c r="AM516" s="768"/>
      <c r="AN516" s="768"/>
      <c r="AO516" s="768"/>
    </row>
    <row r="517" spans="1:69" s="520" customFormat="1" ht="18" customHeight="1">
      <c r="E517" s="768"/>
      <c r="F517" s="768"/>
      <c r="G517" s="768"/>
      <c r="H517" s="768"/>
      <c r="I517" s="768"/>
      <c r="J517" s="768"/>
      <c r="K517" s="768"/>
      <c r="L517" s="768"/>
      <c r="M517" s="768"/>
      <c r="N517" s="801"/>
      <c r="O517" s="801"/>
      <c r="P517" s="801"/>
      <c r="Q517" s="801"/>
      <c r="R517" s="768"/>
      <c r="Y517" s="768"/>
      <c r="Z517" s="768"/>
      <c r="AA517" s="768"/>
      <c r="AB517" s="768"/>
      <c r="AC517" s="768"/>
      <c r="AD517" s="768"/>
      <c r="AE517" s="768"/>
      <c r="AF517" s="768"/>
      <c r="AG517" s="768"/>
      <c r="AH517" s="768"/>
      <c r="AI517" s="768"/>
      <c r="AJ517" s="768"/>
      <c r="AK517" s="768"/>
      <c r="AL517" s="768"/>
      <c r="AM517" s="768"/>
      <c r="AN517" s="768"/>
      <c r="AO517" s="768"/>
    </row>
    <row r="518" spans="1:69" s="520" customFormat="1" ht="18" customHeight="1">
      <c r="F518" s="768"/>
      <c r="G518" s="768"/>
      <c r="H518" s="768"/>
      <c r="I518" s="768"/>
      <c r="J518" s="768"/>
      <c r="K518" s="768"/>
      <c r="L518" s="768"/>
      <c r="M518" s="768"/>
      <c r="N518" s="801"/>
      <c r="O518" s="801"/>
      <c r="P518" s="801"/>
      <c r="Q518" s="801"/>
      <c r="R518" s="768"/>
      <c r="Y518" s="918"/>
      <c r="Z518" s="918"/>
      <c r="AA518" s="918"/>
      <c r="AB518" s="918"/>
      <c r="AC518" s="495"/>
      <c r="AD518" s="495"/>
      <c r="AI518" s="768"/>
      <c r="AJ518" s="768"/>
      <c r="AK518" s="768"/>
      <c r="AL518" s="768"/>
      <c r="AM518" s="768"/>
      <c r="AN518" s="768"/>
      <c r="AX518" s="768"/>
    </row>
    <row r="519" spans="1:69" s="495" customFormat="1" ht="18" customHeight="1">
      <c r="A519" s="875"/>
      <c r="B519" s="888"/>
      <c r="C519" s="888"/>
      <c r="D519" s="888"/>
      <c r="E519" s="888"/>
      <c r="F519" s="888"/>
      <c r="G519" s="550"/>
      <c r="H519" s="550"/>
      <c r="I519" s="829"/>
      <c r="J519" s="829"/>
      <c r="K519" s="829"/>
      <c r="L519" s="550"/>
      <c r="M519" s="550"/>
      <c r="N519" s="801"/>
      <c r="O519" s="801"/>
      <c r="P519" s="801"/>
      <c r="Q519" s="801"/>
      <c r="R519" s="829"/>
      <c r="Y519" s="887"/>
      <c r="AC519" s="768"/>
      <c r="AD519" s="768"/>
      <c r="AE519" s="520"/>
      <c r="AF519" s="520"/>
      <c r="AG519" s="768"/>
      <c r="AH519" s="768"/>
      <c r="AI519" s="768"/>
      <c r="AJ519" s="768"/>
      <c r="AK519" s="768"/>
      <c r="AL519" s="768"/>
      <c r="AM519" s="768"/>
      <c r="AN519" s="768"/>
      <c r="AY519" s="520"/>
      <c r="AZ519" s="520"/>
      <c r="BA519" s="520"/>
      <c r="BB519" s="520"/>
      <c r="BC519" s="520"/>
      <c r="BD519" s="520"/>
      <c r="BP519" s="520"/>
      <c r="BQ519" s="520"/>
    </row>
    <row r="520" spans="1:69">
      <c r="N520" s="801"/>
      <c r="O520" s="801"/>
      <c r="P520" s="801"/>
      <c r="Q520" s="801"/>
    </row>
    <row r="521" spans="1:69">
      <c r="N521" s="801"/>
      <c r="O521" s="801"/>
      <c r="P521" s="801"/>
      <c r="Q521" s="801"/>
    </row>
    <row r="522" spans="1:69" ht="15" customHeight="1">
      <c r="A522" s="748"/>
      <c r="G522" s="819"/>
      <c r="N522" s="801"/>
      <c r="O522" s="801"/>
      <c r="P522" s="801"/>
      <c r="Q522" s="801"/>
      <c r="U522" s="475"/>
      <c r="V522" s="475"/>
      <c r="W522" s="475"/>
      <c r="X522" s="475"/>
      <c r="AF522" s="475"/>
      <c r="AG522" s="475"/>
      <c r="AH522" s="475"/>
      <c r="AI522" s="475"/>
      <c r="AJ522" s="475"/>
      <c r="AK522" s="475"/>
      <c r="AL522" s="475"/>
      <c r="AM522" s="475"/>
      <c r="AN522" s="475"/>
      <c r="AO522" s="475"/>
      <c r="AP522" s="475"/>
    </row>
    <row r="523" spans="1:69" ht="18" customHeight="1">
      <c r="A523" s="748"/>
      <c r="B523" s="287" t="s">
        <v>26</v>
      </c>
      <c r="C523" s="820" t="s">
        <v>251</v>
      </c>
      <c r="D523" s="816"/>
      <c r="E523" s="475"/>
      <c r="F523" s="804"/>
      <c r="N523" s="801"/>
      <c r="O523" s="801"/>
      <c r="P523" s="801"/>
      <c r="Q523" s="801"/>
      <c r="Y523" s="474"/>
      <c r="Z523" s="474"/>
      <c r="AA523" s="474"/>
      <c r="AB523" s="474"/>
      <c r="AC523" s="474"/>
      <c r="AD523" s="474"/>
      <c r="AE523" s="474"/>
      <c r="AF523" s="475"/>
      <c r="AG523" s="475"/>
      <c r="AH523" s="475"/>
      <c r="AI523" s="475"/>
      <c r="AJ523" s="475"/>
      <c r="AK523" s="475"/>
      <c r="AL523" s="475"/>
      <c r="AM523" s="475"/>
      <c r="AN523" s="475"/>
      <c r="AO523" s="475"/>
      <c r="AP523" s="475"/>
    </row>
    <row r="524" spans="1:69" s="495" customFormat="1" ht="31.9" customHeight="1">
      <c r="A524" s="748"/>
      <c r="B524" s="774" t="s">
        <v>1517</v>
      </c>
      <c r="C524" s="774" t="s">
        <v>27</v>
      </c>
      <c r="D524" s="774" t="s">
        <v>1583</v>
      </c>
      <c r="E524" s="812" t="s">
        <v>1590</v>
      </c>
      <c r="F524" s="822"/>
      <c r="G524" s="823"/>
      <c r="H524" s="773" t="s">
        <v>1485</v>
      </c>
      <c r="I524" s="773" t="s">
        <v>2</v>
      </c>
      <c r="J524" s="773" t="s">
        <v>1585</v>
      </c>
      <c r="K524" s="773" t="s">
        <v>1742</v>
      </c>
      <c r="L524" s="773" t="s">
        <v>1743</v>
      </c>
      <c r="M524" s="775" t="s">
        <v>32</v>
      </c>
      <c r="N524" s="776" t="s">
        <v>1526</v>
      </c>
      <c r="O524" s="777"/>
      <c r="P524" s="777"/>
      <c r="Q524" s="777"/>
      <c r="R524" s="777"/>
      <c r="S524" s="777"/>
      <c r="T524" s="777"/>
      <c r="U524" s="778"/>
      <c r="V524" s="793"/>
      <c r="W524" s="793"/>
      <c r="AI524" s="520"/>
      <c r="AJ524" s="520"/>
      <c r="BH524" s="520"/>
      <c r="BI524" s="520"/>
    </row>
    <row r="525" spans="1:69" s="520" customFormat="1" ht="18" customHeight="1">
      <c r="A525" s="748"/>
      <c r="B525" s="768"/>
      <c r="C525" s="768"/>
      <c r="D525" s="768"/>
      <c r="E525" s="768"/>
      <c r="F525" s="768"/>
      <c r="G525" s="768"/>
      <c r="H525" s="771" t="s">
        <v>1563</v>
      </c>
      <c r="I525" s="830"/>
      <c r="J525" s="768"/>
      <c r="K525" s="768"/>
      <c r="L525" s="768"/>
      <c r="M525" s="768"/>
      <c r="N525" s="748"/>
      <c r="O525" s="474"/>
      <c r="P525" s="474"/>
      <c r="Q525" s="474"/>
      <c r="R525" s="474"/>
      <c r="S525" s="474"/>
      <c r="T525" s="474"/>
      <c r="U525" s="779"/>
      <c r="V525" s="768"/>
      <c r="W525" s="768"/>
      <c r="X525" s="768"/>
      <c r="Y525" s="768"/>
      <c r="Z525" s="768"/>
      <c r="AA525" s="768"/>
      <c r="AB525" s="768"/>
      <c r="AC525" s="768"/>
      <c r="AD525" s="768"/>
      <c r="AE525" s="768"/>
    </row>
    <row r="526" spans="1:69" s="520" customFormat="1">
      <c r="A526" s="748"/>
      <c r="B526" s="307"/>
      <c r="C526" s="824">
        <v>1</v>
      </c>
      <c r="D526" s="166"/>
      <c r="E526" s="780" t="str">
        <f>VLOOKUP($J526,TOV!$C$217:$G$259,TOV!$E$1,FALSE)</f>
        <v>Vertical, Steel, Open top, Earth, Single skin, Lined, 0.14 ML</v>
      </c>
      <c r="F526" s="833"/>
      <c r="G526" s="834"/>
      <c r="H526" s="78"/>
      <c r="I526" s="835" t="s">
        <v>575</v>
      </c>
      <c r="J526" s="828" t="str">
        <f>TOV!C219</f>
        <v>#3.135</v>
      </c>
      <c r="K526" s="63">
        <f>VLOOKUP($J526,TOV!$C$219:$G$259,TOV!$F$1,FALSE)</f>
        <v>3616.5085494319578</v>
      </c>
      <c r="L526" s="298"/>
      <c r="M526" s="104">
        <f>IF(L526="",K526,L526)*H526</f>
        <v>0</v>
      </c>
      <c r="N526" s="215"/>
      <c r="O526" s="217"/>
      <c r="P526" s="217"/>
      <c r="Q526" s="217"/>
      <c r="R526" s="217"/>
      <c r="S526" s="217"/>
      <c r="T526" s="217"/>
      <c r="U526" s="218"/>
      <c r="V526" s="768"/>
      <c r="W526" s="768"/>
      <c r="X526" s="768"/>
      <c r="Y526" s="768"/>
      <c r="Z526" s="768"/>
      <c r="AA526" s="768"/>
      <c r="AB526" s="768"/>
      <c r="AC526" s="768"/>
      <c r="AD526" s="768"/>
      <c r="AE526" s="768"/>
    </row>
    <row r="527" spans="1:69" s="520" customFormat="1">
      <c r="A527" s="748"/>
      <c r="B527" s="307"/>
      <c r="C527" s="824">
        <f>C526+1</f>
        <v>2</v>
      </c>
      <c r="D527" s="166"/>
      <c r="E527" s="780" t="str">
        <f>VLOOKUP($J527,TOV!$C$217:$G$259,TOV!$E$1,FALSE)</f>
        <v>Vertical, Steel, Open top, Earth, Single skin, Lined, 0.6 ML</v>
      </c>
      <c r="F527" s="833"/>
      <c r="G527" s="834"/>
      <c r="H527" s="78"/>
      <c r="I527" s="835" t="s">
        <v>575</v>
      </c>
      <c r="J527" s="828" t="str">
        <f>TOV!C220</f>
        <v>#3.136</v>
      </c>
      <c r="K527" s="63">
        <f>VLOOKUP($J527,TOV!$C$219:$G$259,TOV!$F$1,FALSE)</f>
        <v>6543.8702042421319</v>
      </c>
      <c r="L527" s="298"/>
      <c r="M527" s="104">
        <f t="shared" ref="M527:M566" si="191">IF(L527="",K527,L527)*H527</f>
        <v>0</v>
      </c>
      <c r="N527" s="215"/>
      <c r="O527" s="217"/>
      <c r="P527" s="217"/>
      <c r="Q527" s="217"/>
      <c r="R527" s="217"/>
      <c r="S527" s="217"/>
      <c r="T527" s="217"/>
      <c r="U527" s="218"/>
      <c r="V527" s="768"/>
      <c r="W527" s="768"/>
      <c r="X527" s="768"/>
      <c r="Y527" s="768"/>
      <c r="Z527" s="768"/>
      <c r="AA527" s="768"/>
      <c r="AB527" s="768"/>
      <c r="AC527" s="768"/>
      <c r="AD527" s="768"/>
      <c r="AE527" s="768"/>
    </row>
    <row r="528" spans="1:69" s="520" customFormat="1">
      <c r="A528" s="748"/>
      <c r="B528" s="307"/>
      <c r="C528" s="824">
        <f t="shared" ref="C528:C566" si="192">C527+1</f>
        <v>3</v>
      </c>
      <c r="D528" s="166"/>
      <c r="E528" s="780" t="str">
        <f>VLOOKUP($J528,TOV!$C$217:$G$259,TOV!$E$1,FALSE)</f>
        <v>Vertical, Steel, Open top, Earth, Single skin, Lined, 1 ML</v>
      </c>
      <c r="F528" s="833"/>
      <c r="G528" s="834"/>
      <c r="H528" s="78"/>
      <c r="I528" s="835" t="s">
        <v>575</v>
      </c>
      <c r="J528" s="828" t="str">
        <f>TOV!C221</f>
        <v>#3.137</v>
      </c>
      <c r="K528" s="63">
        <f>VLOOKUP($J528,TOV!$C$219:$G$259,TOV!$F$1,FALSE)</f>
        <v>7430.270581491317</v>
      </c>
      <c r="L528" s="298"/>
      <c r="M528" s="104">
        <f t="shared" si="191"/>
        <v>0</v>
      </c>
      <c r="N528" s="215"/>
      <c r="O528" s="217"/>
      <c r="P528" s="217"/>
      <c r="Q528" s="217"/>
      <c r="R528" s="217"/>
      <c r="S528" s="217"/>
      <c r="T528" s="217"/>
      <c r="U528" s="218"/>
      <c r="V528" s="768"/>
      <c r="W528" s="768"/>
      <c r="X528" s="768"/>
      <c r="Y528" s="768"/>
      <c r="Z528" s="768"/>
      <c r="AA528" s="768"/>
      <c r="AB528" s="768"/>
      <c r="AC528" s="768"/>
      <c r="AD528" s="768"/>
      <c r="AE528" s="768"/>
    </row>
    <row r="529" spans="1:64" s="520" customFormat="1">
      <c r="A529" s="748"/>
      <c r="B529" s="307"/>
      <c r="C529" s="824">
        <f t="shared" si="192"/>
        <v>4</v>
      </c>
      <c r="D529" s="166"/>
      <c r="E529" s="780" t="str">
        <f>VLOOKUP($J529,TOV!$C$217:$G$259,TOV!$E$1,FALSE)</f>
        <v>Vertical, Steel, Open top, Earth, Single skin, Lined, 3.5 ML</v>
      </c>
      <c r="F529" s="833"/>
      <c r="G529" s="834"/>
      <c r="H529" s="78"/>
      <c r="I529" s="835" t="s">
        <v>575</v>
      </c>
      <c r="J529" s="828" t="str">
        <f>TOV!C222</f>
        <v>#3.138</v>
      </c>
      <c r="K529" s="63">
        <f>VLOOKUP($J529,TOV!$C$219:$G$259,TOV!$F$1,FALSE)</f>
        <v>15589.922184833933</v>
      </c>
      <c r="L529" s="298"/>
      <c r="M529" s="104">
        <f t="shared" si="191"/>
        <v>0</v>
      </c>
      <c r="N529" s="215"/>
      <c r="O529" s="217"/>
      <c r="P529" s="217"/>
      <c r="Q529" s="217"/>
      <c r="R529" s="217"/>
      <c r="S529" s="217"/>
      <c r="T529" s="217"/>
      <c r="U529" s="218"/>
      <c r="V529" s="768"/>
      <c r="W529" s="768"/>
      <c r="X529" s="768"/>
      <c r="Y529" s="768"/>
      <c r="Z529" s="768"/>
      <c r="AA529" s="768"/>
      <c r="AB529" s="768"/>
      <c r="AC529" s="768"/>
      <c r="AD529" s="768"/>
      <c r="AE529" s="768"/>
    </row>
    <row r="530" spans="1:64" s="520" customFormat="1">
      <c r="A530" s="748"/>
      <c r="B530" s="307"/>
      <c r="C530" s="824">
        <f t="shared" si="192"/>
        <v>5</v>
      </c>
      <c r="D530" s="166"/>
      <c r="E530" s="780" t="str">
        <f>VLOOKUP($J530,TOV!$C$217:$G$259,TOV!$E$1,FALSE)</f>
        <v>Vertical, Steel, Open top, Earth, Single skin, Lined, 7 ML</v>
      </c>
      <c r="F530" s="833"/>
      <c r="G530" s="834"/>
      <c r="H530" s="78"/>
      <c r="I530" s="835" t="s">
        <v>575</v>
      </c>
      <c r="J530" s="828" t="str">
        <f>TOV!C223</f>
        <v>#3.139</v>
      </c>
      <c r="K530" s="63">
        <f>VLOOKUP($J530,TOV!$C$219:$G$259,TOV!$F$1,FALSE)</f>
        <v>24675.346492518187</v>
      </c>
      <c r="L530" s="298"/>
      <c r="M530" s="104">
        <f t="shared" si="191"/>
        <v>0</v>
      </c>
      <c r="N530" s="215"/>
      <c r="O530" s="217"/>
      <c r="P530" s="217"/>
      <c r="Q530" s="217"/>
      <c r="R530" s="217"/>
      <c r="S530" s="217"/>
      <c r="T530" s="217"/>
      <c r="U530" s="218"/>
      <c r="V530" s="768"/>
      <c r="W530" s="768"/>
      <c r="X530" s="768"/>
      <c r="Y530" s="768"/>
      <c r="Z530" s="768"/>
      <c r="AA530" s="768"/>
      <c r="AB530" s="768"/>
      <c r="AC530" s="768"/>
      <c r="AD530" s="768"/>
      <c r="AE530" s="768"/>
    </row>
    <row r="531" spans="1:64" s="520" customFormat="1">
      <c r="A531" s="748"/>
      <c r="B531" s="307"/>
      <c r="C531" s="824">
        <f t="shared" si="192"/>
        <v>6</v>
      </c>
      <c r="D531" s="166"/>
      <c r="E531" s="780" t="str">
        <f>VLOOKUP($J531,TOV!$C$217:$G$259,TOV!$E$1,FALSE)</f>
        <v>Vertical, Steel, Open top, Earth, Single skin, Lined, 8 ML</v>
      </c>
      <c r="F531" s="833"/>
      <c r="G531" s="834"/>
      <c r="H531" s="78"/>
      <c r="I531" s="835" t="s">
        <v>575</v>
      </c>
      <c r="J531" s="828" t="str">
        <f>TOV!C224</f>
        <v>#3.140</v>
      </c>
      <c r="K531" s="63">
        <f>VLOOKUP($J531,TOV!$C$219:$G$259,TOV!$F$1,FALSE)</f>
        <v>28165.581794722446</v>
      </c>
      <c r="L531" s="298"/>
      <c r="M531" s="104">
        <f t="shared" si="191"/>
        <v>0</v>
      </c>
      <c r="N531" s="215"/>
      <c r="O531" s="217"/>
      <c r="P531" s="217"/>
      <c r="Q531" s="217"/>
      <c r="R531" s="217"/>
      <c r="S531" s="217"/>
      <c r="T531" s="217"/>
      <c r="U531" s="218"/>
      <c r="V531" s="768"/>
      <c r="W531" s="768"/>
      <c r="X531" s="768"/>
      <c r="Y531" s="768"/>
      <c r="Z531" s="768"/>
      <c r="AA531" s="768"/>
      <c r="AB531" s="768"/>
      <c r="AC531" s="768"/>
      <c r="AD531" s="768"/>
      <c r="AE531" s="768"/>
    </row>
    <row r="532" spans="1:64" s="520" customFormat="1">
      <c r="A532" s="748"/>
      <c r="B532" s="307"/>
      <c r="C532" s="824">
        <f t="shared" si="192"/>
        <v>7</v>
      </c>
      <c r="D532" s="166"/>
      <c r="E532" s="780" t="str">
        <f>VLOOKUP($J532,TOV!$C$217:$G$259,TOV!$E$1,FALSE)</f>
        <v>Vertical, Steel, Open top, Earth, Single skin, Lined, 12 ML</v>
      </c>
      <c r="F532" s="833"/>
      <c r="G532" s="834"/>
      <c r="H532" s="78"/>
      <c r="I532" s="835" t="s">
        <v>575</v>
      </c>
      <c r="J532" s="828" t="str">
        <f>TOV!C225</f>
        <v>#3.141</v>
      </c>
      <c r="K532" s="63">
        <f>VLOOKUP($J532,TOV!$C$219:$G$259,TOV!$F$1,FALSE)</f>
        <v>33078.119638931283</v>
      </c>
      <c r="L532" s="298"/>
      <c r="M532" s="104">
        <f t="shared" si="191"/>
        <v>0</v>
      </c>
      <c r="N532" s="215"/>
      <c r="O532" s="217"/>
      <c r="P532" s="217"/>
      <c r="Q532" s="217"/>
      <c r="R532" s="217"/>
      <c r="S532" s="217"/>
      <c r="T532" s="217"/>
      <c r="U532" s="218"/>
      <c r="V532" s="768"/>
      <c r="W532" s="768"/>
      <c r="X532" s="768"/>
      <c r="Y532" s="768"/>
      <c r="Z532" s="768"/>
      <c r="AA532" s="768"/>
      <c r="AB532" s="768"/>
      <c r="AC532" s="768"/>
      <c r="AD532" s="768"/>
      <c r="AE532" s="768"/>
    </row>
    <row r="533" spans="1:64" s="495" customFormat="1" ht="12.75">
      <c r="A533" s="748"/>
      <c r="B533" s="307"/>
      <c r="C533" s="824">
        <f t="shared" si="192"/>
        <v>8</v>
      </c>
      <c r="D533" s="166"/>
      <c r="E533" s="780" t="str">
        <f>VLOOKUP($J533,TOV!$C$217:$G$259,TOV!$E$1,FALSE)</f>
        <v>Vertical, Steel, Open top, Earth, Single skin, Lined, 17 ML</v>
      </c>
      <c r="F533" s="833"/>
      <c r="G533" s="834"/>
      <c r="H533" s="78"/>
      <c r="I533" s="835" t="s">
        <v>575</v>
      </c>
      <c r="J533" s="828" t="str">
        <f>TOV!C226</f>
        <v>#3.142</v>
      </c>
      <c r="K533" s="63">
        <f>VLOOKUP($J533,TOV!$C$219:$G$259,TOV!$F$1,FALSE)</f>
        <v>44197.130488219977</v>
      </c>
      <c r="L533" s="298"/>
      <c r="M533" s="104">
        <f t="shared" si="191"/>
        <v>0</v>
      </c>
      <c r="N533" s="215"/>
      <c r="O533" s="217"/>
      <c r="P533" s="217"/>
      <c r="Q533" s="217"/>
      <c r="R533" s="217"/>
      <c r="S533" s="217"/>
      <c r="T533" s="217"/>
      <c r="U533" s="218"/>
      <c r="V533" s="520"/>
      <c r="W533" s="520"/>
      <c r="X533" s="520"/>
      <c r="Y533" s="520"/>
      <c r="Z533" s="520"/>
      <c r="AA533" s="520"/>
      <c r="AB533" s="520"/>
      <c r="AC533" s="520"/>
      <c r="AH533" s="520"/>
      <c r="BK533" s="520"/>
      <c r="BL533" s="520"/>
    </row>
    <row r="534" spans="1:64" s="495" customFormat="1" ht="12.75">
      <c r="A534" s="748"/>
      <c r="B534" s="307"/>
      <c r="C534" s="824">
        <f t="shared" si="192"/>
        <v>9</v>
      </c>
      <c r="D534" s="166"/>
      <c r="E534" s="780" t="str">
        <f>VLOOKUP($J534,TOV!$C$217:$G$259,TOV!$E$1,FALSE)</f>
        <v>Concrete Ring, Steel, Open top, Earth, Single skin, Lined, 4 kL</v>
      </c>
      <c r="F534" s="833"/>
      <c r="G534" s="834"/>
      <c r="H534" s="78"/>
      <c r="I534" s="835" t="s">
        <v>575</v>
      </c>
      <c r="J534" s="828" t="str">
        <f>TOV!C227</f>
        <v>#3.143</v>
      </c>
      <c r="K534" s="63">
        <f>VLOOKUP($J534,TOV!$C$219:$G$259,TOV!$F$1,FALSE)</f>
        <v>15559.756341241293</v>
      </c>
      <c r="L534" s="298"/>
      <c r="M534" s="104">
        <f t="shared" si="191"/>
        <v>0</v>
      </c>
      <c r="N534" s="215"/>
      <c r="O534" s="217"/>
      <c r="P534" s="217"/>
      <c r="Q534" s="217"/>
      <c r="R534" s="217"/>
      <c r="S534" s="217"/>
      <c r="T534" s="217"/>
      <c r="U534" s="218"/>
      <c r="V534" s="829"/>
      <c r="W534" s="829"/>
      <c r="X534" s="829"/>
      <c r="Y534" s="829"/>
      <c r="Z534" s="829"/>
      <c r="AA534" s="829"/>
      <c r="AB534" s="829"/>
      <c r="AC534" s="829"/>
      <c r="AH534" s="520"/>
      <c r="BK534" s="520"/>
      <c r="BL534" s="520"/>
    </row>
    <row r="535" spans="1:64" s="495" customFormat="1" ht="12.75">
      <c r="A535" s="748"/>
      <c r="B535" s="307"/>
      <c r="C535" s="824">
        <f t="shared" si="192"/>
        <v>10</v>
      </c>
      <c r="D535" s="166"/>
      <c r="E535" s="780" t="str">
        <f>VLOOKUP($J535,TOV!$C$217:$G$259,TOV!$E$1,FALSE)</f>
        <v>Concrete Ring, Steel, Open top, Earth, Single skin, Lined, 8 kL</v>
      </c>
      <c r="F535" s="833"/>
      <c r="G535" s="834"/>
      <c r="H535" s="78"/>
      <c r="I535" s="835" t="s">
        <v>575</v>
      </c>
      <c r="J535" s="828" t="str">
        <f>TOV!C228</f>
        <v>#3.144</v>
      </c>
      <c r="K535" s="63">
        <f>VLOOKUP($J535,TOV!$C$219:$G$259,TOV!$F$1,FALSE)</f>
        <v>23306.347912088291</v>
      </c>
      <c r="L535" s="298"/>
      <c r="M535" s="104">
        <f t="shared" si="191"/>
        <v>0</v>
      </c>
      <c r="N535" s="215"/>
      <c r="O535" s="217"/>
      <c r="P535" s="217"/>
      <c r="Q535" s="217"/>
      <c r="R535" s="217"/>
      <c r="S535" s="217"/>
      <c r="T535" s="217"/>
      <c r="U535" s="218"/>
      <c r="V535" s="829"/>
      <c r="W535" s="829"/>
      <c r="X535" s="829"/>
      <c r="Y535" s="829"/>
      <c r="Z535" s="829"/>
      <c r="AA535" s="829"/>
      <c r="AB535" s="829"/>
      <c r="AC535" s="829"/>
      <c r="AH535" s="520"/>
      <c r="BK535" s="520"/>
      <c r="BL535" s="520"/>
    </row>
    <row r="536" spans="1:64" s="495" customFormat="1" ht="12.75">
      <c r="A536" s="748"/>
      <c r="B536" s="307"/>
      <c r="C536" s="824">
        <f t="shared" si="192"/>
        <v>11</v>
      </c>
      <c r="D536" s="166"/>
      <c r="E536" s="780" t="str">
        <f>VLOOKUP($J536,TOV!$C$217:$G$259,TOV!$E$1,FALSE)</f>
        <v>Concrete Ring, Steel, Open top, Earth, Single skin, Lined, 12 kL</v>
      </c>
      <c r="F536" s="833"/>
      <c r="G536" s="834"/>
      <c r="H536" s="78"/>
      <c r="I536" s="835" t="s">
        <v>575</v>
      </c>
      <c r="J536" s="828" t="str">
        <f>TOV!C229</f>
        <v>#3.145</v>
      </c>
      <c r="K536" s="63">
        <f>VLOOKUP($J536,TOV!$C$219:$G$259,TOV!$F$1,FALSE)</f>
        <v>29025.07297832983</v>
      </c>
      <c r="L536" s="298"/>
      <c r="M536" s="104">
        <f t="shared" si="191"/>
        <v>0</v>
      </c>
      <c r="N536" s="215"/>
      <c r="O536" s="217"/>
      <c r="P536" s="217"/>
      <c r="Q536" s="217"/>
      <c r="R536" s="217"/>
      <c r="S536" s="217"/>
      <c r="T536" s="217"/>
      <c r="U536" s="218"/>
      <c r="V536" s="829"/>
      <c r="W536" s="829"/>
      <c r="X536" s="829"/>
      <c r="Y536" s="829"/>
      <c r="Z536" s="829"/>
      <c r="AA536" s="829"/>
      <c r="AB536" s="829"/>
      <c r="AC536" s="829"/>
      <c r="AH536" s="520"/>
      <c r="BK536" s="520"/>
      <c r="BL536" s="520"/>
    </row>
    <row r="537" spans="1:64" s="495" customFormat="1" ht="12.75">
      <c r="A537" s="748"/>
      <c r="B537" s="307"/>
      <c r="C537" s="824">
        <f t="shared" si="192"/>
        <v>12</v>
      </c>
      <c r="D537" s="166"/>
      <c r="E537" s="780" t="str">
        <f>VLOOKUP($J537,TOV!$C$217:$G$259,TOV!$E$1,FALSE)</f>
        <v>Horizontal, Steel, Closed top, Skid, Single skin, Not lined, 1.2 kL</v>
      </c>
      <c r="F537" s="833"/>
      <c r="G537" s="834"/>
      <c r="H537" s="78"/>
      <c r="I537" s="835" t="s">
        <v>575</v>
      </c>
      <c r="J537" s="828" t="str">
        <f>TOV!C230</f>
        <v>#3.146</v>
      </c>
      <c r="K537" s="63">
        <f>VLOOKUP($J537,TOV!$C$219:$G$259,TOV!$F$1,FALSE)</f>
        <v>1370.4146400743798</v>
      </c>
      <c r="L537" s="298"/>
      <c r="M537" s="104">
        <f t="shared" si="191"/>
        <v>0</v>
      </c>
      <c r="N537" s="215"/>
      <c r="O537" s="217"/>
      <c r="P537" s="217"/>
      <c r="Q537" s="217"/>
      <c r="R537" s="217"/>
      <c r="S537" s="217"/>
      <c r="T537" s="217"/>
      <c r="U537" s="218"/>
      <c r="V537" s="829"/>
      <c r="W537" s="829"/>
      <c r="X537" s="829"/>
      <c r="Y537" s="829"/>
      <c r="Z537" s="829"/>
      <c r="AA537" s="829"/>
      <c r="AB537" s="829"/>
      <c r="AC537" s="829"/>
      <c r="AH537" s="520"/>
      <c r="BK537" s="520"/>
      <c r="BL537" s="520"/>
    </row>
    <row r="538" spans="1:64" s="495" customFormat="1" ht="12.75">
      <c r="A538" s="748"/>
      <c r="B538" s="307"/>
      <c r="C538" s="824">
        <f t="shared" si="192"/>
        <v>13</v>
      </c>
      <c r="D538" s="166"/>
      <c r="E538" s="780" t="str">
        <f>VLOOKUP($J538,TOV!$C$217:$G$259,TOV!$E$1,FALSE)</f>
        <v>Horizontal, Steel, Closed top, Skid, Single skin, Not lined, 5 kL</v>
      </c>
      <c r="F538" s="833"/>
      <c r="G538" s="834"/>
      <c r="H538" s="78"/>
      <c r="I538" s="835" t="s">
        <v>575</v>
      </c>
      <c r="J538" s="828" t="str">
        <f>TOV!C231</f>
        <v>#3.147</v>
      </c>
      <c r="K538" s="63">
        <f>VLOOKUP($J538,TOV!$C$219:$G$259,TOV!$F$1,FALSE)</f>
        <v>1527.4458652198159</v>
      </c>
      <c r="L538" s="298"/>
      <c r="M538" s="104">
        <f t="shared" si="191"/>
        <v>0</v>
      </c>
      <c r="N538" s="215"/>
      <c r="O538" s="217"/>
      <c r="P538" s="217"/>
      <c r="Q538" s="217"/>
      <c r="R538" s="217"/>
      <c r="S538" s="217"/>
      <c r="T538" s="217"/>
      <c r="U538" s="218"/>
      <c r="V538" s="829"/>
      <c r="W538" s="829"/>
      <c r="X538" s="829"/>
      <c r="Y538" s="829"/>
      <c r="Z538" s="829"/>
      <c r="AA538" s="829"/>
      <c r="AB538" s="829"/>
      <c r="AC538" s="829"/>
      <c r="AH538" s="520"/>
      <c r="BK538" s="520"/>
      <c r="BL538" s="520"/>
    </row>
    <row r="539" spans="1:64" s="495" customFormat="1" ht="12.75">
      <c r="A539" s="748"/>
      <c r="B539" s="307"/>
      <c r="C539" s="824">
        <f t="shared" si="192"/>
        <v>14</v>
      </c>
      <c r="D539" s="166"/>
      <c r="E539" s="780" t="str">
        <f>VLOOKUP($J539,TOV!$C$217:$G$259,TOV!$E$1,FALSE)</f>
        <v>Horizontal, Steel, Closed top, Skid, Single skin, Not lined, 10 kL</v>
      </c>
      <c r="F539" s="833"/>
      <c r="G539" s="834"/>
      <c r="H539" s="78"/>
      <c r="I539" s="835" t="s">
        <v>575</v>
      </c>
      <c r="J539" s="828" t="str">
        <f>TOV!C232</f>
        <v>#3.148</v>
      </c>
      <c r="K539" s="63">
        <f>VLOOKUP($J539,TOV!$C$219:$G$259,TOV!$F$1,FALSE)</f>
        <v>1703.7843137042512</v>
      </c>
      <c r="L539" s="298"/>
      <c r="M539" s="104">
        <f t="shared" si="191"/>
        <v>0</v>
      </c>
      <c r="N539" s="215"/>
      <c r="O539" s="217"/>
      <c r="P539" s="217"/>
      <c r="Q539" s="217"/>
      <c r="R539" s="217"/>
      <c r="S539" s="217"/>
      <c r="T539" s="217"/>
      <c r="U539" s="218"/>
      <c r="V539" s="829"/>
      <c r="W539" s="829"/>
      <c r="X539" s="829"/>
      <c r="Y539" s="829"/>
      <c r="Z539" s="829"/>
      <c r="AA539" s="829"/>
      <c r="AB539" s="829"/>
      <c r="AC539" s="829"/>
      <c r="AH539" s="520"/>
      <c r="BK539" s="520"/>
      <c r="BL539" s="520"/>
    </row>
    <row r="540" spans="1:64" s="495" customFormat="1" ht="12.75">
      <c r="A540" s="748"/>
      <c r="B540" s="307"/>
      <c r="C540" s="824">
        <f t="shared" si="192"/>
        <v>15</v>
      </c>
      <c r="D540" s="166"/>
      <c r="E540" s="780" t="str">
        <f>VLOOKUP($J540,TOV!$C$217:$G$259,TOV!$E$1,FALSE)</f>
        <v>Horizontal, Steel, Closed top, Skid, Single skin, Not lined, 20 kL</v>
      </c>
      <c r="F540" s="833"/>
      <c r="G540" s="834"/>
      <c r="H540" s="78"/>
      <c r="I540" s="835" t="s">
        <v>575</v>
      </c>
      <c r="J540" s="828" t="str">
        <f>TOV!C233</f>
        <v>#3.149</v>
      </c>
      <c r="K540" s="63">
        <f>VLOOKUP($J540,TOV!$C$219:$G$259,TOV!$F$1,FALSE)</f>
        <v>1995.77714198845</v>
      </c>
      <c r="L540" s="298"/>
      <c r="M540" s="104">
        <f t="shared" si="191"/>
        <v>0</v>
      </c>
      <c r="N540" s="215"/>
      <c r="O540" s="217"/>
      <c r="P540" s="217"/>
      <c r="Q540" s="217"/>
      <c r="R540" s="217"/>
      <c r="S540" s="217"/>
      <c r="T540" s="217"/>
      <c r="U540" s="218"/>
      <c r="V540" s="829"/>
      <c r="W540" s="829"/>
      <c r="X540" s="829"/>
      <c r="Y540" s="829"/>
      <c r="Z540" s="829"/>
      <c r="AA540" s="829"/>
      <c r="AB540" s="829"/>
      <c r="AC540" s="829"/>
      <c r="AH540" s="520"/>
      <c r="BK540" s="520"/>
      <c r="BL540" s="520"/>
    </row>
    <row r="541" spans="1:64" s="495" customFormat="1" ht="12.75">
      <c r="A541" s="748"/>
      <c r="B541" s="307"/>
      <c r="C541" s="824">
        <f t="shared" si="192"/>
        <v>16</v>
      </c>
      <c r="D541" s="166"/>
      <c r="E541" s="780" t="str">
        <f>VLOOKUP($J541,TOV!$C$217:$G$259,TOV!$E$1,FALSE)</f>
        <v>Horizontal, Steel, Closed top, Skid, Single skin, Not lined, 30 kL</v>
      </c>
      <c r="F541" s="833"/>
      <c r="G541" s="834"/>
      <c r="H541" s="78"/>
      <c r="I541" s="835" t="s">
        <v>575</v>
      </c>
      <c r="J541" s="828" t="str">
        <f>TOV!C234</f>
        <v>#3.150</v>
      </c>
      <c r="K541" s="63">
        <f>VLOOKUP($J541,TOV!$C$219:$G$259,TOV!$F$1,FALSE)</f>
        <v>2093.8108621338506</v>
      </c>
      <c r="L541" s="298"/>
      <c r="M541" s="104">
        <f t="shared" si="191"/>
        <v>0</v>
      </c>
      <c r="N541" s="215"/>
      <c r="O541" s="217"/>
      <c r="P541" s="217"/>
      <c r="Q541" s="217"/>
      <c r="R541" s="217"/>
      <c r="S541" s="217"/>
      <c r="T541" s="217"/>
      <c r="U541" s="218"/>
      <c r="V541" s="829"/>
      <c r="W541" s="829"/>
      <c r="X541" s="829"/>
      <c r="Y541" s="829"/>
      <c r="Z541" s="829"/>
      <c r="AA541" s="829"/>
      <c r="AB541" s="829"/>
      <c r="AC541" s="829"/>
      <c r="AH541" s="520"/>
      <c r="BK541" s="520"/>
      <c r="BL541" s="520"/>
    </row>
    <row r="542" spans="1:64" s="495" customFormat="1" ht="12.75">
      <c r="A542" s="748"/>
      <c r="B542" s="307"/>
      <c r="C542" s="824">
        <f t="shared" si="192"/>
        <v>17</v>
      </c>
      <c r="D542" s="166"/>
      <c r="E542" s="780" t="str">
        <f>VLOOKUP($J542,TOV!$C$217:$G$259,TOV!$E$1,FALSE)</f>
        <v>Horizontal, Steel, Closed top, Skid, Single skin, Not lined, 40 kL</v>
      </c>
      <c r="F542" s="833"/>
      <c r="G542" s="834"/>
      <c r="H542" s="78"/>
      <c r="I542" s="835" t="s">
        <v>575</v>
      </c>
      <c r="J542" s="828" t="str">
        <f>TOV!C235</f>
        <v>#3.151</v>
      </c>
      <c r="K542" s="63">
        <f>VLOOKUP($J542,TOV!$C$219:$G$259,TOV!$F$1,FALSE)</f>
        <v>2374.9150689675726</v>
      </c>
      <c r="L542" s="298"/>
      <c r="M542" s="104">
        <f t="shared" si="191"/>
        <v>0</v>
      </c>
      <c r="N542" s="215"/>
      <c r="O542" s="217"/>
      <c r="P542" s="217"/>
      <c r="Q542" s="217"/>
      <c r="R542" s="217"/>
      <c r="S542" s="217"/>
      <c r="T542" s="217"/>
      <c r="U542" s="218"/>
      <c r="V542" s="829"/>
      <c r="W542" s="829"/>
      <c r="X542" s="829"/>
      <c r="Y542" s="829"/>
      <c r="Z542" s="829"/>
      <c r="AA542" s="829"/>
      <c r="AB542" s="829"/>
      <c r="AC542" s="829"/>
      <c r="AH542" s="520"/>
      <c r="BK542" s="520"/>
      <c r="BL542" s="520"/>
    </row>
    <row r="543" spans="1:64" s="495" customFormat="1" ht="12.75">
      <c r="A543" s="748"/>
      <c r="B543" s="307"/>
      <c r="C543" s="824">
        <f t="shared" si="192"/>
        <v>18</v>
      </c>
      <c r="D543" s="166"/>
      <c r="E543" s="780" t="str">
        <f>VLOOKUP($J543,TOV!$C$217:$G$259,TOV!$E$1,FALSE)</f>
        <v>Horizontal, Steel, Closed top, Skid, Single skin, Not lined, 50 kL</v>
      </c>
      <c r="F543" s="833"/>
      <c r="G543" s="834"/>
      <c r="H543" s="78"/>
      <c r="I543" s="835" t="s">
        <v>575</v>
      </c>
      <c r="J543" s="828" t="str">
        <f>TOV!C236</f>
        <v>#3.152</v>
      </c>
      <c r="K543" s="63">
        <f>VLOOKUP($J543,TOV!$C$219:$G$259,TOV!$F$1,FALSE)</f>
        <v>2594.9096656200509</v>
      </c>
      <c r="L543" s="298"/>
      <c r="M543" s="104">
        <f t="shared" si="191"/>
        <v>0</v>
      </c>
      <c r="N543" s="215"/>
      <c r="O543" s="217"/>
      <c r="P543" s="217"/>
      <c r="Q543" s="217"/>
      <c r="R543" s="217"/>
      <c r="S543" s="217"/>
      <c r="T543" s="217"/>
      <c r="U543" s="218"/>
      <c r="V543" s="829"/>
      <c r="W543" s="829"/>
      <c r="X543" s="829"/>
      <c r="Y543" s="829"/>
      <c r="Z543" s="829"/>
      <c r="AA543" s="829"/>
      <c r="AB543" s="829"/>
      <c r="AC543" s="829"/>
      <c r="AH543" s="520"/>
      <c r="BK543" s="520"/>
      <c r="BL543" s="520"/>
    </row>
    <row r="544" spans="1:64" s="495" customFormat="1" ht="12.75">
      <c r="A544" s="748"/>
      <c r="B544" s="307"/>
      <c r="C544" s="824">
        <f t="shared" si="192"/>
        <v>19</v>
      </c>
      <c r="D544" s="166"/>
      <c r="E544" s="780" t="str">
        <f>VLOOKUP($J544,TOV!$C$217:$G$259,TOV!$E$1,FALSE)</f>
        <v>Horizontal, Steel, Closed top, Skid, Single skin, Not lined, 55 kL</v>
      </c>
      <c r="F544" s="833"/>
      <c r="G544" s="834"/>
      <c r="H544" s="78"/>
      <c r="I544" s="835" t="s">
        <v>575</v>
      </c>
      <c r="J544" s="828" t="str">
        <f>TOV!C237</f>
        <v>#3.153</v>
      </c>
      <c r="K544" s="63">
        <f>VLOOKUP($J544,TOV!$C$219:$G$259,TOV!$F$1,FALSE)</f>
        <v>2668.241197837544</v>
      </c>
      <c r="L544" s="298"/>
      <c r="M544" s="104">
        <f t="shared" si="191"/>
        <v>0</v>
      </c>
      <c r="N544" s="215"/>
      <c r="O544" s="217"/>
      <c r="P544" s="217"/>
      <c r="Q544" s="217"/>
      <c r="R544" s="217"/>
      <c r="S544" s="217"/>
      <c r="T544" s="217"/>
      <c r="U544" s="218"/>
      <c r="V544" s="829"/>
      <c r="W544" s="829"/>
      <c r="X544" s="829"/>
      <c r="Y544" s="829"/>
      <c r="Z544" s="829"/>
      <c r="AA544" s="829"/>
      <c r="AB544" s="829"/>
      <c r="AC544" s="829"/>
      <c r="AH544" s="520"/>
      <c r="BK544" s="520"/>
      <c r="BL544" s="520"/>
    </row>
    <row r="545" spans="1:64" s="495" customFormat="1" ht="12.75">
      <c r="A545" s="748"/>
      <c r="B545" s="307"/>
      <c r="C545" s="824">
        <f t="shared" si="192"/>
        <v>20</v>
      </c>
      <c r="D545" s="166"/>
      <c r="E545" s="780" t="str">
        <f>VLOOKUP($J545,TOV!$C$217:$G$259,TOV!$E$1,FALSE)</f>
        <v>Horizontal, Steel, Closed top, Skid, Single skin, Not lined, 70 kL</v>
      </c>
      <c r="F545" s="833"/>
      <c r="G545" s="834"/>
      <c r="H545" s="78"/>
      <c r="I545" s="835" t="s">
        <v>575</v>
      </c>
      <c r="J545" s="828" t="str">
        <f>TOV!C238</f>
        <v>#3.154</v>
      </c>
      <c r="K545" s="63">
        <f>VLOOKUP($J545,TOV!$C$219:$G$259,TOV!$F$1,FALSE)</f>
        <v>2961.5673267075149</v>
      </c>
      <c r="L545" s="298"/>
      <c r="M545" s="104">
        <f t="shared" si="191"/>
        <v>0</v>
      </c>
      <c r="N545" s="215"/>
      <c r="O545" s="217"/>
      <c r="P545" s="217"/>
      <c r="Q545" s="217"/>
      <c r="R545" s="217"/>
      <c r="S545" s="217"/>
      <c r="T545" s="217"/>
      <c r="U545" s="218"/>
      <c r="V545" s="829"/>
      <c r="W545" s="829"/>
      <c r="X545" s="829"/>
      <c r="Y545" s="829"/>
      <c r="Z545" s="829"/>
      <c r="AA545" s="829"/>
      <c r="AB545" s="829"/>
      <c r="AC545" s="829"/>
      <c r="AH545" s="520"/>
      <c r="BK545" s="520"/>
      <c r="BL545" s="520"/>
    </row>
    <row r="546" spans="1:64" s="495" customFormat="1" ht="12.75">
      <c r="A546" s="748"/>
      <c r="B546" s="307"/>
      <c r="C546" s="824">
        <f t="shared" si="192"/>
        <v>21</v>
      </c>
      <c r="D546" s="166"/>
      <c r="E546" s="780" t="str">
        <f>VLOOKUP($J546,TOV!$C$217:$G$259,TOV!$E$1,FALSE)</f>
        <v>Horizontal, Steel, Closed top, Skid, Single skin, Not lined, 90 kL</v>
      </c>
      <c r="F546" s="833"/>
      <c r="G546" s="834"/>
      <c r="H546" s="78"/>
      <c r="I546" s="835" t="s">
        <v>575</v>
      </c>
      <c r="J546" s="828" t="str">
        <f>TOV!C239</f>
        <v>#3.155</v>
      </c>
      <c r="K546" s="63">
        <f>VLOOKUP($J546,TOV!$C$219:$G$259,TOV!$F$1,FALSE)</f>
        <v>3105.5533860047144</v>
      </c>
      <c r="L546" s="298"/>
      <c r="M546" s="104">
        <f t="shared" si="191"/>
        <v>0</v>
      </c>
      <c r="N546" s="215"/>
      <c r="O546" s="217"/>
      <c r="P546" s="217"/>
      <c r="Q546" s="217"/>
      <c r="R546" s="217"/>
      <c r="S546" s="217"/>
      <c r="T546" s="217"/>
      <c r="U546" s="218"/>
      <c r="V546" s="829"/>
      <c r="W546" s="829"/>
      <c r="X546" s="829"/>
      <c r="Y546" s="829"/>
      <c r="Z546" s="829"/>
      <c r="AA546" s="829"/>
      <c r="AB546" s="829"/>
      <c r="AC546" s="829"/>
      <c r="AH546" s="520"/>
      <c r="BK546" s="520"/>
      <c r="BL546" s="520"/>
    </row>
    <row r="547" spans="1:64" s="495" customFormat="1" ht="12.75">
      <c r="A547" s="748"/>
      <c r="B547" s="307"/>
      <c r="C547" s="824">
        <f t="shared" si="192"/>
        <v>22</v>
      </c>
      <c r="D547" s="166"/>
      <c r="E547" s="780" t="str">
        <f>VLOOKUP($J547,TOV!$C$217:$G$259,TOV!$E$1,FALSE)</f>
        <v>Horizontal, Steel, Closed top, Skid, Single skin, Not lined, 110 kL</v>
      </c>
      <c r="F547" s="833"/>
      <c r="G547" s="834"/>
      <c r="H547" s="78"/>
      <c r="I547" s="835" t="s">
        <v>575</v>
      </c>
      <c r="J547" s="828" t="str">
        <f>TOV!C240</f>
        <v>#3.156</v>
      </c>
      <c r="K547" s="63">
        <f>VLOOKUP($J547,TOV!$C$219:$G$259,TOV!$F$1,FALSE)</f>
        <v>3383.1465679625685</v>
      </c>
      <c r="L547" s="298"/>
      <c r="M547" s="104">
        <f t="shared" si="191"/>
        <v>0</v>
      </c>
      <c r="N547" s="215"/>
      <c r="O547" s="217"/>
      <c r="P547" s="217"/>
      <c r="Q547" s="217"/>
      <c r="R547" s="217"/>
      <c r="S547" s="217"/>
      <c r="T547" s="217"/>
      <c r="U547" s="218"/>
      <c r="V547" s="829"/>
      <c r="W547" s="829"/>
      <c r="X547" s="829"/>
      <c r="Y547" s="829"/>
      <c r="Z547" s="829"/>
      <c r="AA547" s="829"/>
      <c r="AB547" s="829"/>
      <c r="AC547" s="829"/>
      <c r="AH547" s="520"/>
      <c r="BK547" s="520"/>
      <c r="BL547" s="520"/>
    </row>
    <row r="548" spans="1:64" s="495" customFormat="1" ht="12.75">
      <c r="A548" s="748"/>
      <c r="B548" s="307"/>
      <c r="C548" s="824">
        <f t="shared" si="192"/>
        <v>23</v>
      </c>
      <c r="D548" s="166"/>
      <c r="E548" s="780" t="str">
        <f>VLOOKUP($J548,TOV!$C$217:$G$259,TOV!$E$1,FALSE)</f>
        <v>Vertical, Steel, Closed top, Steel, Single skin, Not lined, 100 kL</v>
      </c>
      <c r="F548" s="833"/>
      <c r="G548" s="834"/>
      <c r="H548" s="78"/>
      <c r="I548" s="835" t="s">
        <v>575</v>
      </c>
      <c r="J548" s="828" t="str">
        <f>TOV!C241</f>
        <v>#3.157</v>
      </c>
      <c r="K548" s="63">
        <f>VLOOKUP($J548,TOV!$C$219:$G$259,TOV!$F$1,FALSE)</f>
        <v>4565.7622203920992</v>
      </c>
      <c r="L548" s="298"/>
      <c r="M548" s="104">
        <f t="shared" si="191"/>
        <v>0</v>
      </c>
      <c r="N548" s="215"/>
      <c r="O548" s="217"/>
      <c r="P548" s="217"/>
      <c r="Q548" s="217"/>
      <c r="R548" s="217"/>
      <c r="S548" s="217"/>
      <c r="T548" s="217"/>
      <c r="U548" s="218"/>
      <c r="V548" s="829"/>
      <c r="W548" s="829"/>
      <c r="X548" s="829"/>
      <c r="Y548" s="829"/>
      <c r="Z548" s="829"/>
      <c r="AA548" s="829"/>
      <c r="AB548" s="829"/>
      <c r="AC548" s="829"/>
      <c r="AH548" s="520"/>
      <c r="BK548" s="520"/>
      <c r="BL548" s="520"/>
    </row>
    <row r="549" spans="1:64" s="495" customFormat="1" ht="12.75">
      <c r="A549" s="748"/>
      <c r="B549" s="307"/>
      <c r="C549" s="824">
        <f t="shared" si="192"/>
        <v>24</v>
      </c>
      <c r="D549" s="166"/>
      <c r="E549" s="780" t="str">
        <f>VLOOKUP($J549,TOV!$C$217:$G$259,TOV!$E$1,FALSE)</f>
        <v>Vertical, Steel, Closed top, Steel, Single skin, Not lined, 200 kL</v>
      </c>
      <c r="F549" s="833"/>
      <c r="G549" s="834"/>
      <c r="H549" s="78"/>
      <c r="I549" s="835" t="s">
        <v>575</v>
      </c>
      <c r="J549" s="828" t="str">
        <f>TOV!C242</f>
        <v>#3.158</v>
      </c>
      <c r="K549" s="63">
        <f>VLOOKUP($J549,TOV!$C$219:$G$259,TOV!$F$1,FALSE)</f>
        <v>5895.2787491132995</v>
      </c>
      <c r="L549" s="298"/>
      <c r="M549" s="104">
        <f t="shared" si="191"/>
        <v>0</v>
      </c>
      <c r="N549" s="215"/>
      <c r="O549" s="217"/>
      <c r="P549" s="217"/>
      <c r="Q549" s="217"/>
      <c r="R549" s="217"/>
      <c r="S549" s="217"/>
      <c r="T549" s="217"/>
      <c r="U549" s="218"/>
      <c r="V549" s="829"/>
      <c r="W549" s="829"/>
      <c r="X549" s="829"/>
      <c r="Y549" s="829"/>
      <c r="Z549" s="829"/>
      <c r="AA549" s="829"/>
      <c r="AB549" s="829"/>
      <c r="AC549" s="829"/>
      <c r="AH549" s="520"/>
      <c r="BK549" s="520"/>
      <c r="BL549" s="520"/>
    </row>
    <row r="550" spans="1:64" s="495" customFormat="1" ht="12.75">
      <c r="A550" s="748"/>
      <c r="B550" s="307"/>
      <c r="C550" s="824">
        <f t="shared" si="192"/>
        <v>25</v>
      </c>
      <c r="D550" s="166"/>
      <c r="E550" s="780" t="str">
        <f>VLOOKUP($J550,TOV!$C$217:$G$259,TOV!$E$1,FALSE)</f>
        <v>Vertical, Steel, Closed top, Steel, Single skin, Not lined, 300 kL</v>
      </c>
      <c r="F550" s="833"/>
      <c r="G550" s="834"/>
      <c r="H550" s="78"/>
      <c r="I550" s="835" t="s">
        <v>575</v>
      </c>
      <c r="J550" s="828" t="str">
        <f>TOV!C243</f>
        <v>#3.159</v>
      </c>
      <c r="K550" s="63">
        <f>VLOOKUP($J550,TOV!$C$219:$G$259,TOV!$F$1,FALSE)</f>
        <v>7449.6797324002691</v>
      </c>
      <c r="L550" s="298"/>
      <c r="M550" s="104">
        <f t="shared" si="191"/>
        <v>0</v>
      </c>
      <c r="N550" s="215"/>
      <c r="O550" s="217"/>
      <c r="P550" s="217"/>
      <c r="Q550" s="217"/>
      <c r="R550" s="217"/>
      <c r="S550" s="217"/>
      <c r="T550" s="217"/>
      <c r="U550" s="218"/>
      <c r="V550" s="829"/>
      <c r="W550" s="829"/>
      <c r="X550" s="829"/>
      <c r="Y550" s="829"/>
      <c r="Z550" s="829"/>
      <c r="AA550" s="829"/>
      <c r="AB550" s="829"/>
      <c r="AC550" s="829"/>
      <c r="AH550" s="520"/>
      <c r="BK550" s="520"/>
      <c r="BL550" s="520"/>
    </row>
    <row r="551" spans="1:64" s="495" customFormat="1" ht="12.75">
      <c r="A551" s="748"/>
      <c r="B551" s="307"/>
      <c r="C551" s="824">
        <f t="shared" si="192"/>
        <v>26</v>
      </c>
      <c r="D551" s="166"/>
      <c r="E551" s="780" t="str">
        <f>VLOOKUP($J551,TOV!$C$217:$G$259,TOV!$E$1,FALSE)</f>
        <v>Panel, Concrete, Open top, Earth, Single skin, Lined, 1.2 kL</v>
      </c>
      <c r="F551" s="833"/>
      <c r="G551" s="834"/>
      <c r="H551" s="78"/>
      <c r="I551" s="835" t="s">
        <v>575</v>
      </c>
      <c r="J551" s="828" t="str">
        <f>TOV!C244</f>
        <v>#3.160</v>
      </c>
      <c r="K551" s="63">
        <f>VLOOKUP($J551,TOV!$C$219:$G$259,TOV!$F$1,FALSE)</f>
        <v>18426.03951355871</v>
      </c>
      <c r="L551" s="298"/>
      <c r="M551" s="104">
        <f t="shared" si="191"/>
        <v>0</v>
      </c>
      <c r="N551" s="215"/>
      <c r="O551" s="217"/>
      <c r="P551" s="217"/>
      <c r="Q551" s="217"/>
      <c r="R551" s="217"/>
      <c r="S551" s="217"/>
      <c r="T551" s="217"/>
      <c r="U551" s="218"/>
      <c r="V551" s="829"/>
      <c r="W551" s="829"/>
      <c r="X551" s="829"/>
      <c r="Y551" s="829"/>
      <c r="Z551" s="829"/>
      <c r="AA551" s="829"/>
      <c r="AB551" s="829"/>
      <c r="AC551" s="829"/>
      <c r="AH551" s="520"/>
      <c r="BK551" s="520"/>
      <c r="BL551" s="520"/>
    </row>
    <row r="552" spans="1:64" s="495" customFormat="1" ht="12.75">
      <c r="A552" s="748"/>
      <c r="B552" s="307"/>
      <c r="C552" s="824">
        <f t="shared" si="192"/>
        <v>27</v>
      </c>
      <c r="D552" s="166"/>
      <c r="E552" s="780" t="str">
        <f>VLOOKUP($J552,TOV!$C$217:$G$259,TOV!$E$1,FALSE)</f>
        <v>Panel, Concrete, Open top, Earth, Single skin, Lined, 1.9 kL</v>
      </c>
      <c r="F552" s="833"/>
      <c r="G552" s="834"/>
      <c r="H552" s="78"/>
      <c r="I552" s="835" t="s">
        <v>575</v>
      </c>
      <c r="J552" s="828" t="str">
        <f>TOV!C245</f>
        <v>#3.161</v>
      </c>
      <c r="K552" s="63">
        <f>VLOOKUP($J552,TOV!$C$219:$G$259,TOV!$F$1,FALSE)</f>
        <v>23896.381191263394</v>
      </c>
      <c r="L552" s="298"/>
      <c r="M552" s="104">
        <f t="shared" si="191"/>
        <v>0</v>
      </c>
      <c r="N552" s="215"/>
      <c r="O552" s="217"/>
      <c r="P552" s="217"/>
      <c r="Q552" s="217"/>
      <c r="R552" s="217"/>
      <c r="S552" s="217"/>
      <c r="T552" s="217"/>
      <c r="U552" s="218"/>
      <c r="V552" s="829"/>
      <c r="W552" s="829"/>
      <c r="X552" s="829"/>
      <c r="Y552" s="829"/>
      <c r="Z552" s="829"/>
      <c r="AA552" s="829"/>
      <c r="AB552" s="829"/>
      <c r="AC552" s="829"/>
      <c r="AH552" s="520"/>
      <c r="BK552" s="520"/>
      <c r="BL552" s="520"/>
    </row>
    <row r="553" spans="1:64" s="495" customFormat="1" ht="12.75">
      <c r="A553" s="748"/>
      <c r="B553" s="307"/>
      <c r="C553" s="824">
        <f t="shared" si="192"/>
        <v>28</v>
      </c>
      <c r="D553" s="166"/>
      <c r="E553" s="780" t="str">
        <f>VLOOKUP($J553,TOV!$C$217:$G$259,TOV!$E$1,FALSE)</f>
        <v>Panel, Concrete, Open top, Earth, Single skin, Lined, 3.6 kL</v>
      </c>
      <c r="F553" s="833"/>
      <c r="G553" s="834"/>
      <c r="H553" s="78"/>
      <c r="I553" s="835" t="s">
        <v>575</v>
      </c>
      <c r="J553" s="828" t="str">
        <f>TOV!C246</f>
        <v>#3.162</v>
      </c>
      <c r="K553" s="63">
        <f>VLOOKUP($J553,TOV!$C$219:$G$259,TOV!$F$1,FALSE)</f>
        <v>35845.213069831079</v>
      </c>
      <c r="L553" s="298"/>
      <c r="M553" s="104">
        <f t="shared" si="191"/>
        <v>0</v>
      </c>
      <c r="N553" s="215"/>
      <c r="O553" s="217"/>
      <c r="P553" s="217"/>
      <c r="Q553" s="217"/>
      <c r="R553" s="217"/>
      <c r="S553" s="217"/>
      <c r="T553" s="217"/>
      <c r="U553" s="218"/>
      <c r="V553" s="829"/>
      <c r="W553" s="829"/>
      <c r="X553" s="829"/>
      <c r="Y553" s="829"/>
      <c r="Z553" s="829"/>
      <c r="AA553" s="829"/>
      <c r="AB553" s="829"/>
      <c r="AC553" s="829"/>
      <c r="AH553" s="520"/>
      <c r="BK553" s="520"/>
      <c r="BL553" s="520"/>
    </row>
    <row r="554" spans="1:64" s="495" customFormat="1" ht="12.75">
      <c r="A554" s="748"/>
      <c r="B554" s="307"/>
      <c r="C554" s="824">
        <f t="shared" si="192"/>
        <v>29</v>
      </c>
      <c r="D554" s="166"/>
      <c r="E554" s="780" t="str">
        <f>VLOOKUP($J554,TOV!$C$217:$G$259,TOV!$E$1,FALSE)</f>
        <v>Panel, Concrete, Open top, Earth, Single skin, Lined, 5.5 kL</v>
      </c>
      <c r="F554" s="833"/>
      <c r="G554" s="834"/>
      <c r="H554" s="78"/>
      <c r="I554" s="835" t="s">
        <v>575</v>
      </c>
      <c r="J554" s="828" t="str">
        <f>TOV!C247</f>
        <v>#3.163</v>
      </c>
      <c r="K554" s="63">
        <f>VLOOKUP($J554,TOV!$C$219:$G$259,TOV!$F$1,FALSE)</f>
        <v>45832.543036542585</v>
      </c>
      <c r="L554" s="298"/>
      <c r="M554" s="104">
        <f t="shared" si="191"/>
        <v>0</v>
      </c>
      <c r="N554" s="215"/>
      <c r="O554" s="217"/>
      <c r="P554" s="217"/>
      <c r="Q554" s="217"/>
      <c r="R554" s="217"/>
      <c r="S554" s="217"/>
      <c r="T554" s="217"/>
      <c r="U554" s="218"/>
      <c r="V554" s="829"/>
      <c r="W554" s="829"/>
      <c r="X554" s="829"/>
      <c r="Y554" s="829"/>
      <c r="Z554" s="829"/>
      <c r="AA554" s="829"/>
      <c r="AB554" s="829"/>
      <c r="AC554" s="829"/>
      <c r="AH554" s="520"/>
      <c r="BK554" s="520"/>
      <c r="BL554" s="520"/>
    </row>
    <row r="555" spans="1:64" s="495" customFormat="1" ht="12.75">
      <c r="A555" s="748"/>
      <c r="B555" s="307"/>
      <c r="C555" s="824">
        <f t="shared" si="192"/>
        <v>30</v>
      </c>
      <c r="D555" s="166"/>
      <c r="E555" s="780" t="str">
        <f>VLOOKUP($J555,TOV!$C$217:$G$259,TOV!$E$1,FALSE)</f>
        <v>Panel, Concrete, Open top, Earth, Single skin, Lined, 7.6 kL</v>
      </c>
      <c r="F555" s="833"/>
      <c r="G555" s="834"/>
      <c r="H555" s="78"/>
      <c r="I555" s="835" t="s">
        <v>575</v>
      </c>
      <c r="J555" s="828" t="str">
        <f>TOV!C248</f>
        <v>#3.164</v>
      </c>
      <c r="K555" s="63">
        <f>VLOOKUP($J555,TOV!$C$219:$G$259,TOV!$F$1,FALSE)</f>
        <v>57093.131616084633</v>
      </c>
      <c r="L555" s="298"/>
      <c r="M555" s="104">
        <f t="shared" si="191"/>
        <v>0</v>
      </c>
      <c r="N555" s="215"/>
      <c r="O555" s="217"/>
      <c r="P555" s="217"/>
      <c r="Q555" s="217"/>
      <c r="R555" s="217"/>
      <c r="S555" s="217"/>
      <c r="T555" s="217"/>
      <c r="U555" s="218"/>
      <c r="V555" s="829"/>
      <c r="W555" s="829"/>
      <c r="X555" s="829"/>
      <c r="Y555" s="829"/>
      <c r="Z555" s="829"/>
      <c r="AA555" s="829"/>
      <c r="AB555" s="829"/>
      <c r="AC555" s="829"/>
      <c r="AH555" s="520"/>
      <c r="BK555" s="520"/>
      <c r="BL555" s="520"/>
    </row>
    <row r="556" spans="1:64" s="495" customFormat="1" ht="12.75">
      <c r="A556" s="748"/>
      <c r="B556" s="307"/>
      <c r="C556" s="824">
        <f t="shared" si="192"/>
        <v>31</v>
      </c>
      <c r="D556" s="166"/>
      <c r="E556" s="780" t="str">
        <f>VLOOKUP($J556,TOV!$C$217:$G$259,TOV!$E$1,FALSE)</f>
        <v>Panel, Concrete, Open top, Earth, Single skin, Lined, 12 kL</v>
      </c>
      <c r="F556" s="833"/>
      <c r="G556" s="834"/>
      <c r="H556" s="78"/>
      <c r="I556" s="835" t="s">
        <v>575</v>
      </c>
      <c r="J556" s="828" t="str">
        <f>TOV!C249</f>
        <v>#3.165</v>
      </c>
      <c r="K556" s="63">
        <f>VLOOKUP($J556,TOV!$C$219:$G$259,TOV!$F$1,FALSE)</f>
        <v>71244.341386603788</v>
      </c>
      <c r="L556" s="298"/>
      <c r="M556" s="104">
        <f t="shared" si="191"/>
        <v>0</v>
      </c>
      <c r="N556" s="215"/>
      <c r="O556" s="217"/>
      <c r="P556" s="217"/>
      <c r="Q556" s="217"/>
      <c r="R556" s="217"/>
      <c r="S556" s="217"/>
      <c r="T556" s="217"/>
      <c r="U556" s="218"/>
      <c r="V556" s="829"/>
      <c r="W556" s="829"/>
      <c r="X556" s="829"/>
      <c r="Y556" s="829"/>
      <c r="Z556" s="829"/>
      <c r="AA556" s="829"/>
      <c r="AB556" s="829"/>
      <c r="AC556" s="829"/>
      <c r="AH556" s="520"/>
      <c r="BK556" s="520"/>
      <c r="BL556" s="520"/>
    </row>
    <row r="557" spans="1:64" s="495" customFormat="1" ht="12.75">
      <c r="A557" s="748"/>
      <c r="B557" s="307"/>
      <c r="C557" s="824">
        <f t="shared" si="192"/>
        <v>32</v>
      </c>
      <c r="D557" s="166"/>
      <c r="E557" s="780" t="str">
        <f>VLOOKUP($J557,TOV!$C$217:$G$259,TOV!$E$1,FALSE)</f>
        <v>Panel, Concrete, Open top, Earth, Single skin, Lined, 15.5 kL</v>
      </c>
      <c r="F557" s="833"/>
      <c r="G557" s="834"/>
      <c r="H557" s="78"/>
      <c r="I557" s="835" t="s">
        <v>575</v>
      </c>
      <c r="J557" s="828" t="str">
        <f>TOV!C250</f>
        <v>#3.166</v>
      </c>
      <c r="K557" s="63">
        <f>VLOOKUP($J557,TOV!$C$219:$G$259,TOV!$F$1,FALSE)</f>
        <v>84220.688971618423</v>
      </c>
      <c r="L557" s="298"/>
      <c r="M557" s="104">
        <f t="shared" si="191"/>
        <v>0</v>
      </c>
      <c r="N557" s="215"/>
      <c r="O557" s="217"/>
      <c r="P557" s="217"/>
      <c r="Q557" s="217"/>
      <c r="R557" s="217"/>
      <c r="S557" s="217"/>
      <c r="T557" s="217"/>
      <c r="U557" s="218"/>
      <c r="V557" s="829"/>
      <c r="W557" s="829"/>
      <c r="X557" s="829"/>
      <c r="Y557" s="829"/>
      <c r="Z557" s="829"/>
      <c r="AA557" s="829"/>
      <c r="AB557" s="829"/>
      <c r="AC557" s="829"/>
      <c r="AH557" s="520"/>
      <c r="BK557" s="520"/>
      <c r="BL557" s="520"/>
    </row>
    <row r="558" spans="1:64" s="495" customFormat="1" ht="12.75">
      <c r="A558" s="748"/>
      <c r="B558" s="307"/>
      <c r="C558" s="824">
        <f t="shared" si="192"/>
        <v>33</v>
      </c>
      <c r="D558" s="166"/>
      <c r="E558" s="780" t="str">
        <f>VLOOKUP($J558,TOV!$C$217:$G$259,TOV!$E$1,FALSE)</f>
        <v>Panel, Concrete, Open top, Earth, Single skin, Lined, 25 kL</v>
      </c>
      <c r="F558" s="833"/>
      <c r="G558" s="834"/>
      <c r="H558" s="78"/>
      <c r="I558" s="835" t="s">
        <v>575</v>
      </c>
      <c r="J558" s="828" t="str">
        <f>TOV!C251</f>
        <v>#3.167</v>
      </c>
      <c r="K558" s="63">
        <f>VLOOKUP($J558,TOV!$C$219:$G$259,TOV!$F$1,FALSE)</f>
        <v>121840.87399630764</v>
      </c>
      <c r="L558" s="298"/>
      <c r="M558" s="104">
        <f t="shared" si="191"/>
        <v>0</v>
      </c>
      <c r="N558" s="215"/>
      <c r="O558" s="217"/>
      <c r="P558" s="217"/>
      <c r="Q558" s="217"/>
      <c r="R558" s="217"/>
      <c r="S558" s="217"/>
      <c r="T558" s="217"/>
      <c r="U558" s="218"/>
      <c r="V558" s="829"/>
      <c r="W558" s="829"/>
      <c r="X558" s="829"/>
      <c r="Y558" s="829"/>
      <c r="Z558" s="829"/>
      <c r="AA558" s="829"/>
      <c r="AB558" s="829"/>
      <c r="AC558" s="829"/>
      <c r="AH558" s="520"/>
      <c r="BK558" s="520"/>
      <c r="BL558" s="520"/>
    </row>
    <row r="559" spans="1:64" s="495" customFormat="1" ht="12.75">
      <c r="A559" s="748"/>
      <c r="B559" s="307"/>
      <c r="C559" s="824">
        <f t="shared" si="192"/>
        <v>34</v>
      </c>
      <c r="D559" s="166"/>
      <c r="E559" s="780" t="str">
        <f>VLOOKUP($J559,TOV!$C$217:$G$259,TOV!$E$1,FALSE)</f>
        <v>Panel, Concrete, Open top, Earth, Single skin, Lined, 40 kL</v>
      </c>
      <c r="F559" s="833"/>
      <c r="G559" s="834"/>
      <c r="H559" s="78"/>
      <c r="I559" s="835" t="s">
        <v>575</v>
      </c>
      <c r="J559" s="828" t="str">
        <f>TOV!C252</f>
        <v>#3.168</v>
      </c>
      <c r="K559" s="63">
        <f>VLOOKUP($J559,TOV!$C$219:$G$259,TOV!$F$1,FALSE)</f>
        <v>173539.58467974025</v>
      </c>
      <c r="L559" s="298"/>
      <c r="M559" s="104">
        <f t="shared" si="191"/>
        <v>0</v>
      </c>
      <c r="N559" s="215"/>
      <c r="O559" s="217"/>
      <c r="P559" s="217"/>
      <c r="Q559" s="217"/>
      <c r="R559" s="217"/>
      <c r="S559" s="217"/>
      <c r="T559" s="217"/>
      <c r="U559" s="218"/>
      <c r="V559" s="829"/>
      <c r="W559" s="829"/>
      <c r="X559" s="829"/>
      <c r="Y559" s="829"/>
      <c r="Z559" s="829"/>
      <c r="AA559" s="829"/>
      <c r="AB559" s="829"/>
      <c r="AC559" s="829"/>
      <c r="AH559" s="520"/>
      <c r="BK559" s="520"/>
      <c r="BL559" s="520"/>
    </row>
    <row r="560" spans="1:64" s="495" customFormat="1" ht="12.75">
      <c r="A560" s="748"/>
      <c r="B560" s="307"/>
      <c r="C560" s="824">
        <f t="shared" si="192"/>
        <v>35</v>
      </c>
      <c r="D560" s="166"/>
      <c r="E560" s="780" t="str">
        <f>VLOOKUP($J560,TOV!$C$217:$G$259,TOV!$E$1,FALSE)</f>
        <v>Panel, Concrete, Open top, Earth, Single skin, Lined, 50 kL</v>
      </c>
      <c r="F560" s="833"/>
      <c r="G560" s="834"/>
      <c r="H560" s="78"/>
      <c r="I560" s="835" t="s">
        <v>575</v>
      </c>
      <c r="J560" s="828" t="str">
        <f>TOV!C253</f>
        <v>#3.169</v>
      </c>
      <c r="K560" s="63">
        <f>VLOOKUP($J560,TOV!$C$219:$G$259,TOV!$F$1,FALSE)</f>
        <v>204470.22330721276</v>
      </c>
      <c r="L560" s="298"/>
      <c r="M560" s="104">
        <f t="shared" si="191"/>
        <v>0</v>
      </c>
      <c r="N560" s="215"/>
      <c r="O560" s="217"/>
      <c r="P560" s="217"/>
      <c r="Q560" s="217"/>
      <c r="R560" s="217"/>
      <c r="S560" s="217"/>
      <c r="T560" s="217"/>
      <c r="U560" s="218"/>
      <c r="V560" s="829"/>
      <c r="W560" s="829"/>
      <c r="X560" s="829"/>
      <c r="Y560" s="829"/>
      <c r="Z560" s="829"/>
      <c r="AA560" s="829"/>
      <c r="AB560" s="829"/>
      <c r="AC560" s="829"/>
      <c r="AH560" s="520"/>
      <c r="BK560" s="520"/>
      <c r="BL560" s="520"/>
    </row>
    <row r="561" spans="1:64" s="495" customFormat="1" ht="12.75">
      <c r="A561" s="748"/>
      <c r="B561" s="307"/>
      <c r="C561" s="824">
        <f t="shared" si="192"/>
        <v>36</v>
      </c>
      <c r="D561" s="166"/>
      <c r="E561" s="780" t="str">
        <f>VLOOKUP($J561,TOV!$C$217:$G$259,TOV!$E$1,FALSE)</f>
        <v>Rainwater, Plastic, Closed top, Plastic, Single skin, Not lined, 1.5 kL</v>
      </c>
      <c r="F561" s="833"/>
      <c r="G561" s="834"/>
      <c r="H561" s="78"/>
      <c r="I561" s="835" t="s">
        <v>575</v>
      </c>
      <c r="J561" s="828" t="str">
        <f>TOV!C254</f>
        <v>#3.170</v>
      </c>
      <c r="K561" s="63">
        <f>VLOOKUP($J561,TOV!$C$219:$G$259,TOV!$F$1,FALSE)</f>
        <v>6137.7625027559507</v>
      </c>
      <c r="L561" s="298"/>
      <c r="M561" s="104">
        <f t="shared" si="191"/>
        <v>0</v>
      </c>
      <c r="N561" s="215"/>
      <c r="O561" s="217"/>
      <c r="P561" s="217"/>
      <c r="Q561" s="217"/>
      <c r="R561" s="217"/>
      <c r="S561" s="217"/>
      <c r="T561" s="217"/>
      <c r="U561" s="218"/>
      <c r="V561" s="829"/>
      <c r="W561" s="829"/>
      <c r="X561" s="829"/>
      <c r="Y561" s="829"/>
      <c r="Z561" s="829"/>
      <c r="AA561" s="829"/>
      <c r="AB561" s="829"/>
      <c r="AC561" s="829"/>
      <c r="AH561" s="520"/>
      <c r="BK561" s="520"/>
      <c r="BL561" s="520"/>
    </row>
    <row r="562" spans="1:64" s="495" customFormat="1" ht="12.75">
      <c r="A562" s="748"/>
      <c r="B562" s="307"/>
      <c r="C562" s="824">
        <f t="shared" si="192"/>
        <v>37</v>
      </c>
      <c r="D562" s="166"/>
      <c r="E562" s="780" t="str">
        <f>VLOOKUP($J562,TOV!$C$217:$G$259,TOV!$E$1,FALSE)</f>
        <v>Rainwater, Plastic, Closed top, Plastic, Single skin, Not lined, 3 kL</v>
      </c>
      <c r="F562" s="833"/>
      <c r="G562" s="834"/>
      <c r="H562" s="78"/>
      <c r="I562" s="835" t="s">
        <v>575</v>
      </c>
      <c r="J562" s="828" t="str">
        <f>TOV!C255</f>
        <v>#3.171</v>
      </c>
      <c r="K562" s="63">
        <f>VLOOKUP($J562,TOV!$C$219:$G$259,TOV!$F$1,FALSE)</f>
        <v>570.08381899896267</v>
      </c>
      <c r="L562" s="298"/>
      <c r="M562" s="104">
        <f t="shared" si="191"/>
        <v>0</v>
      </c>
      <c r="N562" s="215"/>
      <c r="O562" s="217"/>
      <c r="P562" s="217"/>
      <c r="Q562" s="217"/>
      <c r="R562" s="217"/>
      <c r="S562" s="217"/>
      <c r="T562" s="217"/>
      <c r="U562" s="218"/>
      <c r="V562" s="829"/>
      <c r="W562" s="829"/>
      <c r="X562" s="829"/>
      <c r="Y562" s="829"/>
      <c r="Z562" s="829"/>
      <c r="AA562" s="829"/>
      <c r="AB562" s="829"/>
      <c r="AC562" s="829"/>
      <c r="AH562" s="520"/>
      <c r="BK562" s="520"/>
      <c r="BL562" s="520"/>
    </row>
    <row r="563" spans="1:64" s="495" customFormat="1" ht="12.75">
      <c r="A563" s="748"/>
      <c r="B563" s="307"/>
      <c r="C563" s="824">
        <f t="shared" si="192"/>
        <v>38</v>
      </c>
      <c r="D563" s="166"/>
      <c r="E563" s="780" t="str">
        <f>VLOOKUP($J563,TOV!$C$217:$G$259,TOV!$E$1,FALSE)</f>
        <v>Rainwater, Plastic, Closed top, Plastic, Single skin, Not lined, 5 kL</v>
      </c>
      <c r="F563" s="833"/>
      <c r="G563" s="834"/>
      <c r="H563" s="78"/>
      <c r="I563" s="835" t="s">
        <v>575</v>
      </c>
      <c r="J563" s="828" t="str">
        <f>TOV!C256</f>
        <v>#3.172</v>
      </c>
      <c r="K563" s="63">
        <f>VLOOKUP($J563,TOV!$C$219:$G$259,TOV!$F$1,FALSE)</f>
        <v>570.70756881825878</v>
      </c>
      <c r="L563" s="298"/>
      <c r="M563" s="104">
        <f t="shared" si="191"/>
        <v>0</v>
      </c>
      <c r="N563" s="215"/>
      <c r="O563" s="217"/>
      <c r="P563" s="217"/>
      <c r="Q563" s="217"/>
      <c r="R563" s="217"/>
      <c r="S563" s="217"/>
      <c r="T563" s="217"/>
      <c r="U563" s="218"/>
      <c r="V563" s="829"/>
      <c r="W563" s="829"/>
      <c r="X563" s="829"/>
      <c r="Y563" s="829"/>
      <c r="Z563" s="829"/>
      <c r="AA563" s="829"/>
      <c r="AB563" s="829"/>
      <c r="AC563" s="829"/>
      <c r="AH563" s="520"/>
      <c r="BK563" s="520"/>
      <c r="BL563" s="520"/>
    </row>
    <row r="564" spans="1:64" s="495" customFormat="1" ht="12.75">
      <c r="A564" s="748"/>
      <c r="B564" s="307"/>
      <c r="C564" s="824">
        <f t="shared" si="192"/>
        <v>39</v>
      </c>
      <c r="D564" s="166"/>
      <c r="E564" s="780" t="str">
        <f>VLOOKUP($J564,TOV!$C$217:$G$259,TOV!$E$1,FALSE)</f>
        <v>Rainwater, Plastic, Closed top, Plastic, Single skin, Not lined, 10 kL</v>
      </c>
      <c r="F564" s="833"/>
      <c r="G564" s="834"/>
      <c r="H564" s="78"/>
      <c r="I564" s="835" t="s">
        <v>575</v>
      </c>
      <c r="J564" s="828" t="str">
        <f>TOV!C257</f>
        <v>#3.173</v>
      </c>
      <c r="K564" s="63">
        <f>VLOOKUP($J564,TOV!$C$219:$G$259,TOV!$F$1,FALSE)</f>
        <v>571.15857244515882</v>
      </c>
      <c r="L564" s="298"/>
      <c r="M564" s="104">
        <f t="shared" si="191"/>
        <v>0</v>
      </c>
      <c r="N564" s="215"/>
      <c r="O564" s="217"/>
      <c r="P564" s="217"/>
      <c r="Q564" s="217"/>
      <c r="R564" s="217"/>
      <c r="S564" s="217"/>
      <c r="T564" s="217"/>
      <c r="U564" s="218"/>
      <c r="V564" s="829"/>
      <c r="W564" s="829"/>
      <c r="X564" s="829"/>
      <c r="Y564" s="829"/>
      <c r="Z564" s="829"/>
      <c r="AA564" s="829"/>
      <c r="AB564" s="829"/>
      <c r="AC564" s="829"/>
      <c r="AH564" s="520"/>
      <c r="BK564" s="520"/>
      <c r="BL564" s="520"/>
    </row>
    <row r="565" spans="1:64" s="495" customFormat="1" ht="12.75">
      <c r="A565" s="748"/>
      <c r="B565" s="307"/>
      <c r="C565" s="824">
        <f t="shared" si="192"/>
        <v>40</v>
      </c>
      <c r="D565" s="166"/>
      <c r="E565" s="780" t="str">
        <f>VLOOKUP($J565,TOV!$C$217:$G$259,TOV!$E$1,FALSE)</f>
        <v>Rainwater, Plastic, Closed top, Plastic, Single skin, Not lined, 13.5 kL</v>
      </c>
      <c r="F565" s="833"/>
      <c r="G565" s="834"/>
      <c r="H565" s="78"/>
      <c r="I565" s="835" t="s">
        <v>575</v>
      </c>
      <c r="J565" s="828" t="str">
        <f>TOV!C258</f>
        <v>#3.174</v>
      </c>
      <c r="K565" s="63">
        <f>VLOOKUP($J565,TOV!$C$219:$G$259,TOV!$F$1,FALSE)</f>
        <v>698.66345046978995</v>
      </c>
      <c r="L565" s="298"/>
      <c r="M565" s="104">
        <f t="shared" si="191"/>
        <v>0</v>
      </c>
      <c r="N565" s="215"/>
      <c r="O565" s="217"/>
      <c r="P565" s="217"/>
      <c r="Q565" s="217"/>
      <c r="R565" s="217"/>
      <c r="S565" s="217"/>
      <c r="T565" s="217"/>
      <c r="U565" s="218"/>
      <c r="V565" s="829"/>
      <c r="W565" s="829"/>
      <c r="X565" s="829"/>
      <c r="Y565" s="829"/>
      <c r="Z565" s="829"/>
      <c r="AA565" s="829"/>
      <c r="AB565" s="829"/>
      <c r="AC565" s="829"/>
      <c r="AH565" s="520"/>
      <c r="BK565" s="520"/>
      <c r="BL565" s="520"/>
    </row>
    <row r="566" spans="1:64" s="495" customFormat="1" ht="12.75">
      <c r="A566" s="748"/>
      <c r="B566" s="307"/>
      <c r="C566" s="824">
        <f t="shared" si="192"/>
        <v>41</v>
      </c>
      <c r="D566" s="166"/>
      <c r="E566" s="780" t="str">
        <f>VLOOKUP($J566,TOV!$C$217:$G$259,TOV!$E$1,FALSE)</f>
        <v>Rainwater, Plastic, Closed top, Plastic, Single skin, Not lined, 18.2 kL</v>
      </c>
      <c r="F566" s="833"/>
      <c r="G566" s="834"/>
      <c r="H566" s="78"/>
      <c r="I566" s="835" t="s">
        <v>575</v>
      </c>
      <c r="J566" s="828" t="str">
        <f>TOV!C259</f>
        <v>#3.175</v>
      </c>
      <c r="K566" s="63">
        <f>VLOOKUP($J566,TOV!$C$219:$G$259,TOV!$F$1,FALSE)</f>
        <v>699.51837386161856</v>
      </c>
      <c r="L566" s="298"/>
      <c r="M566" s="104">
        <f t="shared" si="191"/>
        <v>0</v>
      </c>
      <c r="N566" s="215"/>
      <c r="O566" s="217"/>
      <c r="P566" s="217"/>
      <c r="Q566" s="217"/>
      <c r="R566" s="217"/>
      <c r="S566" s="217"/>
      <c r="T566" s="217"/>
      <c r="U566" s="218"/>
      <c r="V566" s="829"/>
      <c r="W566" s="829"/>
      <c r="X566" s="829"/>
      <c r="Y566" s="829"/>
      <c r="Z566" s="829"/>
      <c r="AA566" s="829"/>
      <c r="AB566" s="829"/>
      <c r="AC566" s="829"/>
      <c r="AH566" s="520"/>
      <c r="BK566" s="520"/>
      <c r="BL566" s="520"/>
    </row>
    <row r="567" spans="1:64" s="520" customFormat="1" ht="18" customHeight="1">
      <c r="A567" s="748"/>
      <c r="B567" s="287" t="s">
        <v>26</v>
      </c>
      <c r="C567" s="53"/>
      <c r="E567" s="53"/>
      <c r="F567" s="768"/>
      <c r="G567" s="768"/>
      <c r="H567" s="129"/>
      <c r="I567" s="53"/>
      <c r="J567" s="768"/>
      <c r="K567" s="934"/>
      <c r="L567" s="105"/>
      <c r="M567" s="105"/>
      <c r="N567" s="801"/>
      <c r="O567" s="801"/>
      <c r="P567" s="801"/>
      <c r="Q567" s="801"/>
      <c r="R567" s="23"/>
      <c r="S567" s="23"/>
      <c r="T567" s="23"/>
      <c r="U567" s="23"/>
      <c r="V567" s="23"/>
      <c r="AA567" s="829"/>
      <c r="AB567" s="829"/>
      <c r="AF567" s="768"/>
      <c r="AG567" s="768"/>
      <c r="AI567" s="495"/>
      <c r="AJ567" s="768"/>
      <c r="AO567" s="837"/>
      <c r="AP567" s="838"/>
      <c r="AQ567" s="838"/>
      <c r="AR567" s="838"/>
      <c r="AS567" s="838"/>
      <c r="AT567" s="838"/>
      <c r="AU567" s="838"/>
    </row>
    <row r="568" spans="1:64" s="495" customFormat="1" ht="18" customHeight="1">
      <c r="A568" s="748"/>
      <c r="B568" s="839"/>
      <c r="D568" s="520"/>
      <c r="E568" s="840"/>
      <c r="F568" s="768"/>
      <c r="G568" s="844" t="s">
        <v>1593</v>
      </c>
      <c r="H568" s="884">
        <f>SUM(H525:H567)</f>
        <v>0</v>
      </c>
      <c r="I568" s="845" t="s">
        <v>1491</v>
      </c>
      <c r="J568" s="768"/>
      <c r="K568" s="791"/>
      <c r="L568" s="935"/>
      <c r="M568" s="106">
        <f>SUM(M525:M567)</f>
        <v>0</v>
      </c>
      <c r="N568" s="797">
        <f>IF(H568=0,0,M568/H568)</f>
        <v>0</v>
      </c>
      <c r="O568" s="936" t="str">
        <f>I568</f>
        <v>tanks</v>
      </c>
      <c r="P568" s="801"/>
      <c r="Q568" s="801"/>
      <c r="R568" s="843"/>
      <c r="S568" s="843"/>
      <c r="T568" s="843"/>
      <c r="U568" s="843"/>
      <c r="V568" s="843"/>
      <c r="AH568" s="520"/>
      <c r="BK568" s="520"/>
      <c r="BL568" s="520"/>
    </row>
    <row r="569" spans="1:64" s="495" customFormat="1" ht="18" customHeight="1">
      <c r="A569" s="748"/>
      <c r="B569" s="839"/>
      <c r="D569" s="520"/>
      <c r="E569" s="840"/>
      <c r="F569" s="768"/>
      <c r="G569" s="768"/>
      <c r="H569" s="768"/>
      <c r="I569" s="768"/>
      <c r="J569" s="768"/>
      <c r="K569" s="768"/>
      <c r="L569" s="768"/>
      <c r="M569" s="768"/>
      <c r="N569" s="801"/>
      <c r="O569" s="801"/>
      <c r="P569" s="801"/>
      <c r="Q569" s="801"/>
      <c r="R569" s="843"/>
      <c r="S569" s="843"/>
      <c r="T569" s="843"/>
      <c r="U569" s="843"/>
      <c r="V569" s="843"/>
      <c r="AH569" s="520"/>
      <c r="BK569" s="520"/>
      <c r="BL569" s="520"/>
    </row>
    <row r="570" spans="1:64">
      <c r="N570" s="801"/>
      <c r="O570" s="801"/>
      <c r="P570" s="801"/>
      <c r="Q570" s="801"/>
    </row>
  </sheetData>
  <sheetProtection algorithmName="SHA-512" hashValue="u+DJ67OQaxACYJIhdEh+Orhbao+n8BgaWvS1Sl81W9l21VDHyyztYnhhM+xglum5UaC+QGSRj65EfP5IiEz+wA==" saltValue="tSQuViewgTuF0x8vtw2vTg==" spinCount="100000" sheet="1" objects="1" scenarios="1" autoFilter="0"/>
  <phoneticPr fontId="15" type="noConversion"/>
  <conditionalFormatting sqref="J95:J99">
    <cfRule type="cellIs" dxfId="446" priority="356" operator="greaterThan">
      <formula>0</formula>
    </cfRule>
  </conditionalFormatting>
  <conditionalFormatting sqref="K13:K15">
    <cfRule type="containsText" dxfId="445" priority="115" operator="containsText" text="No">
      <formula>NOT(ISERROR(SEARCH("No",K13)))</formula>
    </cfRule>
  </conditionalFormatting>
  <conditionalFormatting sqref="K40:K42">
    <cfRule type="containsText" dxfId="444" priority="114" operator="containsText" text="No">
      <formula>NOT(ISERROR(SEARCH("No",K40)))</formula>
    </cfRule>
  </conditionalFormatting>
  <conditionalFormatting sqref="K56:K58">
    <cfRule type="containsText" dxfId="443" priority="113" operator="containsText" text="No">
      <formula>NOT(ISERROR(SEARCH("No",K56)))</formula>
    </cfRule>
  </conditionalFormatting>
  <conditionalFormatting sqref="K133:K134">
    <cfRule type="containsText" dxfId="442" priority="112" operator="containsText" text="No">
      <formula>NOT(ISERROR(SEARCH("No",K133)))</formula>
    </cfRule>
  </conditionalFormatting>
  <conditionalFormatting sqref="K151:K153">
    <cfRule type="containsText" dxfId="441" priority="111" operator="containsText" text="No">
      <formula>NOT(ISERROR(SEARCH("No",K151)))</formula>
    </cfRule>
  </conditionalFormatting>
  <conditionalFormatting sqref="K202:K204">
    <cfRule type="containsText" dxfId="440" priority="110" operator="containsText" text="No">
      <formula>NOT(ISERROR(SEARCH("No",K202)))</formula>
    </cfRule>
  </conditionalFormatting>
  <conditionalFormatting sqref="K252:K254">
    <cfRule type="containsText" dxfId="439" priority="109" operator="containsText" text="No">
      <formula>NOT(ISERROR(SEARCH("No",K252)))</formula>
    </cfRule>
  </conditionalFormatting>
  <conditionalFormatting sqref="K287:K289">
    <cfRule type="containsText" dxfId="438" priority="108" operator="containsText" text="No">
      <formula>NOT(ISERROR(SEARCH("No",K287)))</formula>
    </cfRule>
  </conditionalFormatting>
  <conditionalFormatting sqref="K305:K307">
    <cfRule type="containsText" dxfId="437" priority="107" operator="containsText" text="No">
      <formula>NOT(ISERROR(SEARCH("No",K305)))</formula>
    </cfRule>
  </conditionalFormatting>
  <conditionalFormatting sqref="K375:K377">
    <cfRule type="containsText" dxfId="436" priority="106" operator="containsText" text="No">
      <formula>NOT(ISERROR(SEARCH("No",K375)))</formula>
    </cfRule>
  </conditionalFormatting>
  <conditionalFormatting sqref="K389:K391">
    <cfRule type="containsText" dxfId="435" priority="105" operator="containsText" text="No">
      <formula>NOT(ISERROR(SEARCH("No",K389)))</formula>
    </cfRule>
  </conditionalFormatting>
  <conditionalFormatting sqref="K399:K401">
    <cfRule type="containsText" dxfId="434" priority="104" operator="containsText" text="No">
      <formula>NOT(ISERROR(SEARCH("No",K399)))</formula>
    </cfRule>
  </conditionalFormatting>
  <conditionalFormatting sqref="K409:K411">
    <cfRule type="containsText" dxfId="433" priority="103" operator="containsText" text="No">
      <formula>NOT(ISERROR(SEARCH("No",K409)))</formula>
    </cfRule>
  </conditionalFormatting>
  <conditionalFormatting sqref="K423:K425">
    <cfRule type="containsText" dxfId="432" priority="80" operator="containsText" text="No">
      <formula>NOT(ISERROR(SEARCH("No",K423)))</formula>
    </cfRule>
  </conditionalFormatting>
  <conditionalFormatting sqref="K441:K443">
    <cfRule type="containsText" dxfId="431" priority="84" operator="containsText" text="No">
      <formula>NOT(ISERROR(SEARCH("No",K441)))</formula>
    </cfRule>
  </conditionalFormatting>
  <conditionalFormatting sqref="K455:K457">
    <cfRule type="containsText" dxfId="430" priority="88" operator="containsText" text="No">
      <formula>NOT(ISERROR(SEARCH("No",K455)))</formula>
    </cfRule>
  </conditionalFormatting>
  <conditionalFormatting sqref="K465:K467">
    <cfRule type="containsText" dxfId="429" priority="99" operator="containsText" text="No">
      <formula>NOT(ISERROR(SEARCH("No",K465)))</formula>
    </cfRule>
  </conditionalFormatting>
  <conditionalFormatting sqref="K475:K477">
    <cfRule type="containsText" dxfId="428" priority="98" operator="containsText" text="No">
      <formula>NOT(ISERROR(SEARCH("No",K475)))</formula>
    </cfRule>
  </conditionalFormatting>
  <conditionalFormatting sqref="K485:K487">
    <cfRule type="containsText" dxfId="427" priority="97" operator="containsText" text="No">
      <formula>NOT(ISERROR(SEARCH("No",K485)))</formula>
    </cfRule>
  </conditionalFormatting>
  <conditionalFormatting sqref="K497:K499">
    <cfRule type="containsText" dxfId="426" priority="96" operator="containsText" text="No">
      <formula>NOT(ISERROR(SEARCH("No",K497)))</formula>
    </cfRule>
  </conditionalFormatting>
  <conditionalFormatting sqref="K512:K514">
    <cfRule type="containsText" dxfId="425" priority="95" operator="containsText" text="No">
      <formula>NOT(ISERROR(SEARCH("No",K512)))</formula>
    </cfRule>
  </conditionalFormatting>
  <conditionalFormatting sqref="L11:L15 L22:L42 L49:L58 L131:L134 L142:L153 L193:L204 L246:L254 L284:L289 L297:L307 L335:L364 L371:L377 L384:L391 L398:L401 L408:L411 L418:L425 L434:L443 L451:L457 L464:L467 L484:L487 L494:L499 L506:L514 L526:L566">
    <cfRule type="cellIs" dxfId="424" priority="30" operator="notEqual">
      <formula>""</formula>
    </cfRule>
  </conditionalFormatting>
  <conditionalFormatting sqref="L474:L477">
    <cfRule type="cellIs" dxfId="423" priority="3" operator="notEqual">
      <formula>""</formula>
    </cfRule>
  </conditionalFormatting>
  <conditionalFormatting sqref="N11:U15 N22:U42 N49:U58 N131:U134 N142:U153 N193:U204 N246:U254 N284:U289 N297:U307 N335:U364 N371:U377 N384:U391 N398:U401 N408:U411 N418:U425 N434:U443 N451:U457 N464:U467 N474:U477 N484:U487 N494:U499 N506:U514 N526:U566">
    <cfRule type="expression" dxfId="422" priority="29">
      <formula>$L11&lt;&gt;""</formula>
    </cfRule>
  </conditionalFormatting>
  <conditionalFormatting sqref="O293:P293 M308:P308 P309">
    <cfRule type="cellIs" dxfId="421" priority="224" operator="greaterThan">
      <formula>0</formula>
    </cfRule>
  </conditionalFormatting>
  <conditionalFormatting sqref="P60:V60 R66:R67 T66:T67 O127:V127">
    <cfRule type="cellIs" dxfId="420" priority="355" operator="greaterThan">
      <formula>0</formula>
    </cfRule>
  </conditionalFormatting>
  <conditionalFormatting sqref="P206:V206">
    <cfRule type="cellIs" dxfId="419" priority="347" operator="greaterThan">
      <formula>0</formula>
    </cfRule>
  </conditionalFormatting>
  <conditionalFormatting sqref="R568:V569">
    <cfRule type="cellIs" dxfId="418" priority="216" operator="greaterThan">
      <formula>0</formula>
    </cfRule>
  </conditionalFormatting>
  <conditionalFormatting sqref="S61:U61 S62:T65 N95:S99 V131:V132 P155:V155 K156:K160 O156:T160 P187:U187 P256 P258:P264 O280:P280 M290:P290 P291 M292:P292 M310:P313 W310:Y313 M314 P314 M315:P315 M317:P317 M328:P328 N329 P329 M330:P330">
    <cfRule type="cellIs" dxfId="417" priority="634" operator="greaterThan">
      <formula>0</formula>
    </cfRule>
  </conditionalFormatting>
  <conditionalFormatting sqref="V44">
    <cfRule type="cellIs" dxfId="416" priority="633" operator="greaterThan">
      <formula>0</formula>
    </cfRule>
  </conditionalFormatting>
  <conditionalFormatting sqref="V136">
    <cfRule type="cellIs" dxfId="415" priority="333" operator="greaterThan">
      <formula>0</formula>
    </cfRule>
  </conditionalFormatting>
  <conditionalFormatting sqref="X217:X236 V267:V276 S318:S327">
    <cfRule type="containsText" dxfId="414" priority="592" operator="containsText" text="Error">
      <formula>NOT(ISERROR(SEARCH("Error",S217)))</formula>
    </cfRule>
  </conditionalFormatting>
  <conditionalFormatting sqref="Y104:Y123">
    <cfRule type="containsText" dxfId="413" priority="74" operator="containsText" text="Error">
      <formula>NOT(ISERROR(SEARCH("Error",Y104)))</formula>
    </cfRule>
  </conditionalFormatting>
  <conditionalFormatting sqref="Z71:Z90">
    <cfRule type="containsText" dxfId="412" priority="190" operator="containsText" text="Error">
      <formula>NOT(ISERROR(SEARCH("Error",Z71)))</formula>
    </cfRule>
  </conditionalFormatting>
  <conditionalFormatting sqref="Z165:Z184">
    <cfRule type="containsText" dxfId="411" priority="189" operator="containsText" text="Error">
      <formula>NOT(ISERROR(SEARCH("Error",Z165)))</formula>
    </cfRule>
  </conditionalFormatting>
  <conditionalFormatting sqref="Z317">
    <cfRule type="containsText" dxfId="410" priority="31" operator="containsText" text="ok">
      <formula>NOT(ISERROR(SEARCH("ok",Z317)))</formula>
    </cfRule>
    <cfRule type="containsText" dxfId="409" priority="32" operator="containsText" text="Enter">
      <formula>NOT(ISERROR(SEARCH("Enter",Z317)))</formula>
    </cfRule>
  </conditionalFormatting>
  <conditionalFormatting sqref="AC266:AD266">
    <cfRule type="containsText" dxfId="408" priority="1" operator="containsText" text="ok">
      <formula>NOT(ISERROR(SEARCH("ok",AC266)))</formula>
    </cfRule>
    <cfRule type="containsText" dxfId="407" priority="2" operator="containsText" text="Enter">
      <formula>NOT(ISERROR(SEARCH("Enter",AC266)))</formula>
    </cfRule>
  </conditionalFormatting>
  <conditionalFormatting sqref="AE258">
    <cfRule type="containsText" dxfId="406" priority="253" operator="containsText" text="No Alert">
      <formula>NOT(ISERROR(SEARCH("No Alert",AE258)))</formula>
    </cfRule>
    <cfRule type="containsText" dxfId="405" priority="254" operator="containsText" text="Enter">
      <formula>NOT(ISERROR(SEARCH("Enter",AE258)))</formula>
    </cfRule>
  </conditionalFormatting>
  <conditionalFormatting sqref="AE261">
    <cfRule type="cellIs" dxfId="404" priority="13" operator="notEqual">
      <formula>""</formula>
    </cfRule>
  </conditionalFormatting>
  <conditionalFormatting sqref="AF312:AF313">
    <cfRule type="cellIs" dxfId="403" priority="12" operator="notEqual">
      <formula>""</formula>
    </cfRule>
  </conditionalFormatting>
  <conditionalFormatting sqref="AG312:AG313">
    <cfRule type="containsText" dxfId="402" priority="10" operator="containsText" text="Enter">
      <formula>NOT(ISERROR(SEARCH("Enter",AG312)))</formula>
    </cfRule>
    <cfRule type="cellIs" dxfId="401" priority="11" operator="equal">
      <formula>"No Alert"</formula>
    </cfRule>
  </conditionalFormatting>
  <conditionalFormatting sqref="AI259:AI260">
    <cfRule type="cellIs" dxfId="400" priority="16" operator="notEqual">
      <formula>""</formula>
    </cfRule>
  </conditionalFormatting>
  <conditionalFormatting sqref="AJ259:AJ260">
    <cfRule type="containsText" dxfId="399" priority="14" operator="containsText" text="Enter">
      <formula>NOT(ISERROR(SEARCH("Enter",AJ259)))</formula>
    </cfRule>
    <cfRule type="cellIs" dxfId="398" priority="15" operator="equal">
      <formula>"No Alert"</formula>
    </cfRule>
  </conditionalFormatting>
  <conditionalFormatting sqref="AK216:AL216">
    <cfRule type="containsText" dxfId="397" priority="40" operator="containsText" text="Enter">
      <formula>NOT(ISERROR(SEARCH("Enter",AK216)))</formula>
    </cfRule>
    <cfRule type="containsText" dxfId="396" priority="39" operator="containsText" text="ok">
      <formula>NOT(ISERROR(SEARCH("ok",AK216)))</formula>
    </cfRule>
  </conditionalFormatting>
  <conditionalFormatting sqref="AL103:AN103">
    <cfRule type="containsText" dxfId="395" priority="50" operator="containsText" text="Enter">
      <formula>NOT(ISERROR(SEARCH("Enter",AL103)))</formula>
    </cfRule>
    <cfRule type="containsText" dxfId="394" priority="49" operator="containsText" text="ok">
      <formula>NOT(ISERROR(SEARCH("ok",AL103)))</formula>
    </cfRule>
  </conditionalFormatting>
  <conditionalFormatting sqref="AM208">
    <cfRule type="containsText" dxfId="393" priority="284" operator="containsText" text="Enter">
      <formula>NOT(ISERROR(SEARCH("Enter",AM208)))</formula>
    </cfRule>
    <cfRule type="containsText" dxfId="392" priority="283" operator="containsText" text="No Alert">
      <formula>NOT(ISERROR(SEARCH("No Alert",AM208)))</formula>
    </cfRule>
  </conditionalFormatting>
  <conditionalFormatting sqref="AM211">
    <cfRule type="cellIs" dxfId="391" priority="17" operator="notEqual">
      <formula>""</formula>
    </cfRule>
  </conditionalFormatting>
  <conditionalFormatting sqref="AM164:AN164">
    <cfRule type="containsText" dxfId="390" priority="46" operator="containsText" text="Enter">
      <formula>NOT(ISERROR(SEARCH("Enter",AM164)))</formula>
    </cfRule>
    <cfRule type="containsText" dxfId="389" priority="45" operator="containsText" text="ok">
      <formula>NOT(ISERROR(SEARCH("ok",AM164)))</formula>
    </cfRule>
  </conditionalFormatting>
  <conditionalFormatting sqref="AM70:AO70">
    <cfRule type="containsText" dxfId="388" priority="55" operator="containsText" text="ok">
      <formula>NOT(ISERROR(SEARCH("ok",AM70)))</formula>
    </cfRule>
    <cfRule type="containsText" dxfId="387" priority="56" operator="containsText" text="Enter">
      <formula>NOT(ISERROR(SEARCH("Enter",AM70)))</formula>
    </cfRule>
  </conditionalFormatting>
  <conditionalFormatting sqref="AN216">
    <cfRule type="containsText" dxfId="386" priority="38" operator="containsText" text="Enter">
      <formula>NOT(ISERROR(SEARCH("Enter",AN216)))</formula>
    </cfRule>
    <cfRule type="containsText" dxfId="385" priority="37" operator="containsText" text="ok">
      <formula>NOT(ISERROR(SEARCH("ok",AN216)))</formula>
    </cfRule>
  </conditionalFormatting>
  <conditionalFormatting sqref="AO156">
    <cfRule type="containsText" dxfId="384" priority="9" operator="containsText" text="Enter">
      <formula>NOT(ISERROR(SEARCH("Enter",AO156)))</formula>
    </cfRule>
    <cfRule type="containsText" dxfId="383" priority="8" operator="containsText" text="No Alert">
      <formula>NOT(ISERROR(SEARCH("No Alert",AO156)))</formula>
    </cfRule>
  </conditionalFormatting>
  <conditionalFormatting sqref="AO159">
    <cfRule type="cellIs" dxfId="382" priority="21" operator="notEqual">
      <formula>""</formula>
    </cfRule>
  </conditionalFormatting>
  <conditionalFormatting sqref="AP95">
    <cfRule type="containsText" dxfId="381" priority="7" operator="containsText" text="Enter">
      <formula>NOT(ISERROR(SEARCH("Enter",AP95)))</formula>
    </cfRule>
    <cfRule type="containsText" dxfId="380" priority="6" operator="containsText" text="No Alert">
      <formula>NOT(ISERROR(SEARCH("No Alert",AP95)))</formula>
    </cfRule>
  </conditionalFormatting>
  <conditionalFormatting sqref="AP98">
    <cfRule type="cellIs" dxfId="379" priority="25" operator="notEqual">
      <formula>""</formula>
    </cfRule>
  </conditionalFormatting>
  <conditionalFormatting sqref="AP164">
    <cfRule type="containsText" dxfId="378" priority="44" operator="containsText" text="Enter">
      <formula>NOT(ISERROR(SEARCH("Enter",AP164)))</formula>
    </cfRule>
    <cfRule type="containsText" dxfId="377" priority="43" operator="containsText" text="ok">
      <formula>NOT(ISERROR(SEARCH("ok",AP164)))</formula>
    </cfRule>
  </conditionalFormatting>
  <conditionalFormatting sqref="AP241">
    <cfRule type="containsText" dxfId="376" priority="286" operator="containsText" text="ok">
      <formula>NOT(ISERROR(SEARCH("ok",AP241)))</formula>
    </cfRule>
    <cfRule type="containsText" dxfId="375" priority="287" operator="containsText" text="Enter">
      <formula>NOT(ISERROR(SEARCH("Enter",AP241)))</formula>
    </cfRule>
  </conditionalFormatting>
  <conditionalFormatting sqref="AQ62">
    <cfRule type="containsText" dxfId="374" priority="5" operator="containsText" text="Enter">
      <formula>NOT(ISERROR(SEARCH("Enter",AQ62)))</formula>
    </cfRule>
    <cfRule type="containsText" dxfId="373" priority="4" operator="containsText" text="No Alert">
      <formula>NOT(ISERROR(SEARCH("No Alert",AQ62)))</formula>
    </cfRule>
  </conditionalFormatting>
  <conditionalFormatting sqref="AQ65">
    <cfRule type="cellIs" dxfId="372" priority="291" operator="notEqual">
      <formula>""</formula>
    </cfRule>
  </conditionalFormatting>
  <conditionalFormatting sqref="AT96:AT97">
    <cfRule type="cellIs" dxfId="371" priority="28" operator="notEqual">
      <formula>""</formula>
    </cfRule>
  </conditionalFormatting>
  <conditionalFormatting sqref="AT209:AT210">
    <cfRule type="cellIs" dxfId="370" priority="20" operator="notEqual">
      <formula>""</formula>
    </cfRule>
  </conditionalFormatting>
  <conditionalFormatting sqref="AU63:AU64">
    <cfRule type="cellIs" dxfId="369" priority="67" operator="notEqual">
      <formula>""</formula>
    </cfRule>
  </conditionalFormatting>
  <conditionalFormatting sqref="AU96:AU97">
    <cfRule type="containsText" dxfId="368" priority="26" operator="containsText" text="Enter">
      <formula>NOT(ISERROR(SEARCH("Enter",AU96)))</formula>
    </cfRule>
    <cfRule type="cellIs" dxfId="367" priority="27" operator="equal">
      <formula>"No Alert"</formula>
    </cfRule>
  </conditionalFormatting>
  <conditionalFormatting sqref="AU209:AU210">
    <cfRule type="cellIs" dxfId="366" priority="19" operator="equal">
      <formula>"No Alert"</formula>
    </cfRule>
    <cfRule type="containsText" dxfId="365" priority="18" operator="containsText" text="Enter">
      <formula>NOT(ISERROR(SEARCH("Enter",AU209)))</formula>
    </cfRule>
  </conditionalFormatting>
  <conditionalFormatting sqref="AV63:AV64">
    <cfRule type="containsText" dxfId="364" priority="65" operator="containsText" text="Enter">
      <formula>NOT(ISERROR(SEARCH("Enter",AV63)))</formula>
    </cfRule>
    <cfRule type="cellIs" dxfId="363" priority="66" operator="equal">
      <formula>"No Alert"</formula>
    </cfRule>
  </conditionalFormatting>
  <conditionalFormatting sqref="AV157:AV158">
    <cfRule type="cellIs" dxfId="362" priority="24" operator="notEqual">
      <formula>""</formula>
    </cfRule>
  </conditionalFormatting>
  <conditionalFormatting sqref="AW157:AW158">
    <cfRule type="cellIs" dxfId="361" priority="23" operator="equal">
      <formula>"No Alert"</formula>
    </cfRule>
    <cfRule type="containsText" dxfId="360" priority="22" operator="containsText" text="Enter">
      <formula>NOT(ISERROR(SEARCH("Enter",AW157)))</formula>
    </cfRule>
  </conditionalFormatting>
  <dataValidations count="9">
    <dataValidation type="list" allowBlank="1" showInputMessage="1" showErrorMessage="1" sqref="Z104:Z123 AA71:AA90 AD104:AD123 AC217:AC236 AI71:AI90 AA165:AA184 AG217:AG236 AE165:AE184 AE71:AE90 AI165:AI184 Z267:Z276 Y217:Y236 W267:W276 AH104:AH123 T318:T327" xr:uid="{1011EB67-F66C-4B49-8B6E-713009BC521D}">
      <formula1>Load_and_Haul</formula1>
    </dataValidation>
    <dataValidation type="whole" allowBlank="1" showInputMessage="1" showErrorMessage="1" sqref="H11:H15 H454 H408:H411 H452 H398:H401 H335:H364" xr:uid="{203EF434-8FD3-47EB-845D-7A553A12E8B3}">
      <formula1>0</formula1>
      <formula2>1000</formula2>
    </dataValidation>
    <dataValidation type="whole" allowBlank="1" showInputMessage="1" showErrorMessage="1" sqref="H131:H134" xr:uid="{0AC33B5C-D942-4EEB-92DC-9FDBEF11F16B}">
      <formula1>0</formula1>
      <formula2>10000</formula2>
    </dataValidation>
    <dataValidation type="list" allowBlank="1" showInputMessage="1" showErrorMessage="1" sqref="E318:E325" xr:uid="{B72F472F-2671-4F7E-8F52-B44E7F476733}">
      <formula1>Pipeline_content</formula1>
    </dataValidation>
    <dataValidation type="list" allowBlank="1" showInputMessage="1" showErrorMessage="1" sqref="I318:I327 G318:G327" xr:uid="{88D69815-8D85-468E-A26E-FCC0B234DD2B}">
      <formula1>Yes_No</formula1>
    </dataValidation>
    <dataValidation type="list" allowBlank="1" showInputMessage="1" showErrorMessage="1" sqref="G71:G90 F104:F123 G165:G184 F217:F236 F267:F276" xr:uid="{A7A1D3E7-1C68-449C-9CDB-23651D4160E5}">
      <formula1>Surface</formula1>
    </dataValidation>
    <dataValidation type="whole" operator="greaterThan" allowBlank="1" showInputMessage="1" showErrorMessage="1" sqref="H568 H526:H566" xr:uid="{DD72C002-0C58-47E9-B20A-DCE3CFDD0137}">
      <formula1>0</formula1>
    </dataValidation>
    <dataValidation type="list" allowBlank="1" showInputMessage="1" showErrorMessage="1" sqref="AC71:AC90 AK71:AK90 AB104:AB123 AJ104:AJ123 AK165:AK184 AI217:AI236 AB267:AB276 V318:V327" xr:uid="{C9AB2CAB-C57B-48D0-990F-484310FF67AF}">
      <formula1>Load_haul_fleet_sm1ml</formula1>
    </dataValidation>
    <dataValidation allowBlank="1" showInputMessage="1" showErrorMessage="1" prompt="Typically growth media will be adjacent to the road and growth media can be set to zero in this cell as it local source is covered in &quot;Cost to rip road / track and grade and replace growth media / seed for adjacent feature&quot;." sqref="T69 S102 T163 S215" xr:uid="{FB9E6C4E-959F-41BB-8F49-284022C9EDA9}"/>
  </dataValidations>
  <hyperlinks>
    <hyperlink ref="B139" location="Inf_link_haul_user" display="User" xr:uid="{C2E2C06A-5976-4BB8-A4C2-A3CD5A70BD1B}"/>
    <hyperlink ref="F2" location="Inf_link_trk_defs_len" display="Tracks" xr:uid="{88922EB7-6EDB-4984-BA20-70D36AC6A8CB}"/>
    <hyperlink ref="G2" location="'3. Infrastructure'!C128" display="Overpass" xr:uid="{0B0FB610-B729-4A6E-AE15-520C610D8922}"/>
    <hyperlink ref="H2" location="Inf_Link_Mine_Haul_Roads__Defs_by_length" display="Mine Haul Roads" xr:uid="{91986939-7AFF-4F88-8068-425AF47C4DB2}"/>
    <hyperlink ref="I2" location="Inf_Link_Laydown" display="Laydown" xr:uid="{7CFDD1BE-EB7F-40A1-A078-5190DF58F70C}"/>
    <hyperlink ref="J2" location="Inf_Link_Borrow_Pits" display="Borrow Pits" xr:uid="{57A8CCAA-763E-4E42-9ED5-86D10731681F}"/>
    <hyperlink ref="K2" location="Inf_Link_Pipelines" display="Pipelines" xr:uid="{CE2D9F89-C5C3-4989-843A-54AFEC5836E2}"/>
    <hyperlink ref="F3" location="Inf_Camps" display="Camps" xr:uid="{009E41FA-3075-4A4C-8DD5-6B7D8D61C346}"/>
    <hyperlink ref="G3" location="Inf_Buildings" display="Buildings" xr:uid="{FA8136C8-F244-4AF9-877E-B3542127280F}"/>
    <hyperlink ref="H3" location="Inf_Lattice_Structures" display="Lattice Structures" xr:uid="{66050117-A4E8-4DE6-AAC5-FCE7B55E8461}"/>
    <hyperlink ref="I3" location="Inf_Power_Distribution" display="Power Distribution" xr:uid="{60FD79B2-1BB4-4164-9E3E-2A5546C117F4}"/>
    <hyperlink ref="J3" location="Inf_Concrete_and_Bitumen_Hardstand" display="Hardstand" xr:uid="{F88600F1-72C0-48D2-88D7-84EAC33B5278}"/>
    <hyperlink ref="K3" location="Inf_Rail_Infrastructure" display="Rail Infrastructure" xr:uid="{059B894F-A067-4AE9-A44A-9659B8764062}"/>
    <hyperlink ref="F4" location="Inf_Landfills" display="Landfills" xr:uid="{B6550838-7EC2-4B95-8120-5D6949521184}"/>
    <hyperlink ref="G4" location="Inf_Sewage_Treatment_Plants" display="Sewage Plants" xr:uid="{B824E16F-1077-4506-9954-6B5026DD6D9B}"/>
    <hyperlink ref="H4:K4" location="Inf_Rehabilitation" display="Rehabilitation" xr:uid="{E2B51FCA-FFEB-40C6-87B1-F6E394D9CDF5}"/>
    <hyperlink ref="I4" location="Inf_fencing" display="Fencing" xr:uid="{6C627D86-55E3-4C91-96EE-5124A665E3B6}"/>
    <hyperlink ref="J4" location="Inf_Small_Ancillary" display="Small Ancillary" xr:uid="{E866DD1E-F2D8-4B56-84DB-32613DF7331C}"/>
    <hyperlink ref="K4" location="Inf_Tanks" display="Tanks" xr:uid="{E26D5DB0-78F0-4CB0-9190-587C5AAFC494}"/>
    <hyperlink ref="B19" location="Access_Roads___Tracks__User_defined_by_length" display="User" xr:uid="{F325684E-CF59-424C-9A25-BFDF2021E4C7}"/>
    <hyperlink ref="B46" location="Access_Roads___Tracks__User_defined_by_area" display="User" xr:uid="{E0E15CF8-F4F8-4D9D-A4A4-8D8DA19A1BE7}"/>
    <hyperlink ref="AM70" location="Subrates!B7" display="Subrates!B7" xr:uid="{6261CBC2-4E21-4E9F-B2AC-D85F9D03E232}"/>
    <hyperlink ref="AN70" location="Subrates!B7" display="Subrates!B7" xr:uid="{E43F0808-DDD0-46EF-92AD-D1439928D17D}"/>
    <hyperlink ref="AO70" location="Subrates!B7" display="Subrates!B7" xr:uid="{B7FBF52E-F053-451D-B100-8E9FDC3CC193}"/>
    <hyperlink ref="AL103" location="Subrates!B7" display="Subrates!B7" xr:uid="{0BF5D4DA-7B6C-4D36-903E-6DFBF6A66757}"/>
    <hyperlink ref="AM103" location="Subrates!B7" display="Subrates!B7" xr:uid="{D9E8467D-9493-4FA1-A53C-00E6D3D8FB0A}"/>
    <hyperlink ref="AN103" location="Subrates!B7" display="Subrates!B7" xr:uid="{5F628136-8AAF-463F-9FA9-806602A57818}"/>
    <hyperlink ref="AM164" location="Subrates!B7" display="Subrates!B7" xr:uid="{0C3770A6-602E-43E3-BD02-8F935ABC92FB}"/>
    <hyperlink ref="AN164" location="Subrates!B7" display="Subrates!B7" xr:uid="{20100A8F-8ACB-4BC3-9B43-45D287FD877A}"/>
    <hyperlink ref="AP164" location="Subrates!B7" display="Subrates!B7" xr:uid="{2299E0D9-7FAF-4267-B8B3-CD6DC507F5CD}"/>
    <hyperlink ref="AK216" location="Subrates!B7" display="Subrates!B7" xr:uid="{D512E8C9-79D6-42D2-AA2E-2EFC058207FD}"/>
    <hyperlink ref="AL216" location="Subrates!B7" display="Subrates!B7" xr:uid="{A82C3D87-EE84-46CA-AFF9-DE9BA35E14CC}"/>
    <hyperlink ref="AN216" location="Subrates!B7" display="Subrates!B7" xr:uid="{01D9A5CE-98BA-4283-9448-6F6C240135AD}"/>
    <hyperlink ref="AD266" location="Subrates!B7" display="Subrates!B7" xr:uid="{B2D390AF-F30A-4F51-B1AB-B0390243F319}"/>
    <hyperlink ref="Z317" location="Subrates!B7" display="Subrates!B7" xr:uid="{7798EFAC-4845-44A6-885C-1297DA28AA34}"/>
    <hyperlink ref="B2" location="CONTENTS!A1" display="Contents" xr:uid="{107AF8FE-3C67-4F1F-9170-F9C6F4EE9656}"/>
    <hyperlink ref="B18" location="'3. Infrastructure'!B5" display="Top" xr:uid="{47E1C264-DAF3-41E4-8715-C69562DC907C}"/>
    <hyperlink ref="B45" location="'3. Infrastructure'!B5" display="Top" xr:uid="{00BDC4C3-6DFE-4178-AE63-AF6C9838200C}"/>
    <hyperlink ref="B68" location="'3. Infrastructure'!B5" display="Top" xr:uid="{426E7F57-67C5-419B-8DF8-7F0F64FFEA36}"/>
    <hyperlink ref="B101" location="'3. Infrastructure'!B5" display="Top" xr:uid="{D4AB5F82-3205-40AF-A24D-D7F795280A6E}"/>
    <hyperlink ref="B128" location="'3. Infrastructure'!B5" display="Top" xr:uid="{2B1E4DD5-D23F-437E-9BF5-D7412F9FEAD6}"/>
    <hyperlink ref="B138" location="'3. Infrastructure'!B5" display="Top" xr:uid="{87BBA395-5057-456C-B398-3FEC47766065}"/>
    <hyperlink ref="B162" location="'3. Infrastructure'!B5" display="Top" xr:uid="{E29C825F-455E-4885-8A59-2A8DC0A28F63}"/>
    <hyperlink ref="B190" location="'3. Infrastructure'!B5" display="Top" xr:uid="{8159A73C-ED24-4E5E-B303-6E4D7C320189}"/>
    <hyperlink ref="B214" location="'3. Infrastructure'!B5" display="Top" xr:uid="{E7E7AC40-B1CB-4DC8-8491-AA33A30617CF}"/>
    <hyperlink ref="B243" location="'3. Infrastructure'!B5" display="Top" xr:uid="{9D581E66-609E-4EB3-B858-D8D1CD30CD5F}"/>
    <hyperlink ref="B264" location="'3. Infrastructure'!B5" display="Top" xr:uid="{1F4EB4B3-1D90-454B-BD0C-5C8A8D4AEE1D}"/>
    <hyperlink ref="B281" location="'3. Infrastructure'!B5" display="Top" xr:uid="{FD35640A-4139-4AC7-8A7B-01E28BFD6C6F}"/>
    <hyperlink ref="B294" location="'3. Infrastructure'!B5" display="Top" xr:uid="{CF444F8D-9695-463E-88C6-4A0D70514B6C}"/>
    <hyperlink ref="B315" location="'3. Infrastructure'!B5" display="Top" xr:uid="{AB3F3547-3497-456F-AD95-60710DBFADAB}"/>
    <hyperlink ref="B332" location="'3. Infrastructure'!B5" display="Top" xr:uid="{7F187E46-EF8E-444B-977D-788E1A15F79E}"/>
    <hyperlink ref="B368" location="'3. Infrastructure'!B5" display="Top" xr:uid="{959136F9-C0AF-48B4-A262-2AE85C8CDFB9}"/>
    <hyperlink ref="B381" location="'3. Infrastructure'!B5" display="Top" xr:uid="{DFD748A1-BB05-425E-AF24-8AF823490861}"/>
    <hyperlink ref="B395" location="'3. Infrastructure'!B5" display="Top" xr:uid="{A30FF2E8-DD9D-42AA-BA69-FB6AC358CA99}"/>
    <hyperlink ref="B405" location="'3. Infrastructure'!B5" display="Top" xr:uid="{E77AF620-29DE-45A9-9788-DC5898E34937}"/>
    <hyperlink ref="B415" location="'3. Infrastructure'!B5" display="Top" xr:uid="{906B3CBB-3980-4B00-A502-2CB2CDC9EA03}"/>
    <hyperlink ref="B431" location="'3. Infrastructure'!B5" display="Top" xr:uid="{7C3BA68D-2992-4D28-8D26-4AA99FAF3CCC}"/>
    <hyperlink ref="B448" location="'3. Infrastructure'!B5" display="Top" xr:uid="{90096F2F-7CE9-4CCB-836A-64A794801174}"/>
    <hyperlink ref="B461" location="'3. Infrastructure'!B5" display="Top" xr:uid="{C53728F7-5078-4E0B-9A36-4F82DE8BF895}"/>
    <hyperlink ref="B471" location="'3. Infrastructure'!B5" display="Top" xr:uid="{6414BF24-DCA3-474A-9560-58775C54A87D}"/>
    <hyperlink ref="B481" location="'3. Infrastructure'!B5" display="Top" xr:uid="{58A71BD8-CF6C-47DF-9B72-91AAE23379B3}"/>
    <hyperlink ref="B491" location="'3. Infrastructure'!B5" display="Top" xr:uid="{5C37956C-2D67-4CCD-B62C-957A7C661960}"/>
    <hyperlink ref="B503" location="'3. Infrastructure'!B5" display="Top" xr:uid="{62F8F6D6-5C8E-4BF8-92F7-278C4CDF34F4}"/>
    <hyperlink ref="B523" location="'3. Infrastructure'!B5" display="Top" xr:uid="{CDFC9422-15E1-436F-B3E9-2071AE1ACE0D}"/>
    <hyperlink ref="B567" location="'3. Infrastructure'!B5" display="Top" xr:uid="{7C2FC532-6584-48BD-A421-419214C7A678}"/>
    <hyperlink ref="AC266" location="Subrates!B7" display="Subrates!B7" xr:uid="{A156FD17-6FC4-44EA-B364-ADC7C1DA65B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E0BA07-0D94-4289-97E0-6C847AA3B639}">
          <x14:formula1>
            <xm:f>Subrates!$E$9:$G$9</xm:f>
          </x14:formula1>
          <xm:sqref>AG71:AG90 AF104:AF123 AG165:AG184 AC165:AC184 AA217:AA236 AE217:AE236 Y267:Y276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89F9ED3AA73E4AA540DC49247935BF" ma:contentTypeVersion="36" ma:contentTypeDescription="Create a new document." ma:contentTypeScope="" ma:versionID="6f46ed8aec0ed566aa80573a2b2d17f3">
  <xsd:schema xmlns:xsd="http://www.w3.org/2001/XMLSchema" xmlns:xs="http://www.w3.org/2001/XMLSchema" xmlns:p="http://schemas.microsoft.com/office/2006/metadata/properties" xmlns:ns2="a6eb6d0f-3f21-4dd7-afed-8d5f3983301e" xmlns:ns3="36c4576f-a6df-4ec9-86f2-9e3472ddee8f" xmlns:ns4="2782494e-2240-44a0-8d37-a0cdd89a0522" targetNamespace="http://schemas.microsoft.com/office/2006/metadata/properties" ma:root="true" ma:fieldsID="db2760e5fe312e0c8b909267511a52a2" ns2:_="" ns3:_="" ns4:_="">
    <xsd:import namespace="a6eb6d0f-3f21-4dd7-afed-8d5f3983301e"/>
    <xsd:import namespace="36c4576f-a6df-4ec9-86f2-9e3472ddee8f"/>
    <xsd:import namespace="2782494e-2240-44a0-8d37-a0cdd89a0522"/>
    <xsd:element name="properties">
      <xsd:complexType>
        <xsd:sequence>
          <xsd:element name="documentManagement">
            <xsd:complexType>
              <xsd:all>
                <xsd:element ref="ns2:Description0" minOccurs="0"/>
                <xsd:element ref="ns2:DocumentType"/>
                <xsd:element ref="ns2:Status"/>
                <xsd:element ref="ns2:DocumentVersion"/>
                <xsd:element ref="ns2:Theme"/>
                <xsd:element ref="ns2:EndorsedDate" minOccurs="0"/>
                <xsd:element ref="ns2:LastReviewed"/>
                <xsd:element ref="ns2:ReviewDate"/>
                <xsd:element ref="ns2:ReviewCycle" minOccurs="0"/>
                <xsd:element ref="ns2:InternetPresenceType"/>
                <xsd:element ref="ns2:BusLevelChoice"/>
                <xsd:element ref="ns2:BusinessAreaUnit" minOccurs="0"/>
                <xsd:element ref="ns2:Old_x002d_PR_x002d_Reference" minOccurs="0"/>
                <xsd:element ref="ns2:Legislation" minOccurs="0"/>
                <xsd:element ref="ns2:FileReference" minOccurs="0"/>
                <xsd:element ref="ns2:eDRMSReference" minOccurs="0"/>
                <xsd:element ref="ns2:CTS_x002d_MECSReference" minOccurs="0"/>
                <xsd:element ref="ns2:Comment" minOccurs="0"/>
                <xsd:element ref="ns3:_dlc_DocId" minOccurs="0"/>
                <xsd:element ref="ns3:_dlc_DocIdUrl" minOccurs="0"/>
                <xsd:element ref="ns3:_dlc_DocIdPersistId" minOccurs="0"/>
                <xsd:element ref="ns4:SharedWithUsers" minOccurs="0"/>
                <xsd:element ref="ns4:SharedWithDetails"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b6d0f-3f21-4dd7-afed-8d5f3983301e" elementFormDefault="qualified">
    <xsd:import namespace="http://schemas.microsoft.com/office/2006/documentManagement/types"/>
    <xsd:import namespace="http://schemas.microsoft.com/office/infopath/2007/PartnerControls"/>
    <xsd:element name="Description0" ma:index="2" nillable="true" ma:displayName="Subject" ma:internalName="Description0" ma:readOnly="false">
      <xsd:simpleType>
        <xsd:restriction base="dms:Note">
          <xsd:maxLength value="255"/>
        </xsd:restriction>
      </xsd:simpleType>
    </xsd:element>
    <xsd:element name="DocumentType" ma:index="4" ma:displayName="DocumentType" ma:list="{1c9aebb5-866f-4873-a78c-4bc770a8a1c1}" ma:internalName="DocumentType" ma:readOnly="false" ma:showField="Title">
      <xsd:simpleType>
        <xsd:restriction base="dms:Lookup"/>
      </xsd:simpleType>
    </xsd:element>
    <xsd:element name="Status" ma:index="5" ma:displayName="Status" ma:indexed="true" ma:list="{4038537c-e95c-4806-a81b-1f8222e26fec}" ma:internalName="Status" ma:readOnly="false" ma:showField="Title">
      <xsd:simpleType>
        <xsd:restriction base="dms:Lookup"/>
      </xsd:simpleType>
    </xsd:element>
    <xsd:element name="DocumentVersion" ma:index="6" ma:displayName="DocVersion" ma:decimals="2" ma:description="Version number displayed on document (Not SharePoint version number)" ma:internalName="DocumentVersion" ma:readOnly="false" ma:percentage="FALSE">
      <xsd:simpleType>
        <xsd:restriction base="dms:Number">
          <xsd:maxInclusive value="999"/>
        </xsd:restriction>
      </xsd:simpleType>
    </xsd:element>
    <xsd:element name="Theme" ma:index="7" ma:displayName="Theme" ma:indexed="true" ma:list="{440d9290-a79f-4d7d-b666-e2299f9b8423}" ma:internalName="Theme" ma:readOnly="false" ma:showField="Theme">
      <xsd:simpleType>
        <xsd:restriction base="dms:Lookup"/>
      </xsd:simpleType>
    </xsd:element>
    <xsd:element name="EndorsedDate" ma:index="9" nillable="true" ma:displayName="EffectiveDate" ma:description="Effective date for major version of document" ma:format="DateOnly" ma:internalName="EndorsedDate" ma:readOnly="false">
      <xsd:simpleType>
        <xsd:restriction base="dms:DateTime"/>
      </xsd:simpleType>
    </xsd:element>
    <xsd:element name="LastReviewed" ma:index="10" ma:displayName="LastReviewed" ma:format="DateOnly" ma:internalName="LastReviewed" ma:readOnly="false">
      <xsd:simpleType>
        <xsd:restriction base="dms:DateTime"/>
      </xsd:simpleType>
    </xsd:element>
    <xsd:element name="ReviewDate" ma:index="11" ma:displayName="NextReviewDue" ma:format="DateOnly" ma:indexed="true" ma:internalName="ReviewDate" ma:readOnly="false">
      <xsd:simpleType>
        <xsd:restriction base="dms:DateTime"/>
      </xsd:simpleType>
    </xsd:element>
    <xsd:element name="ReviewCycle" ma:index="12" nillable="true" ma:displayName="ReviewCycle" ma:description="Prescribed duration for review of document" ma:format="Dropdown" ma:internalName="ReviewCycle" ma:readOnly="false">
      <xsd:simpleType>
        <xsd:restriction base="dms:Choice">
          <xsd:enumeration value="1 year"/>
          <xsd:enumeration value="1.5 years"/>
          <xsd:enumeration value="2 years"/>
          <xsd:enumeration value="3 years"/>
          <xsd:enumeration value="5 years"/>
          <xsd:enumeration value="10 years"/>
        </xsd:restriction>
      </xsd:simpleType>
    </xsd:element>
    <xsd:element name="InternetPresenceType" ma:index="13" ma:displayName="InternetVisibility" ma:description="Defines what material is published to the departmental Internet site" ma:list="{22773ff3-5370-4583-ae62-5f55be26bc75}" ma:internalName="InternetPresenceType" ma:readOnly="false" ma:showField="Title">
      <xsd:simpleType>
        <xsd:restriction base="dms:Lookup"/>
      </xsd:simpleType>
    </xsd:element>
    <xsd:element name="BusLevelChoice" ma:index="14" ma:displayName="BusinessArea" ma:format="Dropdown" ma:internalName="BusLevelChoice" ma:readOnly="false">
      <xsd:simpleType>
        <xsd:restriction base="dms:Choice">
          <xsd:enumeration value="AGR"/>
          <xsd:enumeration value="ASQ"/>
          <xsd:enumeration value="BQ"/>
          <xsd:enumeration value="CHA"/>
          <xsd:enumeration value="CHB"/>
          <xsd:enumeration value="CHC"/>
          <xsd:enumeration value="CHD"/>
          <xsd:enumeration value="CHE"/>
          <xsd:enumeration value="CSS"/>
          <xsd:enumeration value="ENE"/>
          <xsd:enumeration value="EPP"/>
          <xsd:enumeration value="ESR"/>
          <xsd:enumeration value="FIS"/>
          <xsd:enumeration value="FMPM"/>
          <xsd:enumeration value="GLP"/>
          <xsd:enumeration value="HHQ"/>
          <xsd:enumeration value="IHL"/>
          <xsd:enumeration value="IMP"/>
          <xsd:enumeration value="ITP"/>
          <xsd:enumeration value="LTP"/>
          <xsd:enumeration value="LND"/>
          <xsd:enumeration value="MIN"/>
          <xsd:enumeration value="NCS"/>
          <xsd:enumeration value="NRC"/>
          <xsd:enumeration value="NRO"/>
          <xsd:enumeration value="NTP"/>
          <xsd:enumeration value="ORR"/>
          <xsd:enumeration value="OSW"/>
          <xsd:enumeration value="QPW"/>
          <xsd:enumeration value="QRIC"/>
          <xsd:enumeration value="RSC"/>
          <xsd:enumeration value="RED"/>
          <xsd:enumeration value="SCI"/>
          <xsd:enumeration value="SIG"/>
          <xsd:enumeration value="SLM"/>
          <xsd:enumeration value="UWS"/>
          <xsd:enumeration value="VAL"/>
          <xsd:enumeration value="VEG"/>
          <xsd:enumeration value="WM"/>
          <xsd:enumeration value="WSS"/>
          <xsd:enumeration value="WTM"/>
        </xsd:restriction>
      </xsd:simpleType>
    </xsd:element>
    <xsd:element name="BusinessAreaUnit" ma:index="15" nillable="true" ma:displayName="BusinessAreaSubUnit" ma:list="{53eef7cf-c74c-49eb-9b76-5dd9e1026505}" ma:internalName="BusinessAreaUnit" ma:readOnly="false" ma:showField="Title">
      <xsd:simpleType>
        <xsd:restriction base="dms:Lookup"/>
      </xsd:simpleType>
    </xsd:element>
    <xsd:element name="Old_x002d_PR_x002d_Reference" ma:index="16" nillable="true" ma:displayName="PreviousID" ma:description="Reference or identifier used by a previous system" ma:indexed="true" ma:internalName="Old_x002d_PR_x002d_Reference" ma:readOnly="false">
      <xsd:simpleType>
        <xsd:restriction base="dms:Text">
          <xsd:maxLength value="255"/>
        </xsd:restriction>
      </xsd:simpleType>
    </xsd:element>
    <xsd:element name="Legislation" ma:index="17" nillable="true" ma:displayName="Legislation" ma:description="Select the primary authoritative acts" ma:list="{d8d5934d-cb53-4edc-99dd-c215c0dc88bc}" ma:internalName="Legislation" ma:readOnly="false" ma:showField="Title">
      <xsd:complexType>
        <xsd:complexContent>
          <xsd:extension base="dms:MultiChoiceLookup">
            <xsd:sequence>
              <xsd:element name="Value" type="dms:Lookup" maxOccurs="unbounded" minOccurs="0" nillable="true"/>
            </xsd:sequence>
          </xsd:extension>
        </xsd:complexContent>
      </xsd:complexType>
    </xsd:element>
    <xsd:element name="FileReference" ma:index="18" nillable="true" ma:displayName="NetworkPath" ma:description="Network drive and path for source folder of document file" ma:internalName="FileReference" ma:readOnly="false">
      <xsd:simpleType>
        <xsd:restriction base="dms:Text">
          <xsd:maxLength value="255"/>
        </xsd:restriction>
      </xsd:simpleType>
    </xsd:element>
    <xsd:element name="eDRMSReference" ma:index="19" nillable="true" ma:displayName="eDOCS" ma:format="Dropdown" ma:internalName="eDRMSReference" ma:percentage="FALSE">
      <xsd:simpleType>
        <xsd:restriction base="dms:Number"/>
      </xsd:simpleType>
    </xsd:element>
    <xsd:element name="CTS_x002d_MECSReference" ma:index="20" nillable="true" ma:displayName="CTS-MECSReference" ma:internalName="CTS_x002d_MECSReference" ma:readOnly="false">
      <xsd:simpleType>
        <xsd:restriction base="dms:Text">
          <xsd:maxLength value="1"/>
        </xsd:restriction>
      </xsd:simpleType>
    </xsd:element>
    <xsd:element name="Comment" ma:index="21" nillable="true" ma:displayName="Comment" ma:description="Do not use this field - to be retired" ma:internalName="Comment" ma:readOnly="false">
      <xsd:simpleType>
        <xsd:restriction base="dms:Text">
          <xsd:maxLength value="1"/>
        </xsd:restriction>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ServiceSearchProperties" ma:index="3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c4576f-a6df-4ec9-86f2-9e3472ddee8f" elementFormDefault="qualified">
    <xsd:import namespace="http://schemas.microsoft.com/office/2006/documentManagement/types"/>
    <xsd:import namespace="http://schemas.microsoft.com/office/infopath/2007/PartnerControls"/>
    <xsd:element name="_dlc_DocId" ma:index="24" nillable="true" ma:displayName="Document ID Value" ma:description="The value of the document ID assigned to this item." ma:indexed="true" ma:internalName="_dlc_DocId" ma:readOnly="true">
      <xsd:simpleType>
        <xsd:restriction base="dms:Text"/>
      </xsd:simple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782494e-2240-44a0-8d37-a0cdd89a0522"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3" ma:displayName="Content Type"/>
        <xsd:element ref="dc:title" minOccurs="0" maxOccurs="1" ma:index="1" ma:displayName="Title"/>
        <xsd:element ref="dc:subject" minOccurs="0" maxOccurs="1"/>
        <xsd:element ref="dc:description" minOccurs="0" maxOccurs="1"/>
        <xsd:element name="keywords" maxOccurs="1" ma:index="8" ma:displayName="Keywords">
          <xsd:simpleType xmlns:xs="http://www.w3.org/2001/XMLSchema">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B989F9ED3AA73E4AA540DC49247935BF" ma:contentTypeVersion="36" ma:contentTypeDescription="Create a new document." ma:contentTypeScope="" ma:versionID="6f46ed8aec0ed566aa80573a2b2d17f3">
  <xsd:schema xmlns:xsd="http://www.w3.org/2001/XMLSchema" xmlns:xs="http://www.w3.org/2001/XMLSchema" xmlns:p="http://schemas.microsoft.com/office/2006/metadata/properties" xmlns:ns2="a6eb6d0f-3f21-4dd7-afed-8d5f3983301e" xmlns:ns3="36c4576f-a6df-4ec9-86f2-9e3472ddee8f" xmlns:ns4="2782494e-2240-44a0-8d37-a0cdd89a0522" targetNamespace="http://schemas.microsoft.com/office/2006/metadata/properties" ma:root="true" ma:fieldsID="db2760e5fe312e0c8b909267511a52a2" ns2:_="" ns3:_="" ns4:_="">
    <xsd:import namespace="a6eb6d0f-3f21-4dd7-afed-8d5f3983301e"/>
    <xsd:import namespace="36c4576f-a6df-4ec9-86f2-9e3472ddee8f"/>
    <xsd:import namespace="2782494e-2240-44a0-8d37-a0cdd89a0522"/>
    <xsd:element name="properties">
      <xsd:complexType>
        <xsd:sequence>
          <xsd:element name="documentManagement">
            <xsd:complexType>
              <xsd:all>
                <xsd:element ref="ns2:Description0" minOccurs="0"/>
                <xsd:element ref="ns2:DocumentType"/>
                <xsd:element ref="ns2:Status"/>
                <xsd:element ref="ns2:DocumentVersion"/>
                <xsd:element ref="ns2:Theme"/>
                <xsd:element ref="ns2:EndorsedDate" minOccurs="0"/>
                <xsd:element ref="ns2:LastReviewed"/>
                <xsd:element ref="ns2:ReviewDate"/>
                <xsd:element ref="ns2:ReviewCycle" minOccurs="0"/>
                <xsd:element ref="ns2:InternetPresenceType"/>
                <xsd:element ref="ns2:BusLevelChoice"/>
                <xsd:element ref="ns2:BusinessAreaUnit" minOccurs="0"/>
                <xsd:element ref="ns2:Old_x002d_PR_x002d_Reference" minOccurs="0"/>
                <xsd:element ref="ns2:Legislation" minOccurs="0"/>
                <xsd:element ref="ns2:FileReference" minOccurs="0"/>
                <xsd:element ref="ns2:eDRMSReference" minOccurs="0"/>
                <xsd:element ref="ns2:CTS_x002d_MECSReference" minOccurs="0"/>
                <xsd:element ref="ns2:Comment" minOccurs="0"/>
                <xsd:element ref="ns3:_dlc_DocId" minOccurs="0"/>
                <xsd:element ref="ns3:_dlc_DocIdUrl" minOccurs="0"/>
                <xsd:element ref="ns3:_dlc_DocIdPersistId" minOccurs="0"/>
                <xsd:element ref="ns4:SharedWithUsers" minOccurs="0"/>
                <xsd:element ref="ns4:SharedWithDetails"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b6d0f-3f21-4dd7-afed-8d5f3983301e" elementFormDefault="qualified">
    <xsd:import namespace="http://schemas.microsoft.com/office/2006/documentManagement/types"/>
    <xsd:import namespace="http://schemas.microsoft.com/office/infopath/2007/PartnerControls"/>
    <xsd:element name="Description0" ma:index="2" nillable="true" ma:displayName="Subject" ma:internalName="Description0" ma:readOnly="false">
      <xsd:simpleType>
        <xsd:restriction base="dms:Note">
          <xsd:maxLength value="255"/>
        </xsd:restriction>
      </xsd:simpleType>
    </xsd:element>
    <xsd:element name="DocumentType" ma:index="4" ma:displayName="DocumentType" ma:list="{1c9aebb5-866f-4873-a78c-4bc770a8a1c1}" ma:internalName="DocumentType" ma:readOnly="false" ma:showField="Title">
      <xsd:simpleType>
        <xsd:restriction base="dms:Lookup"/>
      </xsd:simpleType>
    </xsd:element>
    <xsd:element name="Status" ma:index="5" ma:displayName="Status" ma:indexed="true" ma:list="{4038537c-e95c-4806-a81b-1f8222e26fec}" ma:internalName="Status" ma:readOnly="false" ma:showField="Title">
      <xsd:simpleType>
        <xsd:restriction base="dms:Lookup"/>
      </xsd:simpleType>
    </xsd:element>
    <xsd:element name="DocumentVersion" ma:index="6" ma:displayName="DocVersion" ma:decimals="2" ma:description="Version number displayed on document (Not SharePoint version number)" ma:internalName="DocumentVersion" ma:readOnly="false" ma:percentage="FALSE">
      <xsd:simpleType>
        <xsd:restriction base="dms:Number">
          <xsd:maxInclusive value="999"/>
        </xsd:restriction>
      </xsd:simpleType>
    </xsd:element>
    <xsd:element name="Theme" ma:index="7" ma:displayName="Theme" ma:indexed="true" ma:list="{440d9290-a79f-4d7d-b666-e2299f9b8423}" ma:internalName="Theme" ma:readOnly="false" ma:showField="Theme">
      <xsd:simpleType>
        <xsd:restriction base="dms:Lookup"/>
      </xsd:simpleType>
    </xsd:element>
    <xsd:element name="EndorsedDate" ma:index="9" nillable="true" ma:displayName="EffectiveDate" ma:description="Effective date for major version of document" ma:format="DateOnly" ma:internalName="EndorsedDate" ma:readOnly="false">
      <xsd:simpleType>
        <xsd:restriction base="dms:DateTime"/>
      </xsd:simpleType>
    </xsd:element>
    <xsd:element name="LastReviewed" ma:index="10" ma:displayName="LastReviewed" ma:format="DateOnly" ma:internalName="LastReviewed" ma:readOnly="false">
      <xsd:simpleType>
        <xsd:restriction base="dms:DateTime"/>
      </xsd:simpleType>
    </xsd:element>
    <xsd:element name="ReviewDate" ma:index="11" ma:displayName="NextReviewDue" ma:format="DateOnly" ma:indexed="true" ma:internalName="ReviewDate" ma:readOnly="false">
      <xsd:simpleType>
        <xsd:restriction base="dms:DateTime"/>
      </xsd:simpleType>
    </xsd:element>
    <xsd:element name="ReviewCycle" ma:index="12" nillable="true" ma:displayName="ReviewCycle" ma:description="Prescribed duration for review of document" ma:format="Dropdown" ma:internalName="ReviewCycle" ma:readOnly="false">
      <xsd:simpleType>
        <xsd:restriction base="dms:Choice">
          <xsd:enumeration value="1 year"/>
          <xsd:enumeration value="1.5 years"/>
          <xsd:enumeration value="2 years"/>
          <xsd:enumeration value="3 years"/>
          <xsd:enumeration value="5 years"/>
          <xsd:enumeration value="10 years"/>
        </xsd:restriction>
      </xsd:simpleType>
    </xsd:element>
    <xsd:element name="InternetPresenceType" ma:index="13" ma:displayName="InternetVisibility" ma:description="Defines what material is published to the departmental Internet site" ma:list="{22773ff3-5370-4583-ae62-5f55be26bc75}" ma:internalName="InternetPresenceType" ma:readOnly="false" ma:showField="Title">
      <xsd:simpleType>
        <xsd:restriction base="dms:Lookup"/>
      </xsd:simpleType>
    </xsd:element>
    <xsd:element name="BusLevelChoice" ma:index="14" ma:displayName="BusinessArea" ma:format="Dropdown" ma:internalName="BusLevelChoice" ma:readOnly="false">
      <xsd:simpleType>
        <xsd:restriction base="dms:Choice">
          <xsd:enumeration value="AGR"/>
          <xsd:enumeration value="ASQ"/>
          <xsd:enumeration value="BQ"/>
          <xsd:enumeration value="CHA"/>
          <xsd:enumeration value="CHB"/>
          <xsd:enumeration value="CHC"/>
          <xsd:enumeration value="CHD"/>
          <xsd:enumeration value="CHE"/>
          <xsd:enumeration value="CSS"/>
          <xsd:enumeration value="ENE"/>
          <xsd:enumeration value="EPP"/>
          <xsd:enumeration value="ESR"/>
          <xsd:enumeration value="FIS"/>
          <xsd:enumeration value="FMPM"/>
          <xsd:enumeration value="GLP"/>
          <xsd:enumeration value="HHQ"/>
          <xsd:enumeration value="IHL"/>
          <xsd:enumeration value="IMP"/>
          <xsd:enumeration value="ITP"/>
          <xsd:enumeration value="LTP"/>
          <xsd:enumeration value="LND"/>
          <xsd:enumeration value="MIN"/>
          <xsd:enumeration value="NCS"/>
          <xsd:enumeration value="NRC"/>
          <xsd:enumeration value="NRO"/>
          <xsd:enumeration value="NTP"/>
          <xsd:enumeration value="ORR"/>
          <xsd:enumeration value="OSW"/>
          <xsd:enumeration value="QPW"/>
          <xsd:enumeration value="QRIC"/>
          <xsd:enumeration value="RSC"/>
          <xsd:enumeration value="RED"/>
          <xsd:enumeration value="SCI"/>
          <xsd:enumeration value="SIG"/>
          <xsd:enumeration value="SLM"/>
          <xsd:enumeration value="UWS"/>
          <xsd:enumeration value="VAL"/>
          <xsd:enumeration value="VEG"/>
          <xsd:enumeration value="WM"/>
          <xsd:enumeration value="WSS"/>
          <xsd:enumeration value="WTM"/>
        </xsd:restriction>
      </xsd:simpleType>
    </xsd:element>
    <xsd:element name="BusinessAreaUnit" ma:index="15" nillable="true" ma:displayName="BusinessAreaSubUnit" ma:list="{53eef7cf-c74c-49eb-9b76-5dd9e1026505}" ma:internalName="BusinessAreaUnit" ma:readOnly="false" ma:showField="Title">
      <xsd:simpleType>
        <xsd:restriction base="dms:Lookup"/>
      </xsd:simpleType>
    </xsd:element>
    <xsd:element name="Old_x002d_PR_x002d_Reference" ma:index="16" nillable="true" ma:displayName="PreviousID" ma:description="Reference or identifier used by a previous system" ma:indexed="true" ma:internalName="Old_x002d_PR_x002d_Reference" ma:readOnly="false">
      <xsd:simpleType>
        <xsd:restriction base="dms:Text">
          <xsd:maxLength value="255"/>
        </xsd:restriction>
      </xsd:simpleType>
    </xsd:element>
    <xsd:element name="Legislation" ma:index="17" nillable="true" ma:displayName="Legislation" ma:description="Select the primary authoritative acts" ma:list="{d8d5934d-cb53-4edc-99dd-c215c0dc88bc}" ma:internalName="Legislation" ma:readOnly="false" ma:showField="Title">
      <xsd:complexType>
        <xsd:complexContent>
          <xsd:extension base="dms:MultiChoiceLookup">
            <xsd:sequence>
              <xsd:element name="Value" type="dms:Lookup" maxOccurs="unbounded" minOccurs="0" nillable="true"/>
            </xsd:sequence>
          </xsd:extension>
        </xsd:complexContent>
      </xsd:complexType>
    </xsd:element>
    <xsd:element name="FileReference" ma:index="18" nillable="true" ma:displayName="NetworkPath" ma:description="Network drive and path for source folder of document file" ma:internalName="FileReference" ma:readOnly="false">
      <xsd:simpleType>
        <xsd:restriction base="dms:Text">
          <xsd:maxLength value="255"/>
        </xsd:restriction>
      </xsd:simpleType>
    </xsd:element>
    <xsd:element name="eDRMSReference" ma:index="19" nillable="true" ma:displayName="eDOCS" ma:format="Dropdown" ma:internalName="eDRMSReference" ma:percentage="FALSE">
      <xsd:simpleType>
        <xsd:restriction base="dms:Number"/>
      </xsd:simpleType>
    </xsd:element>
    <xsd:element name="CTS_x002d_MECSReference" ma:index="20" nillable="true" ma:displayName="CTS-MECSReference" ma:internalName="CTS_x002d_MECSReference" ma:readOnly="false">
      <xsd:simpleType>
        <xsd:restriction base="dms:Text">
          <xsd:maxLength value="1"/>
        </xsd:restriction>
      </xsd:simpleType>
    </xsd:element>
    <xsd:element name="Comment" ma:index="21" nillable="true" ma:displayName="Comment" ma:description="Do not use this field - to be retired" ma:internalName="Comment" ma:readOnly="false">
      <xsd:simpleType>
        <xsd:restriction base="dms:Text">
          <xsd:maxLength value="1"/>
        </xsd:restriction>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ServiceSearchProperties" ma:index="3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c4576f-a6df-4ec9-86f2-9e3472ddee8f" elementFormDefault="qualified">
    <xsd:import namespace="http://schemas.microsoft.com/office/2006/documentManagement/types"/>
    <xsd:import namespace="http://schemas.microsoft.com/office/infopath/2007/PartnerControls"/>
    <xsd:element name="_dlc_DocId" ma:index="24" nillable="true" ma:displayName="Document ID Value" ma:description="The value of the document ID assigned to this item." ma:indexed="true" ma:internalName="_dlc_DocId" ma:readOnly="true">
      <xsd:simpleType>
        <xsd:restriction base="dms:Text"/>
      </xsd:simple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782494e-2240-44a0-8d37-a0cdd89a0522"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3" ma:displayName="Content Type"/>
        <xsd:element ref="dc:title" minOccurs="0" maxOccurs="1" ma:index="1" ma:displayName="Title"/>
        <xsd:element ref="dc:subject" minOccurs="0" maxOccurs="1"/>
        <xsd:element ref="dc:description" minOccurs="0" maxOccurs="1"/>
        <xsd:element name="keywords" maxOccurs="1" ma:index="8" ma:displayName="Keywords">
          <xsd:simpleType xmlns:xs="http://www.w3.org/2001/XMLSchema">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ReviewCycle xmlns="a6eb6d0f-3f21-4dd7-afed-8d5f3983301e">2 years</ReviewCycle>
    <eDRMSReference xmlns="a6eb6d0f-3f21-4dd7-afed-8d5f3983301e" xsi:nil="true"/>
    <ReviewDate xmlns="a6eb6d0f-3f21-4dd7-afed-8d5f3983301e">2026-02-13T14:00:00+00:00</ReviewDate>
    <LastReviewed xmlns="a6eb6d0f-3f21-4dd7-afed-8d5f3983301e">2024-02-13T14:00:00+00:00</LastReviewed>
    <CTS_x002d_MECSReference xmlns="a6eb6d0f-3f21-4dd7-afed-8d5f3983301e" xsi:nil="true"/>
    <InternetPresenceType xmlns="a6eb6d0f-3f21-4dd7-afed-8d5f3983301e">3</InternetPresenceType>
    <DocumentType xmlns="a6eb6d0f-3f21-4dd7-afed-8d5f3983301e">24</DocumentType>
    <Theme xmlns="a6eb6d0f-3f21-4dd7-afed-8d5f3983301e">131</Theme>
    <Status xmlns="a6eb6d0f-3f21-4dd7-afed-8d5f3983301e">1</Status>
    <DocumentVersion xmlns="a6eb6d0f-3f21-4dd7-afed-8d5f3983301e">5.04</DocumentVersion>
    <Description0 xmlns="a6eb6d0f-3f21-4dd7-afed-8d5f3983301e">This spreadsheet tool assists environmental authority holders calculate estimated rehabilitation cost (ERC) for mining activities. All ERC calculations must be in accordance with the ERC Guideline (ESR/2018/4425).</Description0>
    <BusLevelChoice xmlns="a6eb6d0f-3f21-4dd7-afed-8d5f3983301e">ESR</BusLevelChoice>
    <BusinessAreaUnit xmlns="a6eb6d0f-3f21-4dd7-afed-8d5f3983301e">40</BusinessAreaUnit>
    <Old_x002d_PR_x002d_Reference xmlns="a6eb6d0f-3f21-4dd7-afed-8d5f3983301e">EM1270</Old_x002d_PR_x002d_Reference>
    <FileReference xmlns="a6eb6d0f-3f21-4dd7-afed-8d5f3983301e">Z:\Document Management System\Document updates\ESR-2015-1824 EM1270\Master copy</FileReference>
    <Legislation xmlns="a6eb6d0f-3f21-4dd7-afed-8d5f3983301e">
      <Value>31</Value>
    </Legislation>
    <Comment xmlns="a6eb6d0f-3f21-4dd7-afed-8d5f3983301e" xsi:nil="true"/>
    <EndorsedDate xmlns="a6eb6d0f-3f21-4dd7-afed-8d5f3983301e">2022-09-30T14:00:00+00:00</EndorsedDate>
    <_dlc_DocId xmlns="36c4576f-a6df-4ec9-86f2-9e3472ddee8f">POLICY-7-1824</_dlc_DocId>
    <_dlc_DocIdUrl xmlns="36c4576f-a6df-4ec9-86f2-9e3472ddee8f">
      <Url>https://itpqld.sharepoint.com/sites/SPO-DAF-ITP-IM-IS/PR/_layouts/15/DocIdRedir.aspx?ID=POLICY-7-1824</Url>
      <Description>POLICY-7-1824</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7A4AE25-6726-466C-865D-A8BE58362319}">
  <ds:schemaRefs>
    <ds:schemaRef ds:uri="http://schemas.microsoft.com/sharepoint/v3/contenttype/forms"/>
  </ds:schemaRefs>
</ds:datastoreItem>
</file>

<file path=customXml/itemProps2.xml><?xml version="1.0" encoding="utf-8"?>
<ds:datastoreItem xmlns:ds="http://schemas.openxmlformats.org/officeDocument/2006/customXml" ds:itemID="{FE2800DA-D17E-4D4A-9257-5D9D8748C4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eb6d0f-3f21-4dd7-afed-8d5f3983301e"/>
    <ds:schemaRef ds:uri="36c4576f-a6df-4ec9-86f2-9e3472ddee8f"/>
    <ds:schemaRef ds:uri="2782494e-2240-44a0-8d37-a0cdd89a05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C73552-EE4F-4072-9AF7-782C026137B9}"/>
</file>

<file path=customXml/itemProps4.xml><?xml version="1.0" encoding="utf-8"?>
<ds:datastoreItem xmlns:ds="http://schemas.openxmlformats.org/officeDocument/2006/customXml" ds:itemID="{FBFEB8DB-070F-43CD-8662-52C7DDB7C7AC}">
  <ds:schemaRefs>
    <ds:schemaRef ds:uri="http://schemas.microsoft.com/office/2006/documentManagement/types"/>
    <ds:schemaRef ds:uri="36c4576f-a6df-4ec9-86f2-9e3472ddee8f"/>
    <ds:schemaRef ds:uri="http://purl.org/dc/elements/1.1/"/>
    <ds:schemaRef ds:uri="http://www.w3.org/XML/1998/namespace"/>
    <ds:schemaRef ds:uri="http://purl.org/dc/term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2782494e-2240-44a0-8d37-a0cdd89a0522"/>
    <ds:schemaRef ds:uri="a6eb6d0f-3f21-4dd7-afed-8d5f3983301e"/>
  </ds:schemaRefs>
</ds:datastoreItem>
</file>

<file path=customXml/itemProps5.xml><?xml version="1.0" encoding="utf-8"?>
<ds:datastoreItem xmlns:ds="http://schemas.openxmlformats.org/officeDocument/2006/customXml" ds:itemID="{C744D538-9B45-47B5-9CA1-EAC47CCC8984}"/>
</file>

<file path=docMetadata/LabelInfo.xml><?xml version="1.0" encoding="utf-8"?>
<clbl:labelList xmlns:clbl="http://schemas.microsoft.com/office/2020/mipLabelMetadata">
  <clbl:label id="{072b9295-cb3f-462b-8aaa-a3f9988da704}" enabled="0" method="" siteId="{072b9295-cb3f-462b-8aaa-a3f9988da7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219</vt:i4>
      </vt:variant>
    </vt:vector>
  </HeadingPairs>
  <TitlesOfParts>
    <vt:vector size="245" baseType="lpstr">
      <vt:lpstr>Terms-con</vt:lpstr>
      <vt:lpstr>CONTENTS</vt:lpstr>
      <vt:lpstr>Registration</vt:lpstr>
      <vt:lpstr>Subrates</vt:lpstr>
      <vt:lpstr>TOV</vt:lpstr>
      <vt:lpstr>Summary</vt:lpstr>
      <vt:lpstr>1. Eligible Mining Activities</vt:lpstr>
      <vt:lpstr>2. Exploration</vt:lpstr>
      <vt:lpstr>3. Infrastructure</vt:lpstr>
      <vt:lpstr>4. Process Equipment</vt:lpstr>
      <vt:lpstr>5. Water Storage</vt:lpstr>
      <vt:lpstr>6. Water Treatment</vt:lpstr>
      <vt:lpstr>7. Overburden Dumps Piles</vt:lpstr>
      <vt:lpstr>8. Heap Leach Pads</vt:lpstr>
      <vt:lpstr>9. Tailings Storage Facilities</vt:lpstr>
      <vt:lpstr>10. Pits</vt:lpstr>
      <vt:lpstr>11.Underground Mines</vt:lpstr>
      <vt:lpstr>12. Ports</vt:lpstr>
      <vt:lpstr>13. Investigation Contamination</vt:lpstr>
      <vt:lpstr>14. General Land Rehabilitation</vt:lpstr>
      <vt:lpstr>15. Mobilisation and User</vt:lpstr>
      <vt:lpstr>User Input Sheet</vt:lpstr>
      <vt:lpstr>Qty Summary</vt:lpstr>
      <vt:lpstr>Waste Register</vt:lpstr>
      <vt:lpstr>Capping Alerts</vt:lpstr>
      <vt:lpstr>Lists</vt:lpstr>
      <vt:lpstr>_10._PITS</vt:lpstr>
      <vt:lpstr>_11_UNDERGROUND_MINES</vt:lpstr>
      <vt:lpstr>_12._PORTS</vt:lpstr>
      <vt:lpstr>_13._INVESTIGATION_CONTAMINATION_SCRAP_LEVY</vt:lpstr>
      <vt:lpstr>_14._GENERAL_LAND_REHABILITATION</vt:lpstr>
      <vt:lpstr>_15._MOBILISATION___DEMOBILISATION_AND_ADDITIONAL_USER_ITEMS</vt:lpstr>
      <vt:lpstr>_2._EXPLORATION</vt:lpstr>
      <vt:lpstr>_3._INFRASTRUCTURE</vt:lpstr>
      <vt:lpstr>_4._PROCESS_AND_HEAVY_EQUIPMENT</vt:lpstr>
      <vt:lpstr>_5._WATER_STORAGE</vt:lpstr>
      <vt:lpstr>_6._WATER_TREATMENT_AND_PUMPING</vt:lpstr>
      <vt:lpstr>_7._WASTE_ROCK_DUMPS__OVERBURDEN_DUMPS__SPOIL_PILES_AND_STOCKPILES</vt:lpstr>
      <vt:lpstr>_8._HEAP_LEACH_PADS</vt:lpstr>
      <vt:lpstr>_9._TAILING_STORAGE_FACILITIES__REJECTS__SLIMES__SLIMES_STORAGE_FACILITIES</vt:lpstr>
      <vt:lpstr>Access_Roads___Tracks__User_defined_by_area</vt:lpstr>
      <vt:lpstr>Access_Roads___Tracks__User_defined_by_length</vt:lpstr>
      <vt:lpstr>Amend_subrates_table</vt:lpstr>
      <vt:lpstr>Amend_TOV</vt:lpstr>
      <vt:lpstr>Amendments</vt:lpstr>
      <vt:lpstr>Arid_list</vt:lpstr>
      <vt:lpstr>Backfill_Open_Pit_with_Waste_Rock</vt:lpstr>
      <vt:lpstr>Benches_and_High_Wall_Drill_and_Blast_and_Doze_to_Make_Safe</vt:lpstr>
      <vt:lpstr>Berm_Con_Method</vt:lpstr>
      <vt:lpstr>Building_list</vt:lpstr>
      <vt:lpstr>Building_wall</vt:lpstr>
      <vt:lpstr>Camps_list</vt:lpstr>
      <vt:lpstr>Cap_risk_cat_tailings</vt:lpstr>
      <vt:lpstr>Cap_Risk_Category</vt:lpstr>
      <vt:lpstr>Capping</vt:lpstr>
      <vt:lpstr>CAPPING_ALERTS</vt:lpstr>
      <vt:lpstr>Clay_purchase</vt:lpstr>
      <vt:lpstr>Concrete_pad</vt:lpstr>
      <vt:lpstr>Construction_Debris_Disposal_Gate_Fee</vt:lpstr>
      <vt:lpstr>Contaminants_and_waste</vt:lpstr>
      <vt:lpstr>CONTENTS_LINK</vt:lpstr>
      <vt:lpstr>Dam_liner</vt:lpstr>
      <vt:lpstr>Dam_Process_nme</vt:lpstr>
      <vt:lpstr>Dam_Raw_nme</vt:lpstr>
      <vt:lpstr>Dam_size</vt:lpstr>
      <vt:lpstr>Dam_type</vt:lpstr>
      <vt:lpstr>Dam_unlined_nme</vt:lpstr>
      <vt:lpstr>Dam_values_TOV</vt:lpstr>
      <vt:lpstr>Dams_Evap_Nme</vt:lpstr>
      <vt:lpstr>Dams_linerX_raw_def</vt:lpstr>
      <vt:lpstr>Dams_List</vt:lpstr>
      <vt:lpstr>Dams_list_area</vt:lpstr>
      <vt:lpstr>Dams_Reg_Non_Reg</vt:lpstr>
      <vt:lpstr>dams_sed_process_defs</vt:lpstr>
      <vt:lpstr>Default_Growth_Media</vt:lpstr>
      <vt:lpstr>Default_HaulRoad_Cover</vt:lpstr>
      <vt:lpstr>Default_Track_Cover</vt:lpstr>
      <vt:lpstr>Dewatering_values_subs</vt:lpstr>
      <vt:lpstr>Dozer_Push_Length</vt:lpstr>
      <vt:lpstr>Dozer_Push_Values</vt:lpstr>
      <vt:lpstr>Dozer_Slope</vt:lpstr>
      <vt:lpstr>Dozer_Slope_Values</vt:lpstr>
      <vt:lpstr>Dozers</vt:lpstr>
      <vt:lpstr>Dozers_small</vt:lpstr>
      <vt:lpstr>Earthen</vt:lpstr>
      <vt:lpstr>ELIGIBLE_MINING_ACTIVITIES</vt:lpstr>
      <vt:lpstr>Evaporation_Pond</vt:lpstr>
      <vt:lpstr>Flush</vt:lpstr>
      <vt:lpstr>HLP_Capping_values</vt:lpstr>
      <vt:lpstr>Hopper_Tank</vt:lpstr>
      <vt:lpstr>Horizontal_Tank</vt:lpstr>
      <vt:lpstr>Inf_Buildings</vt:lpstr>
      <vt:lpstr>Inf_Camps</vt:lpstr>
      <vt:lpstr>Inf_Concrete_and_Bitumen_Hardstand</vt:lpstr>
      <vt:lpstr>Inf_fencing</vt:lpstr>
      <vt:lpstr>Inf_Landfills</vt:lpstr>
      <vt:lpstr>Inf_Lattice_Structures</vt:lpstr>
      <vt:lpstr>Inf_Link_Borrow_Pits</vt:lpstr>
      <vt:lpstr>Inf_link_haul_user</vt:lpstr>
      <vt:lpstr>Inf_Link_Laydown</vt:lpstr>
      <vt:lpstr>Inf_Link_Mine_Haul_Roads__Defaults_by_area</vt:lpstr>
      <vt:lpstr>Inf_Link_Mine_Haul_Roads__Defs_by_length</vt:lpstr>
      <vt:lpstr>Inf_link_overpass</vt:lpstr>
      <vt:lpstr>Inf_Link_Pipelines</vt:lpstr>
      <vt:lpstr>Inf_link_Tks_User</vt:lpstr>
      <vt:lpstr>Inf_Link_Top</vt:lpstr>
      <vt:lpstr>Inf_link_trk_def_area</vt:lpstr>
      <vt:lpstr>Inf_link_trk_defs_len</vt:lpstr>
      <vt:lpstr>Inf_Power_Distribution</vt:lpstr>
      <vt:lpstr>Inf_Rail_Infrastructure</vt:lpstr>
      <vt:lpstr>Inf_Rehabilitation</vt:lpstr>
      <vt:lpstr>Inf_Sewage_Treatment_Plants</vt:lpstr>
      <vt:lpstr>Inf_Small_Ancillary</vt:lpstr>
      <vt:lpstr>Inf_Tanks</vt:lpstr>
      <vt:lpstr>Infrastructure</vt:lpstr>
      <vt:lpstr>Laydown_Yards__User_Defined</vt:lpstr>
      <vt:lpstr>Lined</vt:lpstr>
      <vt:lpstr>LISTS</vt:lpstr>
      <vt:lpstr>Load_and_Haul</vt:lpstr>
      <vt:lpstr>Load_and_Haul_Values</vt:lpstr>
      <vt:lpstr>Load_Haul_Fleet_size</vt:lpstr>
      <vt:lpstr>Load_haul_fleet_sm1ml</vt:lpstr>
      <vt:lpstr>Load_haul_sed</vt:lpstr>
      <vt:lpstr>Local</vt:lpstr>
      <vt:lpstr>Long_distance</vt:lpstr>
      <vt:lpstr>Long_distance_nme</vt:lpstr>
      <vt:lpstr>Long_distance_subs_metre</vt:lpstr>
      <vt:lpstr>Long_distance_subs_table</vt:lpstr>
      <vt:lpstr>Long_distance_subs_tonnes</vt:lpstr>
      <vt:lpstr>Long_distance_values_subs</vt:lpstr>
      <vt:lpstr>LongHaul</vt:lpstr>
      <vt:lpstr>Low_Wall</vt:lpstr>
      <vt:lpstr>Marine_Facilities</vt:lpstr>
      <vt:lpstr>Mine_haul_default_width</vt:lpstr>
      <vt:lpstr>Mine_Haul_Roads___Tracks__User_defined_by_area</vt:lpstr>
      <vt:lpstr>Mine_Haul_Roads__User_defined_by_length</vt:lpstr>
      <vt:lpstr>Native_list</vt:lpstr>
      <vt:lpstr>No_replace_list</vt:lpstr>
      <vt:lpstr>ODP_Capping_values</vt:lpstr>
      <vt:lpstr>Oil_gate_fee</vt:lpstr>
      <vt:lpstr>Oily_water_gate_fee</vt:lpstr>
      <vt:lpstr>one_to_five</vt:lpstr>
      <vt:lpstr>Open_Pit_Ramp_Backfill</vt:lpstr>
      <vt:lpstr>Pasture_list</vt:lpstr>
      <vt:lpstr>Permanent_Camp</vt:lpstr>
      <vt:lpstr>Pipe</vt:lpstr>
      <vt:lpstr>Pipe_above_list</vt:lpstr>
      <vt:lpstr>Pipe_full_list</vt:lpstr>
      <vt:lpstr>pipe_gm_defs</vt:lpstr>
      <vt:lpstr>Pipeline_content</vt:lpstr>
      <vt:lpstr>Pits_start</vt:lpstr>
      <vt:lpstr>Port_Quantities__for_user</vt:lpstr>
      <vt:lpstr>Ports_lists</vt:lpstr>
      <vt:lpstr>Ports_top</vt:lpstr>
      <vt:lpstr>Power_Gen</vt:lpstr>
      <vt:lpstr>Power_towers</vt:lpstr>
      <vt:lpstr>'13. Investigation Contamination'!Print_Area</vt:lpstr>
      <vt:lpstr>'14. General Land Rehabilitation'!Print_Area</vt:lpstr>
      <vt:lpstr>'Qty Summary'!Print_Area</vt:lpstr>
      <vt:lpstr>Registration!Print_Area</vt:lpstr>
      <vt:lpstr>Summary!Print_Area</vt:lpstr>
      <vt:lpstr>'Terms-con'!Print_Area</vt:lpstr>
      <vt:lpstr>TOV!Print_Area</vt:lpstr>
      <vt:lpstr>'Qty Summary'!Print_Titles</vt:lpstr>
      <vt:lpstr>Summary!Print_Titles</vt:lpstr>
      <vt:lpstr>QUANTITY_SUMMARY</vt:lpstr>
      <vt:lpstr>Raw_Water_Pond</vt:lpstr>
      <vt:lpstr>REGISTRATION</vt:lpstr>
      <vt:lpstr>Remove_contam_only</vt:lpstr>
      <vt:lpstr>Replace_rock_list</vt:lpstr>
      <vt:lpstr>Safety_Bund__Fencing__Signs</vt:lpstr>
      <vt:lpstr>Salt_gate_fee</vt:lpstr>
      <vt:lpstr>Seed_native_rate</vt:lpstr>
      <vt:lpstr>Seed_pasture_rate</vt:lpstr>
      <vt:lpstr>Seed_type</vt:lpstr>
      <vt:lpstr>Shafts</vt:lpstr>
      <vt:lpstr>Sludge_gate_fee</vt:lpstr>
      <vt:lpstr>Steel_gate_fee</vt:lpstr>
      <vt:lpstr>Steel_Tank</vt:lpstr>
      <vt:lpstr>SUBRATES</vt:lpstr>
      <vt:lpstr>Subrates_Table_1</vt:lpstr>
      <vt:lpstr>Subrates_Table_10</vt:lpstr>
      <vt:lpstr>Subrates_Table_12</vt:lpstr>
      <vt:lpstr>Subrates_Table_13</vt:lpstr>
      <vt:lpstr>Subrates_Table_14</vt:lpstr>
      <vt:lpstr>Subrates_Table_2</vt:lpstr>
      <vt:lpstr>Subrates_Table_3</vt:lpstr>
      <vt:lpstr>Subrates_Table_4</vt:lpstr>
      <vt:lpstr>Subrates_Table_5</vt:lpstr>
      <vt:lpstr>Subrates_Table_6</vt:lpstr>
      <vt:lpstr>Subrates_Table_7</vt:lpstr>
      <vt:lpstr>Subrates_Table_8</vt:lpstr>
      <vt:lpstr>Subrates_Table_9</vt:lpstr>
      <vt:lpstr>'Qty Summary'!SUMMARY</vt:lpstr>
      <vt:lpstr>SUMMARY</vt:lpstr>
      <vt:lpstr>Surface</vt:lpstr>
      <vt:lpstr>Surface_replace</vt:lpstr>
      <vt:lpstr>TABLE_OF_VALUES</vt:lpstr>
      <vt:lpstr>Tailings_Storage_Facilities__Defaults</vt:lpstr>
      <vt:lpstr>Tailings_Storage_Facilities__User_Defined</vt:lpstr>
      <vt:lpstr>Tank_base</vt:lpstr>
      <vt:lpstr>Tank_contain</vt:lpstr>
      <vt:lpstr>Tank_liner</vt:lpstr>
      <vt:lpstr>Tank_list</vt:lpstr>
      <vt:lpstr>Tank_panel_nme</vt:lpstr>
      <vt:lpstr>Tank_top</vt:lpstr>
      <vt:lpstr>Tank_type</vt:lpstr>
      <vt:lpstr>Tank_values_TOV</vt:lpstr>
      <vt:lpstr>Tank_Vertical_nme</vt:lpstr>
      <vt:lpstr>Tank_wall</vt:lpstr>
      <vt:lpstr>Temporary_Camp</vt:lpstr>
      <vt:lpstr>TERMS_AND_CONDITIONS_OF_USE</vt:lpstr>
      <vt:lpstr>Top_Infrastructure</vt:lpstr>
      <vt:lpstr>Top_pits</vt:lpstr>
      <vt:lpstr>TOV_1</vt:lpstr>
      <vt:lpstr>TOV_10</vt:lpstr>
      <vt:lpstr>TOV_11</vt:lpstr>
      <vt:lpstr>TOV_12</vt:lpstr>
      <vt:lpstr>TOV_13</vt:lpstr>
      <vt:lpstr>TOV_14</vt:lpstr>
      <vt:lpstr>TOV_15</vt:lpstr>
      <vt:lpstr>TOV_2</vt:lpstr>
      <vt:lpstr>TOV_3</vt:lpstr>
      <vt:lpstr>TOV_4</vt:lpstr>
      <vt:lpstr>TOV_5</vt:lpstr>
      <vt:lpstr>TOV_6</vt:lpstr>
      <vt:lpstr>TOV_7</vt:lpstr>
      <vt:lpstr>TOV_8</vt:lpstr>
      <vt:lpstr>TOV_9</vt:lpstr>
      <vt:lpstr>TOV_Rate_Ref</vt:lpstr>
      <vt:lpstr>TOV_unit_ref</vt:lpstr>
      <vt:lpstr>TOVNum_Native</vt:lpstr>
      <vt:lpstr>TOVNum_Pasture</vt:lpstr>
      <vt:lpstr>Track_width_default</vt:lpstr>
      <vt:lpstr>TSF_Capping_values</vt:lpstr>
      <vt:lpstr>Unlined_Pond</vt:lpstr>
      <vt:lpstr>User</vt:lpstr>
      <vt:lpstr>Vegetation</vt:lpstr>
      <vt:lpstr>WASTE_LEVY_REGISTER</vt:lpstr>
      <vt:lpstr>Waste_Rock_Dumps__Defaults</vt:lpstr>
      <vt:lpstr>Wood_gate_fee</vt:lpstr>
      <vt:lpstr>Y_N</vt:lpstr>
      <vt:lpstr>Yes</vt:lpstr>
      <vt:lpstr>Yes_No</vt:lpstr>
      <vt:lpstr>Zero_to_five</vt:lpstr>
    </vt:vector>
  </TitlesOfParts>
  <Manager/>
  <Company>Department of Environment and Science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ERC Calculator - mining</dc:title>
  <dc:subject>This spreadsheet tool assists environmental authority holders calculate estimated rehabilitation cost (ERC) for mining activities. All ERC calculations must be in accordance with the ERC Guideline (ESR/2018/4425).</dc:subject>
  <dc:creator>State of Queensland for Department of Environment and Science</dc:creator>
  <cp:keywords>ERC; estimated rehabilitation cost; rehabilitation liability; mining; ESR/2015/1824</cp:keywords>
  <dc:description/>
  <cp:lastModifiedBy>Lauren Sharpe</cp:lastModifiedBy>
  <cp:revision/>
  <dcterms:created xsi:type="dcterms:W3CDTF">2018-04-09T08:48:43Z</dcterms:created>
  <dcterms:modified xsi:type="dcterms:W3CDTF">2024-02-14T03:19:10Z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0x010100B989F9ED3AA73E4AA540DC49247935BF</vt:lpwstr>
  </property>
  <property fmtid="{D5CDD505-2E9C-101B-9397-08002B2CF9AE}" pid="3" name="_dlc_DocIdItemGuid">
    <vt:lpwstr>d84d58d5-6aaf-4f94-8cfe-16a823bf8807</vt:lpwstr>
  </property>
  <property fmtid="{D5CDD505-2E9C-101B-9397-08002B2CF9AE}" pid="4" name="eDOCS AutoSave">
    <vt:lpwstr/>
  </property>
  <property fmtid="{D5CDD505-2E9C-101B-9397-08002B2CF9AE}" pid="5" name="MediaServiceImageTags">
    <vt:lpwstr/>
  </property>
</Properties>
</file>